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03.xml"/>
  <Override ContentType="application/vnd.openxmlformats-officedocument.spreadsheetml.table+xml" PartName="/xl/tables/table206.xml"/>
  <Override ContentType="application/vnd.openxmlformats-officedocument.spreadsheetml.table+xml" PartName="/xl/tables/table117.xml"/>
  <Override ContentType="application/vnd.openxmlformats-officedocument.spreadsheetml.table+xml" PartName="/xl/tables/table249.xml"/>
  <Override ContentType="application/vnd.openxmlformats-officedocument.spreadsheetml.table+xml" PartName="/xl/tables/table168.xml"/>
  <Override ContentType="application/vnd.openxmlformats-officedocument.spreadsheetml.table+xml" PartName="/xl/tables/table125.xml"/>
  <Override ContentType="application/vnd.openxmlformats-officedocument.spreadsheetml.table+xml" PartName="/xl/tables/table311.xml"/>
  <Override ContentType="application/vnd.openxmlformats-officedocument.spreadsheetml.table+xml" PartName="/xl/tables/table214.xml"/>
  <Override ContentType="application/vnd.openxmlformats-officedocument.spreadsheetml.table+xml" PartName="/xl/tables/table257.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192.xml"/>
  <Override ContentType="application/vnd.openxmlformats-officedocument.spreadsheetml.table+xml" PartName="/xl/tables/table57.xml"/>
  <Override ContentType="application/vnd.openxmlformats-officedocument.spreadsheetml.table+xml" PartName="/xl/tables/table14.xml"/>
  <Override ContentType="application/vnd.openxmlformats-officedocument.spreadsheetml.table+xml" PartName="/xl/tables/table109.xml"/>
  <Override ContentType="application/vnd.openxmlformats-officedocument.spreadsheetml.table+xml" PartName="/xl/tables/table293.xml"/>
  <Override ContentType="application/vnd.openxmlformats-officedocument.spreadsheetml.table+xml" PartName="/xl/tables/table161.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285.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145.xml"/>
  <Override ContentType="application/vnd.openxmlformats-officedocument.spreadsheetml.table+xml" PartName="/xl/tables/table318.xml"/>
  <Override ContentType="application/vnd.openxmlformats-officedocument.spreadsheetml.table+xml" PartName="/xl/tables/table188.xml"/>
  <Override ContentType="application/vnd.openxmlformats-officedocument.spreadsheetml.table+xml" PartName="/xl/tables/table24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129.xml"/>
  <Override ContentType="application/vnd.openxmlformats-officedocument.spreadsheetml.table+xml" PartName="/xl/tables/table273.xml"/>
  <Override ContentType="application/vnd.openxmlformats-officedocument.spreadsheetml.table+xml" PartName="/xl/tables/table34.xml"/>
  <Override ContentType="application/vnd.openxmlformats-officedocument.spreadsheetml.table+xml" PartName="/xl/tables/table133.xml"/>
  <Override ContentType="application/vnd.openxmlformats-officedocument.spreadsheetml.table+xml" PartName="/xl/tables/table323.xml"/>
  <Override ContentType="application/vnd.openxmlformats-officedocument.spreadsheetml.table+xml" PartName="/xl/tables/table176.xml"/>
  <Override ContentType="application/vnd.openxmlformats-officedocument.spreadsheetml.table+xml" PartName="/xl/tables/table226.xml"/>
  <Override ContentType="application/vnd.openxmlformats-officedocument.spreadsheetml.table+xml" PartName="/xl/tables/table230.xml"/>
  <Override ContentType="application/vnd.openxmlformats-officedocument.spreadsheetml.table+xml" PartName="/xl/tables/table77.xml"/>
  <Override ContentType="application/vnd.openxmlformats-officedocument.spreadsheetml.table+xml" PartName="/xl/tables/table269.xml"/>
  <Override ContentType="application/vnd.openxmlformats-officedocument.spreadsheetml.table+xml" PartName="/xl/tables/table172.xml"/>
  <Override ContentType="application/vnd.openxmlformats-officedocument.spreadsheetml.table+xml" PartName="/xl/tables/table29.xml"/>
  <Override ContentType="application/vnd.openxmlformats-officedocument.spreadsheetml.table+xml" PartName="/xl/tables/table180.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10.xml"/>
  <Override ContentType="application/vnd.openxmlformats-officedocument.spreadsheetml.table+xml" PartName="/xl/tables/table253.xml"/>
  <Override ContentType="application/vnd.openxmlformats-officedocument.spreadsheetml.table+xml" PartName="/xl/tables/table89.xml"/>
  <Override ContentType="application/vnd.openxmlformats-officedocument.spreadsheetml.table+xml" PartName="/xl/tables/table270.xml"/>
  <Override ContentType="application/vnd.openxmlformats-officedocument.spreadsheetml.table+xml" PartName="/xl/tables/table164.xml"/>
  <Override ContentType="application/vnd.openxmlformats-officedocument.spreadsheetml.table+xml" PartName="/xl/tables/table296.xml"/>
  <Override ContentType="application/vnd.openxmlformats-officedocument.spreadsheetml.table+xml" PartName="/xl/tables/table307.xml"/>
  <Override ContentType="application/vnd.openxmlformats-officedocument.spreadsheetml.table+xml" PartName="/xl/tables/table121.xml"/>
  <Override ContentType="application/vnd.openxmlformats-officedocument.spreadsheetml.table+xml" PartName="/xl/tables/table262.xml"/>
  <Override ContentType="application/vnd.openxmlformats-officedocument.spreadsheetml.table+xml" PartName="/xl/tables/table61.xml"/>
  <Override ContentType="application/vnd.openxmlformats-officedocument.spreadsheetml.table+xml" PartName="/xl/tables/table326.xml"/>
  <Override ContentType="application/vnd.openxmlformats-officedocument.spreadsheetml.table+xml" PartName="/xl/tables/table96.xml"/>
  <Override ContentType="application/vnd.openxmlformats-officedocument.spreadsheetml.table+xml" PartName="/xl/tables/table157.xml"/>
  <Override ContentType="application/vnd.openxmlformats-officedocument.spreadsheetml.table+xml" PartName="/xl/tables/table288.xml"/>
  <Override ContentType="application/vnd.openxmlformats-officedocument.spreadsheetml.table+xml" PartName="/xl/tables/table300.xml"/>
  <Override ContentType="application/vnd.openxmlformats-officedocument.spreadsheetml.table+xml" PartName="/xl/tables/table10.xml"/>
  <Override ContentType="application/vnd.openxmlformats-officedocument.spreadsheetml.table+xml" PartName="/xl/tables/table53.xml"/>
  <Override ContentType="application/vnd.openxmlformats-officedocument.spreadsheetml.table+xml" PartName="/xl/tables/table245.xml"/>
  <Override ContentType="application/vnd.openxmlformats-officedocument.spreadsheetml.table+xml" PartName="/xl/tables/table202.xml"/>
  <Override ContentType="application/vnd.openxmlformats-officedocument.spreadsheetml.table+xml" PartName="/xl/tables/table9.xml"/>
  <Override ContentType="application/vnd.openxmlformats-officedocument.spreadsheetml.table+xml" PartName="/xl/tables/table196.xml"/>
  <Override ContentType="application/vnd.openxmlformats-officedocument.spreadsheetml.table+xml" PartName="/xl/tables/table153.xml"/>
  <Override ContentType="application/vnd.openxmlformats-officedocument.spreadsheetml.table+xml" PartName="/xl/tables/table2.xml"/>
  <Override ContentType="application/vnd.openxmlformats-officedocument.spreadsheetml.table+xml" PartName="/xl/tables/table277.xml"/>
  <Override ContentType="application/vnd.openxmlformats-officedocument.spreadsheetml.table+xml" PartName="/xl/tables/table106.xml"/>
  <Override ContentType="application/vnd.openxmlformats-officedocument.spreadsheetml.table+xml" PartName="/xl/tables/table179.xml"/>
  <Override ContentType="application/vnd.openxmlformats-officedocument.spreadsheetml.table+xml" PartName="/xl/tables/table110.xml"/>
  <Override ContentType="application/vnd.openxmlformats-officedocument.spreadsheetml.table+xml" PartName="/xl/tables/table149.xml"/>
  <Override ContentType="application/vnd.openxmlformats-officedocument.spreadsheetml.table+xml" PartName="/xl/tables/table281.xml"/>
  <Override ContentType="application/vnd.openxmlformats-officedocument.spreadsheetml.table+xml" PartName="/xl/tables/table136.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85.xml"/>
  <Override ContentType="application/vnd.openxmlformats-officedocument.spreadsheetml.table+xml" PartName="/xl/tables/table315.xml"/>
  <Override ContentType="application/vnd.openxmlformats-officedocument.spreadsheetml.table+xml" PartName="/xl/tables/table234.xml"/>
  <Override ContentType="application/vnd.openxmlformats-officedocument.spreadsheetml.table+xml" PartName="/xl/tables/table38.xml"/>
  <Override ContentType="application/vnd.openxmlformats-officedocument.spreadsheetml.table+xml" PartName="/xl/tables/table217.xml"/>
  <Override ContentType="application/vnd.openxmlformats-officedocument.spreadsheetml.table+xml" PartName="/xl/tables/table25.xml"/>
  <Override ContentType="application/vnd.openxmlformats-officedocument.spreadsheetml.table+xml" PartName="/xl/tables/table177.xml"/>
  <Override ContentType="application/vnd.openxmlformats-officedocument.spreadsheetml.table+xml" PartName="/xl/tables/table185.xml"/>
  <Override ContentType="application/vnd.openxmlformats-officedocument.spreadsheetml.table+xml" PartName="/xl/tables/table231.xml"/>
  <Override ContentType="application/vnd.openxmlformats-officedocument.spreadsheetml.table+xml" PartName="/xl/tables/table142.xml"/>
  <Override ContentType="application/vnd.openxmlformats-officedocument.spreadsheetml.table+xml" PartName="/xl/tables/table84.xml"/>
  <Override ContentType="application/vnd.openxmlformats-officedocument.spreadsheetml.table+xml" PartName="/xl/tables/table274.xml"/>
  <Override ContentType="application/vnd.openxmlformats-officedocument.spreadsheetml.table+xml" PartName="/xl/tables/table41.xml"/>
  <Override ContentType="application/vnd.openxmlformats-officedocument.spreadsheetml.table+xml" PartName="/xl/tables/table108.xml"/>
  <Override ContentType="application/vnd.openxmlformats-officedocument.spreadsheetml.table+xml" PartName="/xl/tables/table290.xml"/>
  <Override ContentType="application/vnd.openxmlformats-officedocument.spreadsheetml.table+xml" PartName="/xl/tables/table134.xml"/>
  <Override ContentType="application/vnd.openxmlformats-officedocument.spreadsheetml.table+xml" PartName="/xl/tables/table32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207.xml"/>
  <Override ContentType="application/vnd.openxmlformats-officedocument.spreadsheetml.table+xml" PartName="/xl/tables/table74.xml"/>
  <Override ContentType="application/vnd.openxmlformats-officedocument.spreadsheetml.table+xml" PartName="/xl/tables/table152.xml"/>
  <Override ContentType="application/vnd.openxmlformats-officedocument.spreadsheetml.table+xml" PartName="/xl/tables/table304.xml"/>
  <Override ContentType="application/vnd.openxmlformats-officedocument.spreadsheetml.table+xml" PartName="/xl/tables/table118.xml"/>
  <Override ContentType="application/vnd.openxmlformats-officedocument.spreadsheetml.table+xml" PartName="/xl/tables/table195.xml"/>
  <Override ContentType="application/vnd.openxmlformats-officedocument.spreadsheetml.table+xml" PartName="/xl/tables/table28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241.xml"/>
  <Override ContentType="application/vnd.openxmlformats-officedocument.spreadsheetml.table+xml" PartName="/xl/tables/table280.xml"/>
  <Override ContentType="application/vnd.openxmlformats-officedocument.spreadsheetml.table+xml" PartName="/xl/tables/table128.xml"/>
  <Override ContentType="application/vnd.openxmlformats-officedocument.spreadsheetml.table+xml" PartName="/xl/tables/table225.xml"/>
  <Override ContentType="application/vnd.openxmlformats-officedocument.spreadsheetml.table+xml" PartName="/xl/tables/table319.xml"/>
  <Override ContentType="application/vnd.openxmlformats-officedocument.spreadsheetml.table+xml" PartName="/xl/tables/table114.xml"/>
  <Override ContentType="application/vnd.openxmlformats-officedocument.spreadsheetml.table+xml" PartName="/xl/tables/table35.xml"/>
  <Override ContentType="application/vnd.openxmlformats-officedocument.spreadsheetml.table+xml" PartName="/xl/tables/table162.xml"/>
  <Override ContentType="application/vnd.openxmlformats-officedocument.spreadsheetml.table+xml" PartName="/xl/tables/table268.xml"/>
  <Override ContentType="application/vnd.openxmlformats-officedocument.spreadsheetml.table+xml" PartName="/xl/tables/table78.xml"/>
  <Override ContentType="application/vnd.openxmlformats-officedocument.spreadsheetml.table+xml" PartName="/xl/tables/table213.xml"/>
  <Override ContentType="application/vnd.openxmlformats-officedocument.spreadsheetml.table+xml" PartName="/xl/tables/table146.xml"/>
  <Override ContentType="application/vnd.openxmlformats-officedocument.spreadsheetml.table+xml" PartName="/xl/tables/table310.xml"/>
  <Override ContentType="application/vnd.openxmlformats-officedocument.spreadsheetml.table+xml" PartName="/xl/tables/table103.xml"/>
  <Override ContentType="application/vnd.openxmlformats-officedocument.spreadsheetml.table+xml" PartName="/xl/tables/table299.xml"/>
  <Override ContentType="application/vnd.openxmlformats-officedocument.spreadsheetml.table+xml" PartName="/xl/tables/table17.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256.xml"/>
  <Override ContentType="application/vnd.openxmlformats-officedocument.spreadsheetml.table+xml" PartName="/xl/tables/table189.xml"/>
  <Override ContentType="application/vnd.openxmlformats-officedocument.spreadsheetml.table+xml" PartName="/xl/tables/table308.xml"/>
  <Override ContentType="application/vnd.openxmlformats-officedocument.spreadsheetml.table+xml" PartName="/xl/tables/table62.xml"/>
  <Override ContentType="application/vnd.openxmlformats-officedocument.spreadsheetml.table+xml" PartName="/xl/tables/table325.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199.xml"/>
  <Override ContentType="application/vnd.openxmlformats-officedocument.spreadsheetml.table+xml" PartName="/xl/tables/table173.xml"/>
  <Override ContentType="application/vnd.openxmlformats-officedocument.spreadsheetml.table+xml" PartName="/xl/tables/table130.xml"/>
  <Override ContentType="application/vnd.openxmlformats-officedocument.spreadsheetml.table+xml" PartName="/xl/tables/table156.xml"/>
  <Override ContentType="application/vnd.openxmlformats-officedocument.spreadsheetml.table+xml" PartName="/xl/tables/table289.xml"/>
  <Override ContentType="application/vnd.openxmlformats-officedocument.spreadsheetml.table+xml" PartName="/xl/tables/table113.xml"/>
  <Override ContentType="application/vnd.openxmlformats-officedocument.spreadsheetml.table+xml" PartName="/xl/tables/table88.xml"/>
  <Override ContentType="application/vnd.openxmlformats-officedocument.spreadsheetml.table+xml" PartName="/xl/tables/table139.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263.xml"/>
  <Override ContentType="application/vnd.openxmlformats-officedocument.spreadsheetml.table+xml" PartName="/xl/tables/table1.xml"/>
  <Override ContentType="application/vnd.openxmlformats-officedocument.spreadsheetml.table+xml" PartName="/xl/tables/table220.xml"/>
  <Override ContentType="application/vnd.openxmlformats-officedocument.spreadsheetml.table+xml" PartName="/xl/tables/table30.xml"/>
  <Override ContentType="application/vnd.openxmlformats-officedocument.spreadsheetml.table+xml" PartName="/xl/tables/table314.xml"/>
  <Override ContentType="application/vnd.openxmlformats-officedocument.spreadsheetml.table+xml" PartName="/xl/tables/table246.xml"/>
  <Override ContentType="application/vnd.openxmlformats-officedocument.spreadsheetml.table+xml" PartName="/xl/tables/table203.xml"/>
  <Override ContentType="application/vnd.openxmlformats-officedocument.spreadsheetml.table+xml" PartName="/xl/tables/table229.xml"/>
  <Override ContentType="application/vnd.openxmlformats-officedocument.spreadsheetml.table+xml" PartName="/xl/tables/table39.xml"/>
  <Override ContentType="application/vnd.openxmlformats-officedocument.spreadsheetml.table+xml" PartName="/xl/tables/table184.xml"/>
  <Override ContentType="application/vnd.openxmlformats-officedocument.spreadsheetml.table+xml" PartName="/xl/tables/table218.xml"/>
  <Override ContentType="application/vnd.openxmlformats-officedocument.spreadsheetml.table+xml" PartName="/xl/tables/table190.xml"/>
  <Override ContentType="application/vnd.openxmlformats-officedocument.spreadsheetml.table+xml" PartName="/xl/tables/table167.xml"/>
  <Override ContentType="application/vnd.openxmlformats-officedocument.spreadsheetml.table+xml" PartName="/xl/tables/table278.xml"/>
  <Override ContentType="application/vnd.openxmlformats-officedocument.spreadsheetml.table+xml" PartName="/xl/tables/table141.xml"/>
  <Override ContentType="application/vnd.openxmlformats-officedocument.spreadsheetml.table+xml" PartName="/xl/tables/table235.xml"/>
  <Override ContentType="application/vnd.openxmlformats-officedocument.spreadsheetml.table+xml" PartName="/xl/tables/table107.xml"/>
  <Override ContentType="application/vnd.openxmlformats-officedocument.spreadsheetml.table+xml" PartName="/xl/tables/table295.xml"/>
  <Override ContentType="application/vnd.openxmlformats-officedocument.spreadsheetml.table+xml" PartName="/xl/tables/table252.xml"/>
  <Override ContentType="application/vnd.openxmlformats-officedocument.spreadsheetml.table+xml" PartName="/xl/tables/table124.xml"/>
  <Override ContentType="application/vnd.openxmlformats-officedocument.spreadsheetml.table+xml" PartName="/xl/tables/table90.xml"/>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194.xml"/>
  <Override ContentType="application/vnd.openxmlformats-officedocument.spreadsheetml.table+xml" PartName="/xl/tables/table59.xml"/>
  <Override ContentType="application/vnd.openxmlformats-officedocument.spreadsheetml.table+xml" PartName="/xl/tables/table283.xml"/>
  <Override ContentType="application/vnd.openxmlformats-officedocument.spreadsheetml.table+xml" PartName="/xl/tables/table186.xml"/>
  <Override ContentType="application/vnd.openxmlformats-officedocument.spreadsheetml.table+xml" PartName="/xl/tables/table151.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240.xml"/>
  <Override ContentType="application/vnd.openxmlformats-officedocument.spreadsheetml.table+xml" PartName="/xl/tables/table135.xml"/>
  <Override ContentType="application/vnd.openxmlformats-officedocument.spreadsheetml.table+xml" PartName="/xl/tables/table321.xml"/>
  <Override ContentType="application/vnd.openxmlformats-officedocument.spreadsheetml.table+xml" PartName="/xl/tables/table267.xml"/>
  <Override ContentType="application/vnd.openxmlformats-officedocument.spreadsheetml.table+xml" PartName="/xl/tables/table178.xml"/>
  <Override ContentType="application/vnd.openxmlformats-officedocument.spreadsheetml.table+xml" PartName="/xl/tables/table224.xml"/>
  <Override ContentType="application/vnd.openxmlformats-officedocument.spreadsheetml.table+xml" PartName="/xl/tables/table232.xml"/>
  <Override ContentType="application/vnd.openxmlformats-officedocument.spreadsheetml.table+xml" PartName="/xl/tables/table127.xml"/>
  <Override ContentType="application/vnd.openxmlformats-officedocument.spreadsheetml.table+xml" PartName="/xl/tables/table275.xml"/>
  <Override ContentType="application/vnd.openxmlformats-officedocument.spreadsheetml.table+xml" PartName="/xl/tables/table313.xml"/>
  <Override ContentType="application/vnd.openxmlformats-officedocument.spreadsheetml.table+xml" PartName="/xl/tables/table100.xml"/>
  <Override ContentType="application/vnd.openxmlformats-officedocument.spreadsheetml.table+xml" PartName="/xl/tables/table143.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75.xml"/>
  <Override ContentType="application/vnd.openxmlformats-officedocument.spreadsheetml.table+xml" PartName="/xl/tables/table212.xml"/>
  <Override ContentType="application/vnd.openxmlformats-officedocument.spreadsheetml.table+xml" PartName="/xl/tables/table298.xml"/>
  <Override ContentType="application/vnd.openxmlformats-officedocument.spreadsheetml.table+xml" PartName="/xl/tables/table115.xml"/>
  <Override ContentType="application/vnd.openxmlformats-officedocument.spreadsheetml.table+xml" PartName="/xl/tables/table158.xml"/>
  <Override ContentType="application/vnd.openxmlformats-officedocument.spreadsheetml.table+xml" PartName="/xl/tables/table208.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05.xml"/>
  <Override ContentType="application/vnd.openxmlformats-officedocument.spreadsheetml.table+xml" PartName="/xl/tables/table25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260.xml"/>
  <Override ContentType="application/vnd.openxmlformats-officedocument.spreadsheetml.table+xml" PartName="/xl/tables/table120.xml"/>
  <Override ContentType="application/vnd.openxmlformats-officedocument.spreadsheetml.table+xml" PartName="/xl/tables/table163.xml"/>
  <Override ContentType="application/vnd.openxmlformats-officedocument.spreadsheetml.table+xml" PartName="/xl/tables/table16.xml"/>
  <Override ContentType="application/vnd.openxmlformats-officedocument.spreadsheetml.table+xml" PartName="/xl/tables/table239.xml"/>
  <Override ContentType="application/vnd.openxmlformats-officedocument.spreadsheetml.table+xml" PartName="/xl/tables/table291.xml"/>
  <Override ContentType="application/vnd.openxmlformats-officedocument.spreadsheetml.table+xml" PartName="/xl/tables/table147.xml"/>
  <Override ContentType="application/vnd.openxmlformats-officedocument.spreadsheetml.table+xml" PartName="/xl/tables/table104.xml"/>
  <Override ContentType="application/vnd.openxmlformats-officedocument.spreadsheetml.table+xml" PartName="/xl/tables/table219.xml"/>
  <Override ContentType="application/vnd.openxmlformats-officedocument.spreadsheetml.table+xml" PartName="/xl/tables/table112.xml"/>
  <Override ContentType="application/vnd.openxmlformats-officedocument.spreadsheetml.table+xml" PartName="/xl/tables/table279.xml"/>
  <Override ContentType="application/vnd.openxmlformats-officedocument.spreadsheetml.table+xml" PartName="/xl/tables/table236.xml"/>
  <Override ContentType="application/vnd.openxmlformats-officedocument.spreadsheetml.table+xml" PartName="/xl/tables/table155.xml"/>
  <Override ContentType="application/vnd.openxmlformats-officedocument.spreadsheetml.table+xml" PartName="/xl/tables/table138.xml"/>
  <Override ContentType="application/vnd.openxmlformats-officedocument.spreadsheetml.table+xml" PartName="/xl/tables/table324.xml"/>
  <Override ContentType="application/vnd.openxmlformats-officedocument.spreadsheetml.table+xml" PartName="/xl/tables/table63.xml"/>
  <Override ContentType="application/vnd.openxmlformats-officedocument.spreadsheetml.table+xml" PartName="/xl/tables/table309.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27.xml"/>
  <Override ContentType="application/vnd.openxmlformats-officedocument.spreadsheetml.table+xml" PartName="/xl/tables/table317.xml"/>
  <Override ContentType="application/vnd.openxmlformats-officedocument.spreadsheetml.table+xml" PartName="/xl/tables/table170.xml"/>
  <Override ContentType="application/vnd.openxmlformats-officedocument.spreadsheetml.table+xml" PartName="/xl/tables/table131.xml"/>
  <Override ContentType="application/vnd.openxmlformats-officedocument.spreadsheetml.table+xml" PartName="/xl/tables/table174.xml"/>
  <Override ContentType="application/vnd.openxmlformats-officedocument.spreadsheetml.table+xml" PartName="/xl/tables/table228.xml"/>
  <Override ContentType="application/vnd.openxmlformats-officedocument.spreadsheetml.table+xml" PartName="/xl/tables/table123.xml"/>
  <Override ContentType="application/vnd.openxmlformats-officedocument.spreadsheetml.table+xml" PartName="/xl/tables/table166.xml"/>
  <Override ContentType="application/vnd.openxmlformats-officedocument.spreadsheetml.table+xml" PartName="/xl/tables/table191.xml"/>
  <Override ContentType="application/vnd.openxmlformats-officedocument.spreadsheetml.table+xml" PartName="/xl/tables/table140.xml"/>
  <Override ContentType="application/vnd.openxmlformats-officedocument.spreadsheetml.table+xml" PartName="/xl/tables/table183.xml"/>
  <Override ContentType="application/vnd.openxmlformats-officedocument.spreadsheetml.table+xml" PartName="/xl/tables/table247.xml"/>
  <Override ContentType="application/vnd.openxmlformats-officedocument.spreadsheetml.table+xml" PartName="/xl/tables/table119.xml"/>
  <Override ContentType="application/vnd.openxmlformats-officedocument.spreadsheetml.table+xml" PartName="/xl/tables/table264.xml"/>
  <Override ContentType="application/vnd.openxmlformats-officedocument.spreadsheetml.table+xml" PartName="/xl/tables/table251.xml"/>
  <Override ContentType="application/vnd.openxmlformats-officedocument.spreadsheetml.table+xml" PartName="/xl/tables/table294.xml"/>
  <Override ContentType="application/vnd.openxmlformats-officedocument.spreadsheetml.table+xml" PartName="/xl/tables/table55.xml"/>
  <Override ContentType="application/vnd.openxmlformats-officedocument.spreadsheetml.table+xml" PartName="/xl/tables/table302.xml"/>
  <Override ContentType="application/vnd.openxmlformats-officedocument.spreadsheetml.table+xml" PartName="/xl/tables/table72.xml"/>
  <Override ContentType="application/vnd.openxmlformats-officedocument.spreadsheetml.table+xml" PartName="/xl/tables/table98.xml"/>
  <Override ContentType="application/vnd.openxmlformats-officedocument.spreadsheetml.table+xml" PartName="/xl/tables/table221.xml"/>
  <Override ContentType="application/vnd.openxmlformats-officedocument.spreadsheetml.table+xml" PartName="/xl/tables/table198.xml"/>
  <Override ContentType="application/vnd.openxmlformats-officedocument.spreadsheetml.table+xml" PartName="/xl/tables/table204.xml"/>
  <Override ContentType="application/vnd.openxmlformats-officedocument.spreadsheetml.table+xml" PartName="/xl/tables/table12.xml"/>
  <Override ContentType="application/vnd.openxmlformats-officedocument.spreadsheetml.table+xml" PartName="/xl/tables/table92.xml"/>
  <Override ContentType="application/vnd.openxmlformats-officedocument.spreadsheetml.table+xml" PartName="/xl/tables/table223.xml"/>
  <Override ContentType="application/vnd.openxmlformats-officedocument.spreadsheetml.table+xml" PartName="/xl/tables/table169.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15.xml"/>
  <Override ContentType="application/vnd.openxmlformats-officedocument.spreadsheetml.table+xml" PartName="/xl/tables/table266.xml"/>
  <Override ContentType="application/vnd.openxmlformats-officedocument.spreadsheetml.table+xml" PartName="/xl/tables/table160.xml"/>
  <Override ContentType="application/vnd.openxmlformats-officedocument.spreadsheetml.table+xml" PartName="/xl/tables/table292.xml"/>
  <Override ContentType="application/vnd.openxmlformats-officedocument.spreadsheetml.table+xml" PartName="/xl/tables/table258.xml"/>
  <Override ContentType="application/vnd.openxmlformats-officedocument.spreadsheetml.table+xml" PartName="/xl/tables/table144.xml"/>
  <Override ContentType="application/vnd.openxmlformats-officedocument.spreadsheetml.table+xml" PartName="/xl/tables/table187.xml"/>
  <Override ContentType="application/vnd.openxmlformats-officedocument.spreadsheetml.table+xml" PartName="/xl/tables/table312.xml"/>
  <Override ContentType="application/vnd.openxmlformats-officedocument.spreadsheetml.table+xml" PartName="/xl/tables/table126.xml"/>
  <Override ContentType="application/vnd.openxmlformats-officedocument.spreadsheetml.table+xml" PartName="/xl/tables/table215.xml"/>
  <Override ContentType="application/vnd.openxmlformats-officedocument.spreadsheetml.table+xml" PartName="/xl/tables/table48.xml"/>
  <Override ContentType="application/vnd.openxmlformats-officedocument.spreadsheetml.table+xml" PartName="/xl/tables/table238.xml"/>
  <Override ContentType="application/vnd.openxmlformats-officedocument.spreadsheetml.table+xml" PartName="/xl/tables/table272.xml"/>
  <Override ContentType="application/vnd.openxmlformats-officedocument.spreadsheetml.table+xml" PartName="/xl/tables/table101.xml"/>
  <Override ContentType="application/vnd.openxmlformats-officedocument.spreadsheetml.table+xml" PartName="/xl/tables/table209.xml"/>
  <Override ContentType="application/vnd.openxmlformats-officedocument.spreadsheetml.table+xml" PartName="/xl/tables/table132.xml"/>
  <Override ContentType="application/vnd.openxmlformats-officedocument.spreadsheetml.table+xml" PartName="/xl/tables/table322.xml"/>
  <Override ContentType="application/vnd.openxmlformats-officedocument.spreadsheetml.table+xml" PartName="/xl/tables/table175.xml"/>
  <Override ContentType="application/vnd.openxmlformats-officedocument.spreadsheetml.table+xml" PartName="/xl/tables/table159.xml"/>
  <Override ContentType="application/vnd.openxmlformats-officedocument.spreadsheetml.table+xml" PartName="/xl/tables/table243.xml"/>
  <Override ContentType="application/vnd.openxmlformats-officedocument.spreadsheetml.table+xml" PartName="/xl/tables/table286.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116.xml"/>
  <Override ContentType="application/vnd.openxmlformats-officedocument.spreadsheetml.table+xml" PartName="/xl/tables/table181.xml"/>
  <Override ContentType="application/vnd.openxmlformats-officedocument.spreadsheetml.table+xml" PartName="/xl/tables/table7.xml"/>
  <Override ContentType="application/vnd.openxmlformats-officedocument.spreadsheetml.table+xml" PartName="/xl/tables/table193.xml"/>
  <Override ContentType="application/vnd.openxmlformats-officedocument.spreadsheetml.table+xml" PartName="/xl/tables/table150.xml"/>
  <Override ContentType="application/vnd.openxmlformats-officedocument.spreadsheetml.table+xml" PartName="/xl/tables/table306.xml"/>
  <Override ContentType="application/vnd.openxmlformats-officedocument.spreadsheetml.table+xml" PartName="/xl/tables/table21.xml"/>
  <Override ContentType="application/vnd.openxmlformats-officedocument.spreadsheetml.table+xml" PartName="/xl/tables/table200.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244.xml"/>
  <Override ContentType="application/vnd.openxmlformats-officedocument.spreadsheetml.table+xml" PartName="/xl/tables/table54.xml"/>
  <Override ContentType="application/vnd.openxmlformats-officedocument.spreadsheetml.table+xml" PartName="/xl/tables/table287.xml"/>
  <Override ContentType="application/vnd.openxmlformats-officedocument.spreadsheetml.table+xml" PartName="/xl/tables/table316.xml"/>
  <Override ContentType="application/vnd.openxmlformats-officedocument.spreadsheetml.table+xml" PartName="/xl/tables/table97.xml"/>
  <Override ContentType="application/vnd.openxmlformats-officedocument.spreadsheetml.table+xml" PartName="/xl/tables/table261.xml"/>
  <Override ContentType="application/vnd.openxmlformats-officedocument.spreadsheetml.table+xml" PartName="/xl/tables/table227.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201.xml"/>
  <Override ContentType="application/vnd.openxmlformats-officedocument.spreadsheetml.table+xml" PartName="/xl/tables/table237.xml"/>
  <Override ContentType="application/vnd.openxmlformats-officedocument.spreadsheetml.table+xml" PartName="/xl/tables/table105.xml"/>
  <Override ContentType="application/vnd.openxmlformats-officedocument.spreadsheetml.table+xml" PartName="/xl/tables/table297.xml"/>
  <Override ContentType="application/vnd.openxmlformats-officedocument.spreadsheetml.table+xml" PartName="/xl/tables/table165.xml"/>
  <Override ContentType="application/vnd.openxmlformats-officedocument.spreadsheetml.table+xml" PartName="/xl/tables/table182.xml"/>
  <Override ContentType="application/vnd.openxmlformats-officedocument.spreadsheetml.table+xml" PartName="/xl/tables/table71.xml"/>
  <Override ContentType="application/vnd.openxmlformats-officedocument.spreadsheetml.table+xml" PartName="/xl/tables/table271.xml"/>
  <Override ContentType="application/vnd.openxmlformats-officedocument.spreadsheetml.table+xml" PartName="/xl/tables/table211.xml"/>
  <Override ContentType="application/vnd.openxmlformats-officedocument.spreadsheetml.table+xml" PartName="/xl/tables/table254.xml"/>
  <Override ContentType="application/vnd.openxmlformats-officedocument.spreadsheetml.table+xml" PartName="/xl/tables/table148.xml"/>
  <Override ContentType="application/vnd.openxmlformats-officedocument.spreadsheetml.table+xml" PartName="/xl/tables/table122.xml"/>
  <Override ContentType="application/vnd.openxmlformats-officedocument.spreadsheetml.table+xml" PartName="/xl/tables/table43.xml"/>
  <Override ContentType="application/vnd.openxmlformats-officedocument.spreadsheetml.table+xml" PartName="/xl/tables/table86.xml"/>
  <Override ContentType="application/vnd.openxmlformats-officedocument.spreadsheetml.table+xml" PartName="/xl/tables/table250.xml"/>
  <Override ContentType="application/vnd.openxmlformats-officedocument.spreadsheetml.table+xml" PartName="/xl/tables/table301.xml"/>
  <Override ContentType="application/vnd.openxmlformats-officedocument.spreadsheetml.table+xml" PartName="/xl/tables/table233.xml"/>
  <Override ContentType="application/vnd.openxmlformats-officedocument.spreadsheetml.table+xml" PartName="/xl/tables/table276.xml"/>
  <Override ContentType="application/vnd.openxmlformats-officedocument.spreadsheetml.table+xml" PartName="/xl/tables/table69.xml"/>
  <Override ContentType="application/vnd.openxmlformats-officedocument.spreadsheetml.table+xml" PartName="/xl/tables/table259.xml"/>
  <Override ContentType="application/vnd.openxmlformats-officedocument.spreadsheetml.table+xml" PartName="/xl/tables/table26.xml"/>
  <Override ContentType="application/vnd.openxmlformats-officedocument.spreadsheetml.table+xml" PartName="/xl/tables/table216.xml"/>
  <Override ContentType="application/vnd.openxmlformats-officedocument.spreadsheetml.table+xml" PartName="/xl/tables/table111.xml"/>
  <Override ContentType="application/vnd.openxmlformats-officedocument.spreadsheetml.table+xml" PartName="/xl/tables/table171.xml"/>
  <Override ContentType="application/vnd.openxmlformats-officedocument.spreadsheetml.table+xml" PartName="/xl/tables/table205.xml"/>
  <Override ContentType="application/vnd.openxmlformats-officedocument.spreadsheetml.table+xml" PartName="/xl/tables/table3.xml"/>
  <Override ContentType="application/vnd.openxmlformats-officedocument.spreadsheetml.table+xml" PartName="/xl/tables/table197.xml"/>
  <Override ContentType="application/vnd.openxmlformats-officedocument.spreadsheetml.table+xml" PartName="/xl/tables/table154.xml"/>
  <Override ContentType="application/vnd.openxmlformats-officedocument.spreadsheetml.table+xml" PartName="/xl/tables/table248.xml"/>
  <Override ContentType="application/vnd.openxmlformats-officedocument.spreadsheetml.table+xml" PartName="/xl/tables/table222.xml"/>
  <Override ContentType="application/vnd.openxmlformats-officedocument.spreadsheetml.table+xml" PartName="/xl/tables/table60.xml"/>
  <Override ContentType="application/vnd.openxmlformats-officedocument.spreadsheetml.table+xml" PartName="/xl/tables/table265.xml"/>
  <Override ContentType="application/vnd.openxmlformats-officedocument.spreadsheetml.table+xml" PartName="/xl/tables/table282.xml"/>
  <Override ContentType="application/vnd.openxmlformats-officedocument.spreadsheetml.table+xml" PartName="/xl/tables/table137.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5 MonFri" sheetId="1" r:id="rId4"/>
    <sheet state="visible" name="2025 MonWed" sheetId="2" r:id="rId5"/>
    <sheet state="visible" name="2025 TueThu" sheetId="3" r:id="rId6"/>
    <sheet state="visible" name="2025 WedFri" sheetId="4" r:id="rId7"/>
    <sheet state="visible" name="2025 Kindy" sheetId="5" r:id="rId8"/>
    <sheet state="visible" name="G1" sheetId="6" r:id="rId9"/>
    <sheet state="visible" name="G2" sheetId="7" r:id="rId10"/>
    <sheet state="visible" name="G3" sheetId="8" r:id="rId11"/>
    <sheet state="visible" name="G5" sheetId="9" r:id="rId12"/>
    <sheet state="visible" name="G4" sheetId="10" r:id="rId13"/>
    <sheet state="visible" name="G6" sheetId="11" r:id="rId14"/>
    <sheet state="visible" name="G8 (중2)" sheetId="12" r:id="rId15"/>
    <sheet state="visible" name="Quit List 2025" sheetId="13" r:id="rId16"/>
    <sheet state="visible" name="JoinQuit Counter" sheetId="14" r:id="rId17"/>
    <sheet state="hidden" name="ClassNames" sheetId="15" r:id="rId18"/>
    <sheet state="hidden" name="Alphabetical" sheetId="16" r:id="rId19"/>
    <sheet state="hidden" name="Quit_Shuttle" sheetId="17" r:id="rId20"/>
    <sheet state="visible" name="Yellow Card" sheetId="18" r:id="rId21"/>
    <sheet state="hidden" name="Form Responses 2" sheetId="19" r:id="rId22"/>
  </sheets>
  <definedNames>
    <definedName localSheetId="5" name="JoinG1">'G1'!$J:$J</definedName>
    <definedName name="JoinG7">'G8 (중2)'!$J:$J</definedName>
    <definedName name="QuitDate">'Quit List 2025'!$A:$A</definedName>
    <definedName name="JoinG1">'G2'!$J:$J</definedName>
    <definedName name="QStart">'Quit List 2025'!$D:$D</definedName>
    <definedName name="QuitGrade">'Quit List 2025'!$C:$C</definedName>
    <definedName name="JoinG4">'G5'!$J:$J</definedName>
    <definedName name="JoinG5">'G6'!$J:$J</definedName>
    <definedName name="JoinG3">'G4'!$J:$J</definedName>
    <definedName name="JoinG2">'G3'!$J:$J</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2">
      <text>
        <t xml:space="preserve">Spotted Servals </t>
      </text>
    </comment>
    <comment authorId="0" ref="R8">
      <text>
        <t xml:space="preserve">2/6 우진 학생과 얘기해보고 화목반으로 옮긴다고 하심. D</t>
      </text>
    </comment>
    <comment authorId="0" ref="B10">
      <text>
        <t xml:space="preserve">2/19 첫날 28일에 오셔서 등록 - C</t>
      </text>
    </comment>
    <comment authorId="0" ref="E11">
      <text>
        <t xml:space="preserve">2/19 휴원 문의함. 휴원비 미발생, 잔여 회차 수업료 이월 가능하지만 휴원 후 미복귀시 반납 안되는 점 안내함. 월/금 다른 학원이랑 스케쥴 겹치고 아이가 힘들어해서 금요일 수업을 월 2회라도 목요일로 make up 할 수 있음. S</t>
      </text>
    </comment>
    <comment authorId="0" ref="F20">
      <text>
        <t xml:space="preserve">Joe Yoon 조윤 from kindy and won't start until the end of feb.</t>
      </text>
    </comment>
    <comment authorId="0" ref="K21">
      <text>
        <t xml:space="preserve">12/27 3월부터 못 올수 있다고 어필하시고 가심.. L
11/13 화/목에서 월/수(11/20)으로 이동과 함께 월/금 웨이팅 부탁하심..L</t>
      </text>
    </comment>
    <comment authorId="0" ref="M21">
      <text>
        <t xml:space="preserve">2/13 퇴원 대기 유지 요청. L
12/26 대기 요청 Dv</t>
      </text>
    </comment>
    <comment authorId="0" ref="Q21">
      <text>
        <t xml:space="preserve">1/9 대기요청. L</t>
      </text>
    </comment>
    <comment authorId="0" ref="K22">
      <text>
        <t xml:space="preserve">1/17 대기요청 D</t>
      </text>
    </comment>
    <comment authorId="0" ref="M22">
      <text>
        <t xml:space="preserve">2/21 Dancing Donuts안내 해드렸으나, 목요일이 2:20에 하교라 불가능.L
2/21 대기 2번 안내 해드림.2/26~3/3 오전까지 여행으로 연락이 안될 수 있다고 말씀주심. 대기 연락이 지나면 다음 대기자에게 연락이 갈 수 있음을 안내 드리고, 로밍 부탁드림.L</t>
      </text>
    </comment>
    <comment authorId="0" ref="M23">
      <text>
        <t xml:space="preserve">1/9 대기 요청 H</t>
      </text>
    </comment>
    <comment authorId="0" ref="M24">
      <text>
        <t xml:space="preserve">2/26 화목 Dancing Donut 불가능하다고 연락주심. 대기는 월금 그대로 원한다고 하셨음.L
2/14 화목 Dancing Donut 안내 차 연락했으나 월금으로만 대기 원함 S
1/24 대기요청 Dv</t>
      </text>
    </comment>
    <comment authorId="0" ref="M25">
      <text>
        <t xml:space="preserve">2/14 화목 Dancing Donut 안내 차 연락했으나 학교 수업이 2:30에 끝나서 월금으로만 대기 원함 S
2/12 대기요청
</t>
      </text>
    </comment>
    <comment authorId="0" ref="M26">
      <text>
        <t xml:space="preserve">2/14 화목 Dancing Donut 안내 차 연락했으나 학교 수업이 2:30에 끝나서 월금으로만 대기 원함 S
2/14 대기 D</t>
      </text>
    </comment>
    <comment authorId="0" ref="M27">
      <text>
        <t xml:space="preserve">2/14 2/14 Dancing Donuts 등록 불가 (화/목 수학 수업) -&gt; 월/금 Smiling Green Apples로 대기 7번째 안내드림 S 
2/7 대기 요청 H</t>
      </text>
    </comment>
    <comment authorId="0" ref="M28">
      <text>
        <t xml:space="preserve">2/19 화목 Dancing Donuts 등록했다가 취소 - C
</t>
      </text>
    </comment>
    <comment authorId="0" ref="M29">
      <text>
        <t xml:space="preserve">2/20 학교 6교시가 목요일이라서 D.Donuts 불가. 월금 대기 도와드림. - C</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2">
      <text>
        <t xml:space="preserve">2/10 Special Diamond 조인.L
2/4 Hungry chix 등록 결정 하였으나, 화요일 학교 6교시로 인해 등록 취소 및 대기.L
2/4 Hungry chix (화.목)안내. 6개월 이동 불가 안내해 드림. 학교 스케줄 확인 뒤, 2/5 11시까지 연락주시기로.L
1/24 대기 H</t>
      </text>
    </comment>
    <comment authorId="0" ref="G18">
      <text>
        <t xml:space="preserve">12/6 퇴원 의사 밝히시면서 (퇴원일 12/13) 대기 요청하심. L
10/4 대기 요청</t>
      </text>
    </comment>
    <comment authorId="0" ref="H18">
      <text>
        <t xml:space="preserve">2/10 대기  S</t>
      </text>
    </comment>
    <comment authorId="0" ref="I18">
      <text>
        <t xml:space="preserve">2/14 대기 S</t>
      </text>
    </comment>
    <comment authorId="0" ref="J18">
      <text>
        <t xml:space="preserve">2/25 1차 부재
-대기 낮 반에 하려다가, 일단은 대기 순번을 마지막으로 내려놓기로 하심. 아이들이 9시에 끝나는게 조금 힘들것 같다고 표현했다고 하셨음.L
2/24 3/3일 조인 가능한지 연락드림. 25일 1시까지 확인 연락 주시기로 함.
2/10 대기 안내. S
Emma 정재희와 같은 시간, 같은 요일 원하심</t>
      </text>
    </comment>
    <comment authorId="0" ref="G19">
      <text>
        <t xml:space="preserve">10/17 대기
6개월 후인 25년 3월 25일부터 반이동 가능안내</t>
      </text>
    </comment>
    <comment authorId="0" ref="H19">
      <text>
        <t xml:space="preserve">2/10 대기 안내. S
Lear 정재아와 같은 시간, 같은 요일 원하심</t>
      </text>
    </comment>
    <comment authorId="0" ref="I19">
      <text>
        <t xml:space="preserve">2/21 24년 12월 퇴원생, 같은 반 대기 진행 Dv</t>
      </text>
    </comment>
    <comment authorId="0" ref="J19">
      <text>
        <t xml:space="preserve">2/26 어머니 일정 미정으로 등록 포기. 3월 중순 쯤 조인 유무 알려주기로 함.  대기 순번 가장 뒷번호로 가는 점 안내드림 S
2/25 3/3일 조인 확정.
2/20 대기 S</t>
      </text>
    </comment>
    <comment authorId="0" ref="G20">
      <text>
        <t xml:space="preserve">11/11 - T/Th Hungry chickens 11월19일 이동. 그래도 유지 원하심. 자리 나도 6개월 유지해야하는거 안내드림. - C
선생님이 바뀐적도 있고 
강되는 경우도 그렇다고 컴플은 아니지만 이래저래 옮기고 싶다고 하심.
최근에 Astonishing Owls에 아는 친구가 (Lucas) 그만 둔걸 들어서 대기가 많은것도 알지만 옮기고 싶어졌다고 하심. 
-C</t>
      </text>
    </comment>
    <comment authorId="0" ref="H20">
      <text>
        <t xml:space="preserve">2/12 대기 안내. S</t>
      </text>
    </comment>
    <comment authorId="0" ref="G21">
      <text>
        <t xml:space="preserve">11/21월 수 반으로 대기 바꾸시겠다고 하심. L
11/21 1월 세션1부터 조인할 수 있게 도와드린다고 말씀드림. 수요일  스케줄 조정중. 22일까지 연락주시기로. L
11/21 연락드렸으나 부재중. L
11/1 화/목에서 월/금으로 대기 이동 부탁하심. 화목 스케줄을 빼는게 힘들어지셨다고 함.L</t>
      </text>
    </comment>
    <comment authorId="0" ref="G22">
      <text>
        <t xml:space="preserve">1/6 대기 요청</t>
      </text>
    </comment>
    <comment authorId="0" ref="G23">
      <text>
        <t xml:space="preserve">1/14 화목반에서 월수 낮반으로 대기반 변경 D
6/18 대기 요청 E</t>
      </text>
    </comment>
    <comment authorId="0" ref="G24">
      <text>
        <t xml:space="preserve">1/15 대기요청. 25.11월 반이동 했기 때문에 6개월 이후  반이동 가능한 점 안내함. S
</t>
      </text>
    </comment>
    <comment authorId="0" ref="G25">
      <text>
        <t xml:space="preserve">2/7 해피콜 연락 드렸었는데, 대기 부탁하셨음. L</t>
      </text>
    </comment>
    <comment authorId="0" ref="G26">
      <text>
        <t xml:space="preserve">2/19 대기요청 D
</t>
      </text>
    </comment>
    <comment authorId="0" ref="G27">
      <text>
        <t xml:space="preserve">2/19 대기요청 D</t>
      </text>
    </comment>
    <comment authorId="0" ref="G39">
      <text>
        <t xml:space="preserve">10/30 퇴원하면서 대기 요청함 H</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
      <text>
        <t xml:space="preserve">James와 같은반 원하지 않아서 같이 반이 배정될 경우 알려달라고 하셨음</t>
      </text>
    </comment>
    <comment authorId="0" ref="L6">
      <text>
        <t xml:space="preserve">2/19 Savvy Sea Otters 대기 S
3월 부터 목요일 6교시라 늦을 예정. L</t>
      </text>
    </comment>
    <comment authorId="0" ref="L8">
      <text>
        <t xml:space="preserve">2/18 3월부터 화요일 10분 늦을 예정 H </t>
      </text>
    </comment>
    <comment authorId="0" ref="Q8">
      <text>
        <t xml:space="preserve">2/11 3월달되면 바빠질 수 있다고 휴원 가능성 얘기하셨음 D
11/11 내년되면 3학년 저녁반으로 옮기고 싶다고 하심 D
</t>
      </text>
    </comment>
    <comment authorId="0" ref="J9">
      <text>
        <t xml:space="preserve">1/13 T반으로의 레벨업 요청주셨으나 6/23 이후 가능한 점 안내 S.
10/30 레벨업 요청주셨으나 반 이동 후 6개월 되지 않아 불가 안내 Dave</t>
      </text>
    </comment>
    <comment authorId="0" ref="X9">
      <text>
        <t xml:space="preserve">10/03 유나선생님 웰컴레터 보시고 바로 연락오심. 한국인인것 같은데,  채용이 가능한건지 물어보심. (이중국적이고 교포면 채용 되도 되냐고 물어보심) - 그렇다면, 다른반으로 이동하고 싶다고 하시고, 10/9부터 반 이동이 가능하니 9일 이후에 연락 부탁드린다고 말씀드림. L</t>
      </text>
    </comment>
    <comment authorId="0" ref="D10">
      <text>
        <t xml:space="preserve">2/19
Cats 전반 걸어두고 3월 원비 생성하려 했으나 아직 Kindy 미납금이 있어 혼동 있을까봐 생성하지 않았습니다
</t>
      </text>
    </comment>
    <comment authorId="0" ref="L10">
      <text>
        <t xml:space="preserve">1/22 6개월 지나야 반이동 가능한 점 다시 안내 후 월금반에 대기 목록 추가함 
3월부터 학교 수업때문에 화요일마다 20~30분 늦을 예정 S
1/14 웨이팅 관련 월/금, 월/수 안내 드렸고, 화.목이 베스트이긴 한데 웨이팅이 길어서 고민이라고 하심. 조금더 생각해 보고 연락 주시기로 함. L
1/15 3월부터 화요일마다 2:30분에 수업이 끝난다고 연락이 오심. 반 이동이 원칙적으로는 안되지만 확인 해 보고 연락 드리겠다고 말씀드림. 1/14일 연락 다시 드리기로 함. 혹시 월,수 Special diamond 안내해드렸으나 시간이 너무 늦다고 하셨고, 어쩔 수 없다면 조정해보시겠다고 하셨음. L
</t>
      </text>
    </comment>
    <comment authorId="0" ref="M10">
      <text>
        <t xml:space="preserve">2/19 3월부터 저녁반 조인 원하심 D</t>
      </text>
    </comment>
    <comment authorId="0" ref="O10">
      <text>
        <t xml:space="preserve">2/13 헨리가 자리로 와서 2월말부터 1달동안 호주간다고 얘기하고 감 D</t>
      </text>
    </comment>
    <comment authorId="0" ref="R10">
      <text>
        <t xml:space="preserve">반이동 한지 3개월 됐는데 픽업 문제때문에 월금반 Gophers or 화목 Sonic hedgehogs반 이동 원하셨음. D</t>
      </text>
    </comment>
    <comment authorId="0" ref="C11">
      <text>
        <t xml:space="preserve">2/18 사립초 수업 때문에, 퇴원 결정. 대기는 남겨두시기로. 대기기간 3개월 안내 드림.L
2/17 사립초 정규 수업이 2:30에 끝나서 매 수업 30분씩 늦을 예정. 월금 2:40 시작하는 반 대기. 늦게 시작하는 반이 좋음 S</t>
      </text>
    </comment>
    <comment authorId="0" ref="B12">
      <text>
        <t xml:space="preserve">등록 안내 시 무리한 요구 무례함의 극치/ 첫 등원 시 다들 예의주시해 주시기 바랍니다!!</t>
      </text>
    </comment>
    <comment authorId="0" ref="K12">
      <text>
        <t xml:space="preserve">행정 처리 시 이메일 주소 akzmxnq07@naver.com로 변경 부탁드립니다. S</t>
      </text>
    </comment>
    <comment authorId="0" ref="M19">
      <text>
        <t xml:space="preserve">2/24 순번 돌아오면 최대한 빨리 연락희망. (대기 번호 1번이었는데 2번으로 바뀐 부분 불만. 최대한 빠른 등록 원하심. 수요일은 일정으로 불가) - C
2/17 대기이동 (11/7 첫시험  H레벨. SGApples 대기중 재시험 결과 A레벨 나옴.) - C</t>
      </text>
    </comment>
    <comment authorId="0" ref="N19">
      <text>
        <t xml:space="preserve">2/19 대기 여석 전화 드렸으나 부재중으로 다음 대기자에게 연락드리는 것으로 안내 문자 발송 S
2/18 대기 여석 생겨서 전화, 문자 드림 S
11/21 대기요청</t>
      </text>
    </comment>
    <comment authorId="0" ref="P19">
      <text>
        <t xml:space="preserve">2/20 대기요청 D</t>
      </text>
    </comment>
    <comment authorId="0" ref="Q19">
      <text>
        <t xml:space="preserve">1/23 2월까지는 기존반에서 유지하고 싶다고 하심. 2월까지는 빈자리 생겨도 연락드리지 않고 대기 끝번호로 바뀌는 점 안내드림. S
12/26 2월까지는 기존반에서 유지하고 싶다고 하심 D
12/20 학교 6교시가 불확실 해서 다음  순번으로 넘겨 달라 하심. L
11/25 대기는 계속 하고 다음순번으로 넘겨달라심 D
11/14 1월 6시반으로 옮기고 싶어 하심. L</t>
      </text>
    </comment>
    <comment authorId="0" ref="R19">
      <text>
        <t xml:space="preserve">12/19 신규상담때 화목반으로 바로 대기 원하신다고 하심 D
</t>
      </text>
    </comment>
    <comment authorId="0" ref="S19">
      <text>
        <t xml:space="preserve">11/21 학교시간이 안 맞아 늦은 시간 희망하심.L</t>
      </text>
    </comment>
    <comment authorId="0" ref="T19">
      <text>
        <t xml:space="preserve">2/20 자리 안내 전화했으나 Amy 랑 고민해보고 2/28까지 연락주기로 함. 혹시나 연락주시는 시점에 대기상황 변동될 수 있는 점 안내함 S
1/23. 2/14일까지 여행계획이 있어서 그 이후에 조인하셔야할거 같다고 하심, 반 안내드렸고 운전 중이시라 집에가서 학생과 상의해보고 다시 연락주신다고 하심 D
1/8 대기요청 H</t>
      </text>
    </comment>
    <comment authorId="0" ref="X19">
      <text>
        <t xml:space="preserve">1/8 대기요청 H</t>
      </text>
    </comment>
    <comment authorId="0" ref="Z19">
      <text>
        <t xml:space="preserve">12/13 대기 요청 H</t>
      </text>
    </comment>
    <comment authorId="0" ref="M20">
      <text>
        <t xml:space="preserve">2/10 대기 시 조금 더 재밌는 선생님이 있었으면 좋겠다고 해서 Hungry chicken반으로 안내 및 대기 함 S
</t>
      </text>
    </comment>
    <comment authorId="0" ref="O20">
      <text>
        <t xml:space="preserve">2/13 안내 드렸으나, 연락 없으셔서 대기 아래로 이동.L
2/13 안내해드렸으나 화요일에는 2:30에 수업이 끝난다고 함. 7시까지 연락 없으시면 다음 대기자에게 안내되는 점 안내해 드림.L
12/24 대기 요청 H</t>
      </text>
    </comment>
    <comment authorId="0" ref="Q20">
      <text>
        <t xml:space="preserve">1/23 대기 요청 Dv</t>
      </text>
    </comment>
    <comment authorId="0" ref="R20">
      <text>
        <t xml:space="preserve">1/24대기요청.L</t>
      </text>
    </comment>
    <comment authorId="0" ref="S20">
      <text>
        <t xml:space="preserve">11/21 대기 요청 H</t>
      </text>
    </comment>
    <comment authorId="0" ref="X20">
      <text>
        <t xml:space="preserve">1/8 수.금 안내 드렸으나 스케줄 조정이 어려워 화.목에 웨이팅 원하심.L</t>
      </text>
    </comment>
    <comment authorId="0" ref="Z20">
      <text>
        <t xml:space="preserve">1/7 대기 요청 H</t>
      </text>
    </comment>
    <comment authorId="0" ref="M21">
      <text>
        <t xml:space="preserve">2/25 대기요청 D</t>
      </text>
    </comment>
    <comment authorId="0" ref="N21">
      <text>
        <t xml:space="preserve">12/20 대기요청 D</t>
      </text>
    </comment>
    <comment authorId="0" ref="O21">
      <text>
        <t xml:space="preserve">2/25 대기요청 D</t>
      </text>
    </comment>
    <comment authorId="0" ref="Q21">
      <text>
        <t xml:space="preserve">2/13 월금반에서 화목반으로 대기요일 변경 요청 D
2/13 3시 안으로 연락주신다고 함 D
12/6 대기 요청 H</t>
      </text>
    </comment>
    <comment authorId="0" ref="R21">
      <text>
        <t xml:space="preserve">2/14 대기 S (월금반 대기 권했으나 월요일 타 수업 있다고 함)</t>
      </text>
    </comment>
    <comment authorId="0" ref="S21">
      <text>
        <t xml:space="preserve">11/21 화목 낮반은 가능성이 낮아 옮기기로 하심. L
11/11 내년되면 3학년 저녁반으로 옮기고 싶다고 하심 D
11/4 최여준 학생 학교 스케줄이 있어 화목수업이 어려울수도 있음. 11/8까지 생각해보고 연락주시기로 하심 D
10/18 Brilliant Bishops 월수반 안내/생각해보고 연락 예정 H
7/3 레벨업 대기 요청 H</t>
      </text>
    </comment>
    <comment authorId="0" ref="X21">
      <text>
        <t xml:space="preserve">1/15 분반 사유로 6개월 전이라도 이동이 가능한 부분 정정 안내 드림. L
1/14 반 이동 관련해서 연락 주심. Jason 이현우와 같은 반 하고 싶었으나 안됐고, 유치원 때 Luther 곽도준과 사이가 좋지 않아(?!)피하고 싶다 하심. 바로 바꿔 달라고 하셨으나 (1/7 반 이동) 6개월 이후에 가능하다고 말씀드림.  L</t>
      </text>
    </comment>
    <comment authorId="0" ref="Z21">
      <text>
        <t xml:space="preserve">1/24 대기 요청 S
</t>
      </text>
    </comment>
    <comment authorId="0" ref="N22">
      <text>
        <t xml:space="preserve">12/27 대기 요청 S.</t>
      </text>
    </comment>
    <comment authorId="0" ref="R22">
      <text>
        <t xml:space="preserve">12/24  반 이동 (루비-&gt; 만타 레이) 후 다시 돌아오길 희망함 (금요일 2:30 수업이 3월 이후부터 불가능함) 6/11 이후 이동 가능.L</t>
      </text>
    </comment>
    <comment authorId="0" ref="X22">
      <text>
        <t xml:space="preserve">2/19 대기요청 퇴원생임 H</t>
      </text>
    </comment>
    <comment authorId="0" ref="Z22">
      <text>
        <t xml:space="preserve">2/10 대기요청 D</t>
      </text>
    </comment>
    <comment authorId="0" ref="N23">
      <text>
        <t xml:space="preserve">1/8 수금-&gt; 화목 대기 변경 Dv
11/14 대기 / 레벨 문의, 다른 요일 지인 대기생 문의 - C</t>
      </text>
    </comment>
    <comment authorId="0" ref="R23">
      <text>
        <t xml:space="preserve">1/9 수금-&gt; 화목 변경 요청 Dv
11/22 대기 요청 DV</t>
      </text>
    </comment>
    <comment authorId="0" ref="X23">
      <text>
        <t xml:space="preserve">2/20 대기요청 D</t>
      </text>
    </comment>
    <comment authorId="0" ref="N24">
      <text>
        <t xml:space="preserve">1/8 낮반 대기 희망 Dv</t>
      </text>
    </comment>
    <comment authorId="0" ref="S24">
      <text>
        <t xml:space="preserve">2/4 대기 가장 짧은 반에 웨이팅 원하심. 혹시, 원하는 날짜에 변경이 안될경우 휴원에 관해서 문의주심.L</t>
      </text>
    </comment>
    <comment authorId="0" ref="N25">
      <text>
        <t xml:space="preserve">1/14 대기 요청 S.
</t>
      </text>
    </comment>
    <comment authorId="0" ref="S25">
      <text>
        <t xml:space="preserve">2/18 대기 요청 H</t>
      </text>
    </comment>
    <comment authorId="0" ref="N26">
      <text>
        <t xml:space="preserve">2/7 대기 요청 S.
</t>
      </text>
    </comment>
    <comment authorId="0" ref="N27">
      <text>
        <t xml:space="preserve">2/14 3회 수신거부 메세지로 부재. 오후 8시까지 연락 안오면 다음 대기 순번 안내하는 것으로 문자 남김  S 문자 전송 오류로 대기 하단으로 옮김
12/26 퇴원
11/15 6시 웨이팅 원하심(시간 변경때문에 화.목 2:30수업 원하심. L</t>
      </text>
    </comment>
    <comment authorId="0" ref="Q50">
      <text>
        <t xml:space="preserve">1/23 부재중 S 
12/26 부재중 D
12/19~20 양일 간 연락 드렸으나 부재중.L
11/29 대기관련 문자 발송 D
11/26,27 연락드렸으나 부재중 D
11/15 레테결과상담. 대기 요청 - C</t>
      </text>
    </comment>
    <comment authorId="0" ref="R50">
      <text>
        <t xml:space="preserve">11/21 대기 요청 H</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E7">
      <text>
        <t xml:space="preserve">11월 이후에 (6개월) 업그레이드가 가능한데, 같이 옮길 수 있는지.. 1월 새학기 시작하기 전에 순차적으로 옮기더라도 같은 요일에 하고 싶은데 가능할지 여쭤보셨습니다. 연락기다리신다고 하네용. L</t>
      </text>
    </comment>
    <comment authorId="0" ref="B10">
      <text>
        <t xml:space="preserve">2/17 나윤이가 낯을 좀 가려서 여자 선생님하고 수업하고 싶다고 하심.  월수반(Glowing Golden Starlights)으로 옮길 가능 성 시사함 D</t>
      </text>
    </comment>
    <comment authorId="0" ref="F10">
      <text>
        <t xml:space="preserve">2/25 학교 스케쥴로 반이동 문의 /월금 저녁반 안내드렸고 6개월 기준 안 되지만 학교 스케쥴인한 부분이니 고려해본다고 했지만 2개반대기 어렵다고 월수 제이슨 원장님반 대기 유지하겠다고 함 H</t>
      </text>
    </comment>
    <comment authorId="0" ref="F18">
      <text>
        <t xml:space="preserve">2/20  2/28퇴원 및 대기 요청.L
12/3 대기 요청 D</t>
      </text>
    </comment>
    <comment authorId="0" ref="G18">
      <text>
        <t xml:space="preserve">1/16 대기요청. 24.9월 반이동 했기 때문에 6개월 이후  반이동 가능한 점 안내함. S</t>
      </text>
    </comment>
    <comment authorId="0" ref="H18">
      <text>
        <t xml:space="preserve">12/9  Astonishing Owls 반에서 대기하다 레벨 다운됨/컴플하고 재대기 요청/자리나도 등록 안할거고 재시험 본다고 함/대기하는 이유는 재시험비용 내지 않기 위함 H
11/11 내년도 일정 물어보심. 시간.요일변경없이 유지될 것 같다고. 변경되면 순서 되었을때 반 안내드리면서 정확하게 다시 안내 드림. 6개월 대기했다고 하소연하시며 앞에 친구는 얼마나 기다렸냐 물어보심. 재시험 한번 봤었는데 또 봐야할것같다고 날짜 물어보셔서 9/3시험봄. 12/2까지 유효. 다른 반 대기 없다고 말씀드림. 변경 원하지 않으심. - C
9/12 재시험으로 대기 유지/대기상황 및 내년시간표 집착스럽게 여러번 물어보고 심각하게 무례함 H
8/26 재시험 안내문자 받고 문의전화주셨는데 일전에 대기이동안내드린 내용 기억하면서 대뜸 '너 나 기억나지?' '자리 언제나는거야?' 이런식으로 반말투로 개념없이 얘기함 E
7/22  Astonishing Owls 대기에서 대기 이동 함 E
6/14 대기 요청 H
대기해도 순번돌아오기 어려운 점 안내해도 기존학원 12월까지는 다닌다고 하고 재시험 본다고 함/ 재시험 레벨 변동에 따라 대기 이동될 수 있음 안내/ 대기순번이나 내년 시간표에 너무 집착하며 반말식으로 물어봄 </t>
      </text>
    </comment>
    <comment authorId="0" ref="J18">
      <text>
        <t xml:space="preserve">2/26 7시까지 확인해보고 결정 주시기로 함.L</t>
      </text>
    </comment>
    <comment authorId="0" ref="F19">
      <text>
        <t xml:space="preserve">1/17 목요일 학교 2:30 하교로 수.금 Mirthful Manta Rays웨이팅. L
</t>
      </text>
    </comment>
    <comment authorId="0" ref="G19">
      <text>
        <t xml:space="preserve">2/20 대기 요청 D</t>
      </text>
    </comment>
    <comment authorId="0" ref="F20">
      <text>
        <t xml:space="preserve">2/18 대기요청. 3/4부터 Cherries로 반이동 하기 때문에 3/3으로부터 6개월 뒤 반이동 가능 안내함 S</t>
      </text>
    </comment>
    <comment authorId="0" ref="G20">
      <text>
        <t xml:space="preserve">2/25 대기요청 Dv</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L2">
      <text>
        <t xml:space="preserve">Date: February 3rd
Who: Naomi
What kind of sangdam: New student
Color: light green</t>
      </text>
    </comment>
    <comment authorId="0" ref="L3">
      <text>
        <t xml:space="preserve">Date: February 3rd
Who: Naomi
What kind of sangdam: New student
Color: light green</t>
      </text>
    </comment>
    <comment authorId="0" ref="L4">
      <text>
        <t xml:space="preserve">Date: February 3rd
Who: Eddie
What kind of sangdam: Happy call (1st/2nd/3rd session sangdam)
Color: yellow</t>
      </text>
    </comment>
    <comment authorId="0" ref="L5">
      <text>
        <t xml:space="preserve">Date: February 3rd
Who: Hyeona
What kind of sangdam: class change student
Color: white</t>
      </text>
    </comment>
    <comment authorId="0" ref="L6">
      <text>
        <t xml:space="preserve">Date: February 3rd
Who: John
What kind of sangdam: current student sangdam (complaints, feedback ect.)
Color: orange</t>
      </text>
    </comment>
    <comment authorId="0" ref="L7">
      <text>
        <t xml:space="preserve">Date: February 3rd
Who: Kevin
What kind of sangdam: quit student
Color: gray</t>
      </text>
    </comment>
    <comment authorId="0" ref="H12">
      <text>
        <t xml:space="preserve">2/25 이메일 주소 변경 완료 s</t>
      </text>
    </comment>
    <comment authorId="0" ref="L13">
      <text>
        <t xml:space="preserve">수아가 ECC 다니다가 왔고 다른 학원은 다닌적이 없다고 하심. / 노블도 집에서 읽어봤지만 수업은 안해봄. / 말하는거 책읽는거 좋아한다고 하심. / 수아가 여려서 못할 것 같으면 울기도 한다고 하심. 이제는 커서 안그럴거 같은 혹시 그러면 잘 다독여주면 금반 괜찮아지니 잘 보살펴 달라고 부탁하심.</t>
      </text>
    </comment>
    <comment authorId="0" ref="H35">
      <text>
        <t xml:space="preserve">2/25 이메일 주소 변경 완료 s</t>
      </text>
    </comment>
    <comment authorId="0" ref="M44">
      <text>
        <t xml:space="preserve">Booster class 추천받으시고 일정 최종 확인 차 전화드렸는데 걱정이 크셨습니다. 이런 수업은 너무 감사한데 아이가 수업을 못 따라가고 있어서인지 등등 너무 걱정이 크셔서 못 따라간다기 보다도 다른 기관들과는 트윈클에서의 학습이 다른 방법으로 접근하다보니 학생 각 성향에 따라 과도기를 겪는 친구들이 있으니 걱정 먼저 앞서시기보다 참고 지켜봐달라고 말씀드렸습니다.</t>
      </text>
    </comment>
    <comment authorId="0" ref="L73">
      <text>
        <t xml:space="preserve">숙제: 
하는 방법을 몰라서 제대로 못 해오고 있었음. 
어머님께 숙제 설명 자세하게 드림. 
Fiction, non-fiction 책 하나씩 보면서 각각 설명 드림. 어머님 잘 이해하심. 도움 필요하면 문의 전달드림.
</t>
      </text>
    </comment>
    <comment authorId="0" ref="L74">
      <text>
        <t xml:space="preserve">언니가 Hot Coffees 반의 Tiana 김태이. 
어머님이 수빈이는 즐겁게 공부하는 아이지만 환경이 바뀌면 적응할 시간이 필요하다고 하심.
Dorothy 선생님 계약만료 후 새 선생님으로 교체되는 점 안내드림.</t>
      </text>
    </comment>
    <comment authorId="0" ref="L85">
      <text>
        <t xml:space="preserve">등록할 때 이슈. / 웨이팅 오래 했고 드디어 자리 났지만 짧은시간 등록여부 결정해야한다는 거에 화남. 데스크에 전화로 소리지르고 막무가네. / 다음날 바로 등록 희망 전화 줌. 태도 돌변.
신규상담: 
여의도 cls 영어 유치원 다님. 라이팅이나 단어테스트 없었음. 그래서 걱정 된다고 하심. / 라이팅 학습에 많이 묻어있고 단어시험 방식 및 어려운 단어 달달 외우는식 아니라고 설명드림. 
성격: 부끄럽고 샤이하다고 하심. / 그동안 선생님들로부터  채아가 완벽주의 성향이 있어 공부할 때 다음거로 넘어가는 시간이 많이 걸린다고 들으심. 그런 성격때문에 알고 있는거를 말을 안하는 경우가 많음. 타고난 성향이니 어쩔 수 없다고 하심.
*입학/웨이팅이 이렇게 치열한지 몰랐다 고 멋적어하시며 말씀 하심. 
</t>
      </text>
    </comment>
    <comment authorId="0" ref="L104">
      <text>
        <t xml:space="preserve">정윤이는 말하는걸 좋아하고 말이 많다고 하심. 다만 첫 수업은 좀 말이 적고 단답으로 말을 할 수 있다고 하심.
영유에서 writing을 많이 하지 않아  작은 실수들이 많을 것같다고 하시며 선생님께 꼼꼼한 피드백 부탁드림.</t>
      </text>
    </comment>
    <comment authorId="0" ref="L105">
      <text>
        <t xml:space="preserve">'윌리웡카' 좋아해서 같은 작가가  쓴 책이 첫 수업인데 흥미 갖고 있다. 하지만 처음에는 좋아도 티를 안 낼 수 있는데 점점 익숙해지면 표현을 크게 할 수도있다. 혹여 불편을 주면 꼭 알려달라고 그런 연락 받는거 개의치 않는다고 하심. / 그반에 대부분 유치부 친구들이고 남보다 여자가 더 많아서 잘 적응할 수 있게 도와달라고 간곡히 부탁하심. / 논픽션도 좋아함. 하지만 낮가림때문에 표현을 잘 안하고 고개 숙이고 단답으로 말할수도 있다고 알아달라고 말씀 하심. 빨리 적응할 수 있도록 도와달라고 하심. 레벨테스트 때 원장선생님 너무 재미있었고 grizzly bear 같았다고 좋아했다고 하심.
</t>
      </text>
    </comment>
    <comment authorId="0" ref="G108">
      <text>
        <t xml:space="preserve">2/12 어머니 휴대폰 변경 완료 S.</t>
      </text>
    </comment>
    <comment authorId="0" ref="L115">
      <text>
        <t xml:space="preserve">처음에는 나이스하게 앉아있겠지만 시간이 지나면 말이 많아질거라고 하심. 너무 말이 많고 수업에 방해되면 선생님께서 끊어달라고 부탁하심. 유치원에서도 계속 그런 부분들 지도받았고 학습이 되어 이제 안 그러겠지만 지켜봐달라고 하심. 
리스닝은 좋아하지만 라이팅은 안 좋아함. 문법적이거나 알파벳 쓰기 섬세하지 않음. 단어에 -s 붙이기나, 대문자, 마침표 등 꼼꼼하게 봐달라고 하심. 픽션보다는 논픽션을 훨씬 좋아한다고 하심.</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L2">
      <text>
        <t xml:space="preserve">Date: February 3rd
Who: Naomi
What kind of sangdam: New student
Color: light green</t>
      </text>
    </comment>
    <comment authorId="0" ref="L3">
      <text>
        <t xml:space="preserve">Date: February 3rd
Who: Naomi
What kind of sangdam: New student
Color: light green</t>
      </text>
    </comment>
    <comment authorId="0" ref="L4">
      <text>
        <t xml:space="preserve">Date: February 3rd
Who: Eddie
What kind of sangdam: Happy call (1st/2nd/3rd session sangdam)
Color: yellow</t>
      </text>
    </comment>
    <comment authorId="0" ref="L5">
      <text>
        <t xml:space="preserve">Date: February 3rd
Who: Hyeona
What kind of sangdam: class change student
Color: white</t>
      </text>
    </comment>
    <comment authorId="0" ref="L6">
      <text>
        <t xml:space="preserve">Date: February 3rd
Who: John
What kind of sangdam: current student sangdam (complaints, feedback ect.)
Color: orange</t>
      </text>
    </comment>
    <comment authorId="0" ref="L7">
      <text>
        <t xml:space="preserve">Date: February 3rd
Who: Kevin
What kind of sangdam: quit student
Color: gray</t>
      </text>
    </comment>
    <comment authorId="0" ref="L8">
      <text>
        <t xml:space="preserve">궁금한거 따로 없이 학생이 Twinkle 다녀와서 너무 즐거워하고 하나하나 모두 잘 이야기해준다고하심. 선생님한테나 행정적으로 아직 궁금한것은 없고 너무 세심하게 잘 케어해주셔서 감사하다고 표현하심.</t>
      </text>
    </comment>
    <comment authorId="0" ref="L9">
      <text>
        <t xml:space="preserve">선생님이랑 할때 재밌게, 후루룩 빨리 하고와야 집에서 해야하는 분량 없어진다고 팁을 줬다고함.
혹시 진도가 너무 낮다고 생각하진 않는지 여쭤보았고 전혀 아니라고함. 영유출신이지만 잘 따라오고 있는 것 같고 노블이 글밥이 많아지고 글씨가 작아지니 학생이 조금 어려워하는 부분이 있는데 이해를 하니까 잘 따라가고있다고 생각함. 논픽션이 어려워서 힘들어할줄알았는데 오히려 
다른 어머님이랑 이야기했는데 처음에는 엘레베이터 등 등/하원 시간 변동이 있어서 처음에 힘들었는데 생각보다 적응이 쉬웠다. 
주차, 엘리베이터 이야기가 많았는데 요령들이 생겨가지고
주차, 엘리베이터 때문에 학원 선택을 하지 않았던 학부모님이 많았고 맞춰서 이야기하는건 아닌가 생각했는데 결과적으로 보니 너무 잘 선택한 것 같다. 다른 학원이랑 병행하는 학부모님들이 있어서 이동이 있을까봐 걱정했으나 반이 어수선해질까봐 걱정이긴하고 3월되면 안정적으로 세팅이되지 않을까
Pros
: 학생이 스스로 너무 재밌다고함. 학원가는거 기다리고 수업도 너무 열심히 준비함. 테스트 걱정을 많이했는데 본인이 최선을 다해서 열심히 잘해오고 있는 것 같다. 
어머님이 걱정되는 부분은 인원적인 부분에 대해 변동이 있을까 걱정
유치부쪽에 있어서 차분하지 않을까 아직 1학년 학생이라 집중력
두선생님을 따로 보지 않는게 장/단점이 있을거라 생각함. 선생님이랑 할때 재밌게, 후루룩 빨리 하고와야 집에서 해야하는 분량 없어진다고 팁을 줬다고함. 혹시 진도가 너무 낮다고 생각하진 않는지 여쭤보았고 전혀 아니라고함. 영유출신이지만 잘 따라오고 있는 것 같고 노블이 글밥이 많아지고 글씨가 작아지니 학생이 조금 어려워하는 부분이 있는데 이해를 하니까 잘 따라가고있다고 생각함. 논픽션이 어려워서 힘들어할줄알았는데 오히려 
다른 어머님이랑 이야기했는데 처음에는 엘레베이터 등 등/하원 시간 변동이 있어서 처음에 힘들었는데 생각보다 적응이 쉬웠다. 
Cons:
주차, 엘리베이터 이야기가 많았는데 요령들이 생겨가지고
주차, 엘리베이터 때문에 학원 선택을 하지 않았던 학부모님이 많았고 맞춰서 이야기하는건 아닌가 생각했는데 결과적으로 보니 너무 잘 선택한 것 같다. 다른 학원이랑 병행하는 학부모님들이 있어서 이동이 있을까봐 걱정했으나 반이 어수선해질까봐 걱정이긴하고 3월되면 안정적으로 세팅이되지 않을까</t>
      </text>
    </comment>
    <comment authorId="0" ref="L10">
      <text>
        <t xml:space="preserve">너무 재밌다고 표현하며 숙제도 혼자는 잘 하고 있다고함. 학생도 트윈클 좋아하고 담임 선생님도 피드백 자세히주시고 꼼꼼하게 봐주셔서 좋다고 표현하심. 반 아이들이 최근 나간 것 같아 왜 변동이 있는건지 물어보셨고 다른 반에 비해 유난히 초기 변동이 조금 있었지만 이제 안정된 것 같다고 말씀드림. (학부모님들끼리 이야기를 많이하는 반이라는 느낌이 강하게듬)</t>
      </text>
    </comment>
    <comment authorId="0" ref="L11">
      <text>
        <t xml:space="preserve">2:50 시작하는 시간도 괜찮고 행정적, 학업적으로 불편한것 없다고하심. 학생도 너무 재밌게 잘 다니고있어서 담임선생님한테 오는 피드백에 답장을 잘 못드리고 있어서 죄송하다고함. 통화 길게는 어려운 상황으로 앞으로 궁금한 부분에 대해 언제든지 연락달라고 부탁드림.</t>
      </text>
    </comment>
    <comment authorId="0" ref="L13">
      <text>
        <t xml:space="preserve">쓰기에 대한 숙제가 많아 어려워하기는 하나 수업 자체는 재밌다고함. 학생이 오히려 집에서보다 친구들끼리 있을때 더 말을 잘하고 집에서는 물어보지 않으면 따로 이야기하지 않는다고해서 궁금하다고 하셨고, 반 문위기나 Jane 학생이 친구들과의 주도적인 분위기 형성하고 있는 부분 설명드림. 친구들이랑 잘 맞는 것 같아 한편으로 너무 안심된다고하셨고 유치부에서 초등부로 넘어가는 연령대 학생들이다보니 유치부 교실에서 더 편하게 마음을 금방 열은 것 같다고 하심. 오히려 붐비는 쪽 보다 유치부쪽 위치와 시간 모두 좋다고 하심.</t>
      </text>
    </comment>
    <comment authorId="0" ref="M13">
      <text>
        <t xml:space="preserve">평소 굉장히 밝고 활기찬 학생인데 최근에 수업 끝나고 나왔을때 좀 슬퍼보이기도했고 가장 최근 Laura 선생님의 피드백이 조금 짧아 혹시 Jane 학생이 선생님한테 뭘 잘못했나 궁금해하셔서 Laura 선생님과 이야기한 후 전혀 그런 상황 없었다고 피드백 드림. 이후 궁금하신 부분 없는지 여쭤보았고 트윈클에서는 시험이 없다보니 다른 학원에서 시험을 보러 다녀야한다고함. 시험을 보면 객관적인 수치로 부족한 부분이 어디다라고 딱 보인다고하심. 최근 진행한 설문조사로 인해 이런것들이 개선될 수 있는지 물어보셨고 자세한 상담 드리며 상황 안내드림.</t>
      </text>
    </comment>
    <comment authorId="0" ref="L15">
      <text>
        <t xml:space="preserve">선생님 소개 등 학습 및 숙제 설명 드리고 학원 규정 설명드림. 보강 관련 문의 하신것 외에 별다른 얘기 없으심.</t>
      </text>
    </comment>
    <comment authorId="0" ref="L18">
      <text>
        <t xml:space="preserve">숙제 키즈노트로 단체항의</t>
      </text>
    </comment>
    <comment authorId="0" ref="L19">
      <text>
        <t xml:space="preserve">트윈클 유치부졸업생이었으나 1월에서 3월까지 MI에서 공부하고 트윈클에서 4월부터 시작하게 되심. 원래는 Ace레벨이었으나 트윈클 유치부 친구들과 같은반이 되고 싶어, 유치부졸업생 특혜로 추가 인터뷰 진행하여 Jayson원장님 컨펌하에 1E로 재원하게 됨.
Sofia는 수업에 잘 적응하고 있으며 부스터클래스 요청도 받은적이 없으나, 어머니께서 불안감이 높으셔서 내년에 배울 소설책을 미리 읽히시고 아이가 흥미를 없어하는 부분에 대해서 걱정하시어 앞으로 배울 소설리스트를 요청하시거나 수업에서 부족한 부분이 없는지 걱정하심.
아이가 재원한지 2달밖에 되지 않았고, 6월은 리포트카드 준비기간이라 리포트카드가 완성되면 업데이트 된 상담을 드리겠다고 1차적으로 설명드리고,
아이가 배울 소설에 대한 이해는 지금 체크하시는것보다 그사이 sofia도 성장할 것이기 때문에 현재 영어학습에 집중하고, 특히 한국어능력도 영어에서 중요하기 때문에 한국어책도 함께 많이 읽혀주시라 설명드림.
트윈클생활에 안정이 되었는지, 다른친구들사이에서도 주도적으로 잘하고 있는지, 아이가 힘든시간을 파악하지 못하고 나중에 어려워하는것을 늦게 알게될까 불안해하심, 글쓰기도 문장구조등 어떻게 개선하면 좋을지 궁금해하심. </t>
      </text>
    </comment>
    <comment authorId="0" ref="L20">
      <text>
        <t xml:space="preserve">박주하 Lina 쌍둥이 형제와 같이 시험을 봤는데 대기 상황 궁금해하심.
담임선생님 두분이 교수부장 선생님이라고 설명드리니 그럼 두 분다 오래다니신 선생님이냐고 여쭤보심. 
반에 한국인 담임 선생님은 없는지 여쭤보셔서 100% 원어민 수업이라 담임선생님은 없지만 쉬는시간에 
부원장님실에 찾아오면 언제든 궁금한 점 설명 가능하다고 말씀드림
학생 자체는 낯가리거나 그런부분 없이 활발한 편이라고 함. </t>
      </text>
    </comment>
    <comment authorId="0" ref="L21">
      <text>
        <t xml:space="preserve">레벨업이 관심이 많으셨음. Elite와 Ace 레벨차이 및 레벨업 어떻게 하는지 설명드림. 
테스트준비, 숙제하는방법등 같은반 학생들의 예시로 설명드렸음.
어머니께서 워킹맘이라 매수업 후 20분정도 뒤에 픽업해도 되냐고 물으셔서, 학생의 안전관리상 매수업시간마다 불편한 브레이크룸에 있는것은 어려워보인다고 설명드리고, 가끔씩 급하실떄는 데스크에서 캐어할수 있다고 양해구함.</t>
      </text>
    </comment>
    <comment authorId="0" ref="M21">
      <text>
        <t xml:space="preserve">채린학생이 기대이상으로 수업을 너무 재밌게 듣고 있다고 하셨고, 수업전에 미리 Novel도 먼저 읽고 가는 등 수업 참여에 적극적인 모습을 보여서 만족 스럽다고 하셨고,
무엇보다도 Emma 문하윤 학생이 같은 유치원 출신인 덕분에 수업에 더 빨리 적응한 거 같다고 하심.
또한 아직은 커리큘럼이나 숙제, 적응 관련 어려움이 없어 질문은 따로 없다고 하시고 언제든지 궁금하신 점이나 건의사항 있으시면 연락 요청드리고 통화종료함
</t>
      </text>
    </comment>
    <comment authorId="0" ref="L22">
      <text>
        <t xml:space="preserve">하엘이는 미국에서 살다 옴. 어머님께서 말씀하시길, Hael은 매우 외향적이고 수업에 잘 참여할 것이라고 하심. 전혀 수줍어하지 않으며, 예민하지도 않아서 새로운 친구들과도 잘 어울릴 것이라고 함. 
학습 면에서는 글쓰기에 추가적인 도움이 필요함. 미국 학교에서 왔기 때문에 글쓰기가 잘 정리되지 않았고, 구조적인 부분에서도 도움이 필요하다고 말씀하심.</t>
      </text>
    </comment>
    <comment authorId="0" ref="L28">
      <text>
        <t xml:space="preserve">어려운게 없다고하고 재밌게만 다니고 있다고함. 공휴일 결석시에는 보강보다는 이월을 해주셨으면 좋겠지만 무리하게 요청드릴 수 없는 부분인 것 이해하심. 
유진 학생 친구들은 유치부 연계(SLP)하는 비율이 굉장히 많았는데도 불구하고 트윈클을 선택한게 후회 없다고하셨고 숙제가 많이 줄어서 학생들이 적응하는데 어려움이 없는 것 같다고 하심.</t>
      </text>
    </comment>
    <comment authorId="0" ref="L29">
      <text>
        <t xml:space="preserve">학생이 트윈클 자체를 굉장히 재밌어한다고함. 보캡이 약해서 외우는데 스트레스 받고 있다고해서 초등으로 진학하면서 새로운 유형의 시험으로 부담이 있을 순 있겠지만 처음부터 너무 부담가지지 않도록 지도 부탁드린다고 요청함. 홍대부초 진학하면서 당분간 10분씩 수업 늦을 것 같다고 하셨고 미리 상담 나눈 내용이긴 하지만 최대한 빠르게 40분 혹은 50분 시작반으로 변경 희망하심. 반 이동 관련 절차 정확히 설명드림</t>
      </text>
    </comment>
    <comment authorId="0" ref="L31">
      <text>
        <t xml:space="preserve">활발한편이고 말하는 것 좋아하는편이라고함. 수업이 너무 어렵진 않을까 걱정하셨고 전형적인 남학생들처럼 Writing을  많이 좋아하지 않는다고 하셨고 ClassDojo 관련 도움 요청하심.</t>
      </text>
    </comment>
    <comment authorId="0" ref="L32">
      <text>
        <t xml:space="preserve">3A  Jini 동생
트윈클 커리큘럼에 대한 신뢰가 높으시고 현재 형이 3A반에서 너무 잘하고 있어서 동생도 트윈클 선택하게 되심.
11월부터 영어교육기관을 멈춘상태라 학원에 적응하는 시간이 필요하겠지만 워낙 활발한 성향이라 잘 적응할수 있을것 같고 기대가 된다고 하심. 특히 트윈클선생들에 대해 만족하신다고 하심.
전반적으로 트윈클에 대해 잘 알고 계셔서 1학년 커리큘럼과 수준, 숙제에 집중해서 상담드림.</t>
      </text>
    </comment>
    <comment authorId="0" ref="M32">
      <text>
        <t xml:space="preserve">두 선생님 수업을 즐겁게 잘 듣고있고, 같은 반 학생들과 많이 친해져서 수업참여를 더 즐거워 한다고 하심. 다만 상후가 친구들과 장난이 과해서 수업분위기를 해친다거나 문제가 될 경우를 염려하셔서 현재 Dojo comments 미발송 기간인 점 감안하여 만약 해당부분이 발생하면 개별적으로 연락을 드릴수 는 있다고 안내드림.
또한 어머님도 상진 학생이 오랫동안 트윈클 재원한만큼 숙제, 단어 시험준비는 이제 가정에서 잘 하고있고, 지도 하는데 어려움이 없다고 하심.
기타 행정적인 부분과 데스크 응대부분도 너무 만족한다고 하셨음.
마지막으로 어머님이 상후 학생이 트윈클 Ace 반 교재 수준이 쉽지 않음에도 잘 따라가고 크게 어려워하지 않고 수업을 잘 듣는 점에 대해 트윈클에서 잘 지도해주는 덕분이라며 감사인사를 주셨고, 이에 상진, 상후 학생 모두 트윈클과 같이 성장하는 모습을 보여드릴 수 있어 저희도 기쁘다고 감사 인사드리며 통화마무리
</t>
      </text>
    </comment>
    <comment authorId="0" ref="L33">
      <text>
        <t xml:space="preserve">Dux에서 공부함. 그동안 글쓰기가 많이 늘지 않음. 뭘써야할지 모르는 느낌. 아이디어와 생각이 자라지 않는 느낌. 틀에 박혀서 쓰는것을 필터링하는 느낌. 넌픽션수업에 대한 필요성을 느껴서 트윈클에서 공부시도하게 됨. 1학년인만큼 선생님들에 대한 성향 중심으로 수업설명드림.</t>
      </text>
    </comment>
    <comment authorId="0" ref="M33">
      <text>
        <t xml:space="preserve">두 선생님 수업 재밌게 잘 듣고 있고, 수업 따라가는데 어려움은 다행히 없다고 하심.
다만 수업 첫주에 남학생들이 장난기가 심해서 살짝 적응이 안되고 우려했는데 지금은 수업 분위기에 나름 적응해서 괜찮다고 하셨고, 그 나이때 남학생들이라서 그런 거 같다고 하심. 혹시라도 남학생들의 attitude 문제가 심하다고 판단이 되면 담당선생님들과 확인 후 조치를 취할예정인 점 참고 요청드림.
선생님들 Comments 는 잘 보고 있다고 하셨고, 고객응대, 행정적인 부분 또한 만족스럽다 하셔서 감사인사 드리고 통화종료
</t>
      </text>
    </comment>
    <comment authorId="0" ref="L34">
      <text>
        <t xml:space="preserve">활발하고 적응을 너무 잘한다고함. 낯가림도 전혀 없다고하셔서 학업적으로 어려움이나 궁금하신 부분 여쭤봤더니 리딩, 라이팅에도 거부감이 전혀없어서 트윈클에서 기대 많이 된다고하심. 다만 너무 활발해서 선생님들이 지도 잘 해주시길 부탁드렸고 선생님들이 신규인지 물어보셨음. 신규 선생님들이시긴하지만 트레이닝 마치고 현재 재학중인 반 서브 티칭하신다고 말씀드림.  오히려 장점이 될 수 있는 부분 설명드렸고 기대를 많이 하심.</t>
      </text>
    </comment>
    <comment authorId="0" ref="L38">
      <text>
        <t xml:space="preserve">학생이 수업 너무 좋아하는데 3시간이 좀 길어서 힘들어하는 것 같다고함. 그래도 물어보면 그만두지 않고 다니겠다고함. 선생님 피드백 붕에서 집중력이 흐트러지는 내용이 가끔이 있어서 걱정된다고하셨고 연령이 어리다보니 좋아질거라 기대하심. 라이팅과 스피킹 발전 목표로 트윈클 선택하셨고, 윗반에 재학중인 친구들이 있는데 그 친구들도 교재가 많이 어렵다고 표현했다고함. Novel 선정 관련해서 안내드렸으며 선생님 선호도에 대한 소문 전달해주시며 오래계셨던 선생님들 반으로 이동도 궁금해하심. 담임선생님 장점에 대해 정확히 설명드리며 반변동에 대한 상황도 안내드림.
</t>
      </text>
    </comment>
    <comment authorId="0" ref="L39">
      <text>
        <t xml:space="preserve">학생이 재밌다고 표현하고 교재나 소설책이 평소 읽던것보다 쉽다고 하심. 읽기 노출이 확 줄어들다보니 영도를 같이 다녀아하나 고민하기도하고 소문이 있다고함. 라이팅은 상상해서 적어야하는 부분이 처음이라 어려워하기는 했지만 자리 잡아가는 것 같다고함. 
영유 3년 재학하고 입학시험 grammar 90에 반해 Top반 아쉬워서 안보낼라고하다가 트윈클 워낙 좋아해서 레벨업 계획하고 있다고하심. 선생님들 피드백 상세해서 좋다고 하심.</t>
      </text>
    </comment>
    <comment authorId="0" ref="L40">
      <text>
        <t xml:space="preserve">담임선생님이 세션 초반에 계속 사전숙제를 내주셔서 전화 상담을 하셨다고했고 이후 반영된 부분에 대해 말씀해주심. 어머님이 궁금한 부분이나 학생이 특별히 어려움 토로하는건 없다고하셨으나 지인이 12월에 시험 보고 Top반 합격했다고 들었다고함. 그래서 기존 재학생들에게 너무 무리되는 상황으로 반을 늘리고 사업을 확장하려는건 아닌지 우려된다고하셨음. 기존 선생님들 스케쥴에 무리하게 영향끼치는 부분이 아니라 신규 선생님 고용부터 트레이닝까지 순차적으로 진행되고 있는 상황과 12월 시험본 지인은 현재 합격해서 들어올 수 있는 상황이 아니라 대기인점 명확하게 안내드림. 재학생들 피해없을 수 있도록 신경써달라고하셔서 언제든지 궁금한 부분 있으면 전화해서 상담실장 찾아달라고 부탁드림.</t>
      </text>
    </comment>
    <comment authorId="0" ref="L41">
      <text>
        <t xml:space="preserve">경쟁심이 있는 편이라 성적에도 예민하고 숙제도 열심히한다고함. 덕스 몇 개월 재학했었는데 갈때마다 학업적인 분위기로 스트레스 많이 받았다고하여 트윈클의 커리큘럼과 학업 분위기에 기대하 많다고하심.</t>
      </text>
    </comment>
    <comment authorId="0" ref="M41">
      <text>
        <t xml:space="preserve">반 이동 문의 주심. Greg 선생님이 재미가 없다고 자꾸 가기 싫다고 한다고함. 반 안내 드렸고 다시 한번 생각해보고 연락 주시기로 함.L</t>
      </text>
    </comment>
    <comment authorId="0" ref="L42">
      <text>
        <t xml:space="preserve">굉장히x2 활발하지만 특별히 선생님들에게 지적받은적은 없다고함. 누나가 2-3년전쯤 트윈클 재학해서 너무 잘 알고 있다고 하셨음. 천천히 다니면서 더 알아가겠다고하셨고 극존칭 사용하시며 굉장히 나이스하심.</t>
      </text>
    </comment>
    <comment authorId="0" ref="M42">
      <text>
        <t xml:space="preserve">학생이 스스로 너무 재밌게 잘다니고 만족스럽다고 표현한다고함. 행정이나 커리큘럼, 숙제적으로 궁금한거 없다고 하셨으며 트윈클 전적으로 믿고 보낸다고 하심.</t>
      </text>
    </comment>
    <comment authorId="0" ref="L43">
      <text>
        <t xml:space="preserve">초반에 낯을 가리는편이라 첫 수업 말하는거와 적응 후에 말하는거 자체가 다르다고하셨음. 시험이나 숙제관련 문의하셔서 상담해드렸고 학업적으로 특별히 걱정되는건 없지만 유급되는 경우도 있냐고 물어보셔서 시험이나 특정 결과에 따라 반이 내려가는건 없다고 말씀드림.</t>
      </text>
    </comment>
    <comment authorId="0" ref="M43">
      <text>
        <t xml:space="preserve">상당히 재밌게 다니고 있고 지금까지는 만족도 최상이라고함. 숙제도 어려워하지 않고있고 처음에 단어 시험 유형을 몰라서 적응하는데 시간이 걸렸지만 지금은 집에서도 어렵지 않게 한다고함. (등원 첫 주에 화장실이 어딘지 몰라 데스크 앞에서 울고 있었고 Hailey가 현장에서 확인하고 도움줌.)</t>
      </text>
    </comment>
    <comment authorId="0" ref="L44">
      <text>
        <t xml:space="preserve">영어유치원 2년차에 2점중반 책 일고 있음. CLS에서 공부함.
말하는것을 좋아하는편인데 초등학교에 가고나서부터 한국말은 잘하는데 영어로 말하기는 더 힘들어지고 있음. 트윈클에서 말하는 기회가 많다고하여 아이가 늘 더 말하고 싶어하는만큼 영어로 편안하게 표현을 할수 있었으면 좋겠다고 하심.
그리고 한국어책은 잘 읽지만 영어책은 혼자 읽으려고 하지 않아서 트윈클을 통해 소설의 즐거움도 깨닫길 바라심.
3학년때 어머니 직업으로 미국에 주재원계획이 있어서 그 사이까지 영어가 언어로써 잘 받아드려지길 바라심.</t>
      </text>
    </comment>
    <comment authorId="0" ref="M44">
      <text>
        <t xml:space="preserve">시원 학생 생각보다 두 선생님 수업 재밌게 잘 듣고 있고, 수업 따라가는데 어렵거나 하지 않는다고 하심.
두 선생님 Comments 도 이해가 잘되고 도움이 된다고 하셨음.
다만 숙제는 가정에서 잘 하고 있지만 단어시험은 이전에 이런유형의 시험을 본적이 많이 없어 준비하는데 시간이 걸리는 편이지만 시험형태에 익숙해지는 문제기 때문에 곧 잘 할거라고 생각한다고 하심.
마지막으로 Session test 관해 문의주셔서 전반적인 Session test의 목적과 구성, 시험날짜 등에 대해 설명드렸고, 시원 학생이 조인한지 2주정도 밖에 되지 않았기 때문에 시험에 대한 부담은 가지지말고 트윈클 시험에 익숙해지면 좋겠다고 말씀드림</t>
      </text>
    </comment>
    <comment authorId="0" ref="L53">
      <text>
        <t xml:space="preserve">첫수업시간에 말을 쉬지 않고 계속해서 아서선생님이 수업이 어려우셨음.
교실밖에 나와서 아이와 선생님 1:1로 차분하게 어떻게 수업을 들어야하는지 이야기 나누었는데 아이가 감정을 주체하지 못하고 많이 울었음.
두번째로 네오미와 한국말로 이야기 나누고 마음 추스리고 교실로 들어감.
유치부때도 말을 쉬지 않고 했지만 그외에는 수업을 잘하는 편이었다는점 체크하고 학부모님께 수업끝나기전에 전화해서 오늘 상황 설명 드렸고, 어머니께서도 잘 이해하심.
아이 첫수업 긍정적인 경험될수 있도록 수업끝나기전에는 좋은 분위기로 마무리하겠다고 설명드림.</t>
      </text>
    </comment>
    <comment authorId="0" ref="M53">
      <text>
        <t xml:space="preserve">이후 연락오셔서 정확히 어떤상황인지 알고 학생 지도하고자 문의하셨고 Art 선생님과 이야기해서 전달드림. 어떤 상황인지 알 것 같다고하시며 선생님에겐 전달안해주셔도 괜찮고 어머님이 지도하신다고하심. Sion 학생이 타 학원의 '무서움'으로 트윈클을 선택했고 첫 수업을 너~~무 기대했는데 그 '무서움'이 첫날 느껴져서 당황했던 것 같다고하심.</t>
      </text>
    </comment>
    <comment authorId="0" ref="N53">
      <text>
        <t xml:space="preserve">첫 수업 이슈 이후 Art 선생님께서 지속적으로 손들고 이야기하는거에 대해 연습하고 있다고 피드백이와서 혹시 계속 문제가 있는건지 물어보심. Sion 학생 성향상 트윈클과 너무 잘 맞을 것 같다고 주위에서도 이야기하고 어머님도 그렇게 생각해서 트윈클아니면 가고싶은곳이 없다고 하셨는데 혹시 담임 선생님이 시온학생을 싫어하는건 아닐지 물어보심. 담임 선생님과 이야기해서 정확한 의도에 대해 설명드렸고 아직 더 노력이 필요하지만 저학년 학생인만큼 당장 고쳐질 수 있고 또 크게 이슈가 되는 부분 아니라고 잘 설명드림.</t>
      </text>
    </comment>
    <comment authorId="0" ref="L54">
      <text>
        <t xml:space="preserve">영유 다닐때부터 라이팅을 하던 곳이라 라이팅은 크게 걱정은 없는데 유치원 졸업 후 한달 푹 쉬고있어서 실력이 너무 줄진 않았을지 걱정하심. 레테 너무 재밌게하고왔다고함. 너무 까불지 않을까 오히려 걱정하심.</t>
      </text>
    </comment>
    <comment authorId="0" ref="L55">
      <text>
        <t xml:space="preserve">해맑은 학생이라고 말해주셨으며 최근 승안학생 누나인 지안이나 MI에서 굉장히 좋은 평가를 받았다고 말씀해주심. 트윈클에 익숙한만큼 가정에서 많이 도움줄거라고 이야기하셨고 승안학생 성향이나 학업 스타일에 따라 학원에서 도움줄 수 있는 부분이 분명 있으니 언제든지 연락달라고 부탁드림.</t>
      </text>
    </comment>
    <comment authorId="0" ref="M55">
      <text>
        <t xml:space="preserve">승안이 반에 학생들이  트윈클 유치부 출신이라 다른 학생들에 비해 잘 못따라가고 있다는 걱정을 가지고 계셨음. 담임선생님들께 해당 상황 공유드리고 피드백을 받았는데, 승안이는 해당 학년과 레벨, 친구들과 비교해도 부족함 없이 잘 하고 있다고 했고, 추가로 더 나은 학습을 위해서 기본적인 이해력향상, 주동일치, 사전두고 이해력 높이기 등 제안주신 방법을 설명드렸음. 어머니께서 누나를 트윈클에 오랫동안 보내셔서 워낙 강한 신뢰가 있으셔서 트윈클 믿고 보내신다고 말씀주심.
매달 다른 소설을 공부하며 학생의 체감하는 흥미도, 난이도가 다르기 때문에 필요시 부스터 수업 추천해주기로 하셔서 그 내용도 전달 드리니 선생님들께 너무 고맙다고 감사인사 전해주심.</t>
      </text>
    </comment>
    <comment authorId="0" ref="N55">
      <text>
        <t xml:space="preserve">5월상담에서 승안이 잘 진행되고 있는지 한달뒤에 업데이트 드리겠다고 안내드려서 에프터캐어 상담 드림.
그동안 승안이는 학습 뿐만 아니라 친구들이나 학습환경에 대한 적응도 아주 잘했음. 수업시간 체크하고 학생과 교감하며 안정화된 모습 보인점 어머니께 전달드리고, 학습프로그레이스는 누나인 지안이와 함께 7월에 업데이트 드리겠다고 설명드림.
해당남매의 어머니의 경우 트윈클에 대한 신뢰가 아주 높으시고 협조적이시며, 트윈클이 학생 및 수업관리를 하는데 맘카페, 학부모님들의 생각을 잘 전달해주시는 분이라 더 신경써서 관리하고 있음.</t>
      </text>
    </comment>
    <comment authorId="0" ref="G58">
      <text>
        <t xml:space="preserve">기본 수령 번호 아버님 번호로 요청하심
010-3693-7615</t>
      </text>
    </comment>
    <comment authorId="0" ref="L58">
      <text>
        <t xml:space="preserve">친구들도 좋고 선생님도 좋아서 지금까지는 만족하면서 추천도 많이하고 있다고함. 학생이 너무 행복하게 다니고 있는 것 같아 감사하다고 하셨으며 아직은 커리큘럼이나 숙제, 적응 관련 어려움이 없어 질문이 없는데 다른 학부모님들도 그러한지 머쓱하게 물어보심. 지오학생이 적응을 워낙 잘하고 성향적으로 잘 따라가고 있다는 증거인 것 같다고 말씀드렸고 학업 피드백에 대해 자세히 안내드리기로함.</t>
      </text>
    </comment>
    <comment authorId="0" ref="L59">
      <text>
        <t xml:space="preserve">수업을 잘 따라가고있는지 궁금한거 제외하고는 행정, 커리큘럼적으로 문의사항 없다고하심.</t>
      </text>
    </comment>
    <comment authorId="0" ref="L61">
      <text>
        <t xml:space="preserve"> 아이가 숙제로 힘들어한다고 데스크에 첫상담 기다린다고 하심. 
쉬는시간 아이와 숙제 어떤 부분이 힘든지 물었고, 다원이 대답은 픽션 넌픽션 모두 숙제하는게 어렵고 숙제할때마다 아빠가 화가난다고 함. 로알드 시리즈할때 어려웠다고 함.
아마 노블에 따라서 흥미도 달라지는점 예측할 수 있고, 3주차에 체력적으로도 지치니 숙제가 힘들어 질 수 있는 점. 
첫주상담에서 선생님피드백 취합하여 상담필요</t>
      </text>
    </comment>
    <comment authorId="0" ref="M61">
      <text>
        <t xml:space="preserve">Dylan, Marco 선생님 모두 수업 집중도, 참여도, 숙제완성도 높다고 이야기했고 학생의 문해력이 좋고 문법은 훨씬 더 매끄럽다고함. 집에서 라이팅 써와도 되는지 물어봤다고했고 Dylan 선생님은 수업시간에 실수하고 배우는것에 대한 의미를 설명해줬다고함. 쉬는 시간에도 몇명의 친구들만 노는게 아니라 모든 친구들과 잘 어울린다고함.
상황 전달하니 어머님께서는 다른친구들이 너무 잘해서 Dawon이 유난히 떨어지는건 아닌지 걱정되었다고하는데 이제는 가정에서 너무 도와주기보다는 학원에서 틀리고 모르는것도 물어봐가면서 배우게끔 놔두겠다고하시며 트윈클 믿는다고하심. Dylan 선생님 피드백 너무 꼼꼼해서 감사하다고 꼭 전달해달라고하심.</t>
      </text>
    </comment>
    <comment authorId="0" ref="L65">
      <text>
        <t xml:space="preserve">2년동안 영국에서 공립학교 재학했고, 친구들이랑 잘 어울리는편. 시험 두군데를 봤는데 트윈클의 스피킹, 라이팅, 창의력, 자유로운 분위기가 강한것 장점으로 보고 결정함
교재를 보고 한국학생들에 비해 이해력, 단어가 떨어질 것 같아 우려됨. 트윈클 환경적으로 국제학교, 해외 재학 학생들이 장점이될 수 있는 점 설명드림.</t>
      </text>
    </comment>
    <comment authorId="0" ref="M65">
      <text>
        <t xml:space="preserve">아이는 너무 재미있게 다니고 있지만 어머님은 학습하는 레벨이 아이에게 높은게 아닌지 걱정하심. 
단어 스스로 공부 안하다가 시켜야하고, writing도 structure에 맞게 안써서 선생님께 여쭤보기도 하셨다고. 주제에서 벗어난 이야기를 많이 씀. 전반적으로 잘 하고 있는지? 반에 잘 따라가고 있는지? 어머님이 보기에 아이가 하는게 엉망인것 같다고 하심. (따로 피드백 원하지 않으심.)
단어 시험 점수 문의 하심. (100점이 넘는데 맞는지?)
불만이 있으신건 아니고 걱정하셔서 한달 정도 다니고 한번 선생님들로부터 학업 피드백 받아보셔도 좋을것 같다고 안내드림.</t>
      </text>
    </comment>
    <comment authorId="0" ref="L68">
      <text>
        <t xml:space="preserve">생각 했던 것 보다 훨씬 더 재밌게 잘 적응해서 다니고 있다고함. 노블을 어려워하는데 유민이만 그런건지 다른학생들도 그런지 궁금해하셨음. 개념자체를 어려워하는지 여쭤보았고 개념보다는 책 자체에 대한 부담감인 것 같다고하심. 3월 출산 앞두고 계셔서 아버님이 숙제 도움 줄거라고 말씀하셨고 유치원 재원할때에 비해 단기간 라이팅이 많이 늘어 놀랐다고하심. 그룹티어도 너무 좋고 선생님, 데스크 선생님들, 부원장님, 상담실장님 모두 너무 친절하고 적극적으로 도와주셔서 감사하다고 하심.</t>
      </text>
    </comment>
    <comment authorId="0" ref="M68">
      <text>
        <t xml:space="preserve">어머님이 데스크오셔서 Marco 에게 숙제가 요즘 불완전한 부분이 있다고 하여 피드백 받았다고 하심. 어머님은 최근들어 둘째 임신과 출산이 겹쳐 유민학생 숙제를 지속적으로 제대로 봐주지 못했다고 하시며 이 부분 추후 가정에서 지도하겠다고 하시면서 이 내용 Marco 선생님에게 전달 요청하심. 이에 어머님께 너무 걱정말라 하시고 Marco에게 해당내용 전달 후 추가적으로 전달드릴 내용 있으면 전화드리겠다고 함</t>
      </text>
    </comment>
    <comment authorId="0" ref="L69">
      <text>
        <t xml:space="preserve">선생님들 피드백이 대략적으로 좋은말만 있어서 걱정은 없고 학생도 재밌게 다닌다고함. 워낙 표현을 안하는 학생이라 수업에 대한 이해도나 참여도가 궁금하시는하고, 각혹 산만하다고 이야기 들었는데 어느 정도인지 피드백 요청하심. 타 기관은 원더스나 미교 사용하는데 반해 트윈클에서 사용하는 자체교재나 커리큘럼이 색다르다고 말씀하셨고 노블이 너무 어렵다고 생각되어 걱정된다고하심. 책 선정 기준에 대해 말씀드리고 학업 피드백 받아 연락드리기로함.</t>
      </text>
    </comment>
    <comment authorId="0" ref="L71">
      <text>
        <t xml:space="preserve">아직 궁금한건 없다고 하셨고 Ivy 학생과 친하게 지내며 친구, 선생님 큰 어려움 없이 재밌다고 표현함. 트레이닝중인 선생님 (Jimin) 어떤 상황인지 여쭤보았고 지금 선생님들 너무 좋아서 바뀌지 않았으면 좋겠다고 하심. 쌍둥이 입학 너무 기다리고 계시는데 4월에 일단 등록해놓았다고하심. 쌍둥이 입학으로 컴플레인이 있었던 학부모님으로 알고있어 4월 선생님들 훨씬 더 많이 기대하셔도 좋을거라고 말씀드림.</t>
      </text>
    </comment>
    <comment authorId="0" ref="L72">
      <text>
        <t xml:space="preserve">온유 성적보다 높은반으로 배정된 것 같고 노블 수준이 너무 높은 것 같다고 하심. 라이팅도 이렇게까지 창의적인걸 저학년부터 시킬필요가 있나 싶기도하고 리라이팅을 다시 안하니까 선생님 체크해주신거를 아직 스스로 확인 불가하다고함. 아직 학습량이 좀 버거워 보이는데 학생 성향이 현실에 수긍하며 주어진일을 하려고하는 성격이 강하다고함. 단어 시험에서 짧은 센텐스가 아니라 because, 까지 끄지 않으면 점수를 깍는다고 하셨고 트윈클 학생들 수준이 너무 높아서 이렇게 정해져있는건지 선생님 마다 스타일이나 재량껏 진행되는지 궁금해하심. 번거로워도 궁금하신것 있으시면 언제든지 연락달라고 하고 기분좋게 통화 마무리함. </t>
      </text>
    </comment>
    <comment authorId="0" ref="L73">
      <text>
        <t xml:space="preserve">
친구관계 중요시해서 친한친구와 같이 폴리를 다녔는데 영어공부의 새로운 도전을 위해 트윈클을 다니게 되었다고함. 또래 친구보다 작아서 치이는 경우가 많은데 그런 부분을 조금 눈여겨봐달라고 하심. 영국선생님과 공부해본적이 없어서 학생이 수업을 못알아들을까봐 우려하셔서 안심시켜드렸고 초반 숙제부분에 대한 우려도 있어서 원장님 숙제도움반에서 도움 얻으실 수도 있다고 안내드림.
</t>
      </text>
    </comment>
    <comment authorId="0" ref="L74">
      <text>
        <t xml:space="preserve">학생이 괌 단기 어학연수를 위해 1월 한달 휴원할 예정. 휴원비 안내완료. 
학생이 굉장히 활발하고 말도 굉장히 많은편이라 혹시나 너무 말을 많이 한다 하면 선생님께서 좀 제지해줘도 좋다고 하심. 성격이 급한편이라 이전 MI다닐때도 롸이팅을 빨리 끝내고 다른 친구들 롸이팅 하길 기다리며 혼자 지루해 하는 경향이 있었음. 요즘 시기가 예민해서 초상권 동의는 하지 않을 예정이지만 얼굴에 스티커만 잘 붙여준다면 SNS 포스팅 괜찮다고 하심</t>
      </text>
    </comment>
    <comment authorId="0" ref="L75">
      <text>
        <t xml:space="preserve">은재 학업에 대한 궁금한점 없다고 다녀봐야 알것같다고 하셔, 학습하다 궁금한 부분은 꼭 말씀 달라고 전달 드림. 
16,21 첫날 추후 보강하고 23일부터 등원 한다고 하심.</t>
      </text>
    </comment>
    <comment authorId="0" ref="L78">
      <text>
        <t xml:space="preserve">처음에 엄청 샤이하지만 하루, 이틀 지나면 입으로 사는 아이라고 하심. 성향적으로 트윈클이랑 너무 잘 맞을 것 같다고하셨고 오빠도 트윈클 시험봤는데 떨어졌다고함. 효주 학생이 워낙 말하고 디베이트 하는 환경을 좋아하고 지인들이 트윈클에 다니고 있어 기대가 많음. 24년 예비초 시험 보고 대기하며 3개월 이후 재시험으로 Top반 배정됨.</t>
      </text>
    </comment>
    <comment authorId="0" ref="L79">
      <text>
        <t xml:space="preserve">어머님이 Ben 이유완 학생과 관련하여 해당학생을 조심해야 한다고 하면서 의견주심. 어머님께 자세한 사유 여쭤보였으나 어머님이 이유는 끝내 말씀주기꺼려하심. 다만 학생이 타학원 및 학교에서 문제를 일으키는 경향 (대체적으로 싸움 )이 있다고 하셨음</t>
      </text>
    </comment>
    <comment authorId="0" ref="L81">
      <text>
        <t xml:space="preserve">다른 학원과 다르게 선생님 스펙 공개해주셔서 놀라셨다고함. 트윈클에 대한 기대가 크고 여학생이라 Non-fiction 좋아하지 않아 커리큘럼에 대해서 질문하심. 흥미로운 주제들을 접하며 오히려 더 즐겁게 이끌어갈 요소가 많은 점 설명드렸고 학생이 테스트 자체를 너무 싫어해서 걱정하심.</t>
      </text>
    </comment>
    <comment authorId="0" ref="L82">
      <text>
        <t xml:space="preserve">처음에는 부끄러워하지만 친해지면 발표도 잘하고 활발한편이고 다른 친구들을 잘 배려하고 챙기는 편이라고함. 아직까지 학업에 대한 걱정은 없지만 트윈클에서 워낙 잘 이끌어주실 수 있을거라 생각한다고 하심. 저학년이고 배려심 많은 성격인 만큼 의사표현하는데 어려움 없을 수 있도록 세심히 살피겠다고 말씀드림. </t>
      </text>
    </comment>
    <comment authorId="0" ref="L83">
      <text>
        <t xml:space="preserve">폴리에서 공부했고 트윈클에서 처음에 H레벨 받아서 A레벨인 언니레벨과 차이가 나서 아이가 가고싶지 않아했으나, 이번에 T레벨 받기도 했고 언니가 너무 재밌게 잘다니고 있어서 트윈클 가고싶어해서 등록하게 되었음
3점대 편하게 읽고 있고 챕터북 시작했음
어떤 기관에서도 적응을 잘하고 배운내용에 대해서는 학습하는 능력이 좋다고 하시며 트윈클 기대가 된다고 하심
언니와 같은 요일에 수업하길 희망하여 화목반 대기자로 등록함
</t>
      </text>
    </comment>
    <comment authorId="0" ref="M83">
      <text>
        <t xml:space="preserve">재밌어하기는하는데 수업시간이 길다고 표현했다고함. 저학년 학생들 첫달은 모두 힘들어하는 부분이라고 설명드렸고, 노블, 숙제, 가정 서포트 관련해서 궁금한 부분 많이 물어봐주셔서 상담드림. 어머님께서 믿고 보낼 수 있을 것 같다고 하시며 기분 좋게 상담 완료함.</t>
      </text>
    </comment>
    <comment authorId="0" ref="L84">
      <text>
        <t xml:space="preserve">어머님께서 단아는 말하는거 좋아하고 친구들과 어울리는거 좋아해서 트윈클과 잘 맞을 것 같아 등록하셨다고 함. 
학업적으로는 크게 걱정되는 부분은 없지만 아직 저학년이다보니 writing이 아직 훈련이 잘 안되어 국어도 영어도 격식에 맞춰 쓰는 부분이 잘 안됨. 그런 부분은 선생님께서 기본적인 것부터 잡아주시면서 진행되니 크게 걱정은 안하셔도 된다고 말씀 드림.
처음부터 다닌게 아니고 중간에 들어가는거여서 조금 걱정. 그래도 새로운 session에 시작하는 것이니 그로인해 힘든 부분은 없겠지만 내년되면 2학년이니 이번 3개월은 숙제하며 학업 습관 익히도록 도움 주시는것 말씀 드림.
Level up은 시험 본다고 들었다고 하심. 아니고 선생님들의 추천 필요. 절차 안내드림. T/H, E/A 같은 교재 쓰는데 반 레벨이 다른데 어떤 차이? 수업의 난이도나 라이팅 등 차이 있다고 말씀 드림.</t>
      </text>
    </comment>
    <comment authorId="0" ref="L85">
      <text>
        <t xml:space="preserve">레벨테스트결과에 대해 문의하심. 지난번 시험보고 H 결과 불만족으로 재시험보심. T 나왔는데 그동안 열심히 공부시켰는데 생각보다 안오른것 같아 우려하심. 트윈클 시험이 어느정도 레벨인지 말씀드리면서 이정도면 많이 오르고 방향 잘 잡아주신 부분 설명드림 . 학생이 적극적인편이 아니고 환경에 따라 쉬우면 쉽게 어려우면 잘 따라가는 성향이 있어서 낮은반 걱정하심. 친구들이 E, A다니고있고, 상담 후 설명듣고 희망적이여보임 감사하다고 하심. 적극적으로 할 수 있도록 선생님들 안내예정.
</t>
      </text>
    </comment>
    <comment authorId="0" ref="M85">
      <text>
        <t xml:space="preserve">처음 올때부터 레벨에 대한 불만족/고민.
현아실장님, 부원장님 순서대로 붙잡고 아이 레벨에대해 문의하심.
선생님 두분의 피드백 결과, 아직은 레벨업 불가. 선생님이 주는 키워드로 답을 써내려가지 못함. 도움 필요. 스피킹도 자신감 더 필요. 
집에서는 하율이가 자기만 말하고 아는것만 배운다고 함. 어머님 그래서 더 고민. // 선생님께 확인햇지만 아니라고 하심. 아마 참여를 안하는 한두명의 친구들이 각인되어 그렇게 기억할듯. // 쉬운거 배우는거는 단어 빗대어 설명드림. 쉬운단어 어려운 단어 섞어 배움. 이는 아는 단어도 정확하게 뜻을 알고 활용하기 위함. 하율이가 이미 아는 걸 배워도 그것을 말로, 글로 output을 보여주는게 중요. 그래서 쉬은걸 배워도 그냥 아는게 아니라 잘 활용하는게 중요하다고 설명드림.
어머님은 트윈클과 비슷한 학습철학을 가진 영유+초1을 4년간 보냈고 저학년때 이런 영어학습을 갈망하심. 그래서 더 조급. 고학년되면 어차며 한국식 영어 해야해서. / 집에서도 7세부터 한 라이팅 과외도 하고 리딩 과외도 한다고 하심.
어머님은 결국 레벨업 아님 퇴원 생각. // 피드백드린 부분 노력하고 입학한 6개월 뒤인 5월 중슨에 다시 레벨업 요청 말씀드림. 아이 성향과 학습력을 모두 정확하고 고르게 파악하기 위해 필요한 시간임을 강조 드림. // 그 사이 특히 에린선생님께 (1월에 바뀐쌤) 하율이에 대해 잘 설명드리고 지도 부탁드리기로. 
20분 통화하며 어머님께서 나중에는 이해하시며 누그러지심. 고민들어줘서 고맙다고 하시며 상담 종료.</t>
      </text>
    </comment>
    <comment authorId="0" ref="L88">
      <text>
        <t xml:space="preserve">궁금한거는 딱히 없고 학생도 어려움 느끼는것 없다고하심. Mr. Kon 선생님이 시킨거에 대해 산만하다는 피드백을 주셨는데 어떤 사항인지 궁금하다고 하셨고 수업 태도 전반과 참여도에 대해 선생님과 이야기 한 후 연락드리기로함.</t>
      </text>
    </comment>
    <comment authorId="0" ref="L89">
      <text>
        <t xml:space="preserve">재밌게다니고있고 크게 시험 부담 없이 다닐 수 있도록 트윈클 분위기 유지 부탁하심. 학업 피드백 요청하셔서 재통화 예정.</t>
      </text>
    </comment>
    <comment authorId="0" ref="L90">
      <text>
        <t xml:space="preserve">논픽션 주제와 개념이 낯설어서 걱정했는데 Kon 선생님이 너무 설명을 잘 해주셔서 다행이라고함. 선생님 너무 좋으시고 친절하시다고했고 존중받는 기분이라고 하심. 학생이 부정적인 감정은 잘 들어내지 않는데 이제껏 만난 선생님 중에서 제일 친절하다고 표현할 정도. 전체적으로 트윈클 선생님 친절하고 존중하시는 분위기라 좋고 초등 어학원이다 보니까 유치원이랑 결이 다니겠구나 싶었는데 너무 만족스럽다고하심.
수업 교재 봤는데 선생님 첨삭이 아직은 아이가 어려서그런지 내용적인 첨삭보다는 잘했어~정도이고 첨언이 있었으면 좋겠다고 생각하심. 정말 많이 고민했는데 트윈클이 아이에게 최선이라 생각되어 결정하셨다고 너무 만족하심.</t>
      </text>
    </comment>
    <comment authorId="0" ref="L91">
      <text>
        <t xml:space="preserve">예다는 말하는 것을 좋아하고 상상력이 풍부한편. 부족한 점을 개선하는 것을 좋지만 저학년이다 보니 아이 성향을 맞는 트윈클 커리큘럼을 선택하게 되었음. 글쓰기와 단어는 개선이 필요하다고 말씀하심.
수업 중간부터 들어가는거라 진도따라가는데 어려움이 없을지 궁금해하셔서 주차별로 수업하는것과 소설책 미리 읽어올 부분 안내 및 문자로 보내드림.</t>
      </text>
    </comment>
    <comment authorId="0" ref="L92">
      <text>
        <t xml:space="preserve">나쁘게 말하면 산만하다고 표현하셨고 학업이나, 성향적으로 크게 전달사항이나 궁금한것은 없으셨음. 바쁘신지 급하게 전화 끊으셨고 트윈클에 대한 이미지가 좋아 큰 걱정 없어보이심.</t>
      </text>
    </comment>
    <comment authorId="0" ref="L93">
      <text>
        <t xml:space="preserve">시험보면서 Kon 선생님을 너무 좋아했다고함. Twinkle 가서 선생님들 무서울까봐 걱정했다고하는데 담임 선생님들의 합이 좋아 전혀 걱정할 것 없다고 말씀드림. 라이팅 이후 rewriting 하는지 물어보셨고 피드백만 받고 넘어가면 의미 없을 것 같다고하셔서 상황에 따라 선생님들 판단하에 진행되긴하지만 집에서도 활용할 수 있는 점 말씀드림.</t>
      </text>
    </comment>
    <comment authorId="0" ref="L99">
      <text>
        <t xml:space="preserve">선생님들의 소피아 수업참여, 숙제, 시험에 대한 어려움 이메일주셔서 학부모님 상담드림.
[이메일답변]
Thank you for your continued interest in Sophia and the patience and effort you've put into addressing her issues. I can imagine how challenging it must be for teachers to teach students with such issues. I reached out to her mother and honestly discussed the current situation Sophia is facing.
Lack of interest during class: I explained that Sophia's low participation in expressing thoughts, which is characteristic of Twinkle's curriculum, and her lack of effort are related learning obstacles.
Vocabulary quizzes: I mentioned that while scores aren't everything, preparedness and comprehension of basic vocabulary are crucial for class participation and writing.
Insufficient class preparation: I highlighted how her lack of reading novels affects her participation in class discussions.
Her mother expressed gratitude and apologized for the ongoing feedback and efforts teachers have made for Sophia since January. She mentioned similar concerns at home:
Physical fatigue: Sophia wakes up at 6:30 AM every morning to catch a one-hour commute to her private elementary school in Jongno-gu. This schedule has left her with low motivation and effort, especially for English lessons at Twinkle from January to April.
Understanding: While Sophia understands what needs to be done at Twinkle, her mother believes that her refusal to engage in tasks due to reason 1 is a problem. I explained the importance of home support for activities like vocabulary quizzes, novel reading, and overall class participation improvement.
Considering her mother's busy schedule, I suggested short-term additional tutoring or support from Twinkle to help Sophia. While I regret not providing concrete solutions, I believe it would be beneficial for teachers and Twinkle staff to continue their efforts until Session 2 and reassess Sophia's situation before the start of Session 3 (around early June). I'm willing to help actively if needed (observing classes or individual student counseling/guidance).</t>
      </text>
    </comment>
    <comment authorId="0" ref="L100">
      <text>
        <t xml:space="preserve">1H Alex 쌍둥이
전반적인 트윈클 정책은 잘 알고 계셔서 High반과 Ace반 비교해서 설명드리고, 선생님 안내 드림.
Alex 선생님인 Gregory, Marco선생님에 대한 큰 만족도 표현해 주셔서 감사인사드리고, 그 선생님들 못지않게 학생들 관리 및 수업 잘하시는 Andrew, Payton선생님의 수업성향 및 장점, 그동안 받은 좋은 학부모님 피드백도 전달 드림.
쌍둥이가 각각 다른 요일의 수업이다 보니 어머니께서 일주일에 4번을 등하원 하셔야해서, 이번은 예외로 6개월이 되지 않더라도 반이동 가능하도록 안내드리고 데스크에게 전달함.</t>
      </text>
    </comment>
    <comment authorId="0" ref="M100">
      <text>
        <t xml:space="preserve">처음에 서영이가 중간에 합류하는 부분때문에 적응을 잘할 지 살짝 걱정이 되셨다고 하였으나 현재 두 선생님 수업 너무 재밌게 잘듣고, 반 친구들과 친해져서 즐겁게 잘 다니고 있다고 하심. 또한 숙제 및 단어시험, 커리큘럼은 이미 범수 학생이 다니고 있는만큼 가정에서 지도하는데 문제는 없다고 하시고, 서영이도 이미 적응을 마친거 같다고 하셨음.
두 선생님 Comments 또한 이해하기 쉽고, 만족스럽다고 하셨음.
</t>
      </text>
    </comment>
    <comment authorId="0" ref="L101">
      <text>
        <t xml:space="preserve">불안도가 높은 학생이라고 표현하심. 한곳에 오래 다니다가 옮기는거라 처음 적응하는데 시간이 걸릴 것 같다고 하셨으며 FM 성격이라 선생님 말씀도 잘 듣고 하겠지만 적응하는데 도움달라고 하심.</t>
      </text>
    </comment>
    <comment authorId="0" ref="L102">
      <text>
        <t xml:space="preserve">오빠(권예준) 재원했었음. 인터뷰때 선생님이 너무 좋았다고함. 다니는데보다 어려울텐데 괜찮을까 학생들과 이야기했다고함. 한창쓰는거에 재미들고있고 리딩 좋아함. 폴리재학했고 걱정되는거는 숙제감이나 아직 해보지 않은 부분에 대한 부분. 오빠가 세계사 수업을 굉장히 좋아했다고함.</t>
      </text>
    </comment>
    <comment authorId="0" ref="M102">
      <text>
        <t xml:space="preserve">11/5부재</t>
      </text>
    </comment>
    <comment authorId="0" ref="L105">
      <text>
        <t xml:space="preserve">정연이는 수줍음이 많고 활발하지 못하다고 하심. 차분한 스타일에 낫가림이 있다고 하심. 처음에는 시키면 쭈뼛하고 확신이 안서면 얘기을 잘 안한다고 하심. 익숙해지면 괜찮고 칭찬이 많이 필요한 아이. 자신감 많이 북돋아주기를 바라심. 엉덩이 무거운 아이지만 자신있게 말하고 보지 않은 성격이라 실력대비 결과가 잘 안나온다고 하심. 마음이 여리다고 하심.</t>
      </text>
    </comment>
    <comment authorId="0" ref="L109">
      <text>
        <t xml:space="preserve">지각이슈
사립초로 2:50으로 변경이 필요한 상황.
아이가 그레고리티쳐 너무 좋아하고 다른 학원도 안가려고 한다고 하심. 화목 2:40분은 요일이 불가능해서 일단 어머니께서도 스케줄 조정해보기로 하심. 너무 죄송해하심.
</t>
      </text>
    </comment>
    <comment authorId="0" ref="L111">
      <text>
        <t xml:space="preserve">크게 낯가리는 편은 아니고 선생님을 좋아한다고함. 칭찬받으면 굉장히 열심히 해서 많이 응원해주시길 부탁하셨고, 선생님한테 싫은 소리를 들으면 의기소침한편이라고함. 
목동 학원 (우성아파트 상가) 에서 학원 안에 있지 않은 화장실에서 모르는 사람이 아이들을 데려가려고한 사건이 있어서 조심스럽게 이야기하셨고 Summer 교실이 화장실 바로 앞에 위치해 데스크에서도 선생님들이 지켜보고 항상 신경쓰고 있는 부분 공유드림.</t>
      </text>
    </comment>
    <comment authorId="0" ref="M111">
      <text>
        <t xml:space="preserve">수업첫날 옆자리 앉은 Joon 김태준 학생이 성기를 만지는 부분을 목격하고 수업시간에 집중할 수 없었다고 하심. 다음 수업부터는 Joon 학생과 떨어져 앉기를 원하셨음.</t>
      </text>
    </comment>
    <comment authorId="0" ref="L112">
      <text>
        <t xml:space="preserve">러닝베이/폴리에서 3점대책 공부했고, Olivia가 말하기와 글쓰기를 좋아해서 아이가 좋아하는 공부환경을 만들어주고 싶어서 트윈클 선택하게 되심.
학습에 대해 굉장히 관심이 많으셨음.  넌픽션 수업방식 궁금해하셔서 선생님이 일방적으로 이론을 설명하고 학생들은 듣는 타학원과 다른 트윈클 브레인스토밍/ 디스커션, 다양한 활동/실험 방식 안내드리고 연관지어 글쓰기숙제까지 설명드림. 
수업이 힘들때 도움받는 부스터수업도 안내드리고, 수요일반이라 숙제도움반 사용하지 못하는점 아쉬워하셔서 보강수업할때 다른 1H반 수업 들어보시고 괜찮으면 미리 반이동 대기자 등록해서 월금이나 화목반 6개월이후 반이동 할수있는점도 설명드림.
</t>
      </text>
    </comment>
    <comment authorId="0" ref="M112">
      <text>
        <t xml:space="preserve">두 선생님 수업 재밌게 잘 듣고 있고, 특히 Marco 선생님 수업이 재밌다고 좋아한다고하심. 이에 Marco 가 티칭경력이 많고, 유머러스 한 점이 장점인점 추가 설명드렸음.
어머님이 아직 한 달 밖에 안됐지만 전체적인 feedback이 궁금하다고 하셔서 현재 report card 작성기간으로 학생의 전반적인 학습, 태도적인 부분등은 다음 달에 report card 전달예정인 점 리마인드 드렸고, Report card 받아보시구 궁금하신 부분은 언제든지 문의 요청드림.
숙제관련하여 National geographic 교재 숙제방법이 좀 헷갈린다고 하셔서 숙제방법 설명드렸고, 나머지 숙제나 단어시험은 큰 어려움없다고 하심.
기타 행정적인 부분과 고객응대 부분은 만족하신다고 하셔서 감사말씀드리고 통화종료</t>
      </text>
    </comment>
    <comment authorId="0" ref="L113">
      <text>
        <t xml:space="preserve">폴리재학
칭찬과 많은 관심 요청
선생님을 좋아해서 너무 장난치면 너무 기어오를 수 있음
처음부터 룰 정확하게 지킬 수 있게 요청하심
어머님이 많이 기대하고있다고함
책을 많이 읽는것도 좋은 경험 (폴리)였지만  리딩보다 말하는게 떨어지는 것 같아 걱정했어서 트윈클에 기대함</t>
      </text>
    </comment>
    <comment authorId="0" ref="L114">
      <text>
        <t xml:space="preserve">소설대 2점중반, 아직 3점대는 적응하는 중
완벽한것을 답으로 하려는 경향과 부끄러움이 있음
실수하더라도 말하기를 자주 시도하고, 글로 쓰길 바라심.
로켓반 레벨업관심 많으심. 친한친구들이 H반에 입학을 해서 아이가 스스로 동기부여가 되었다고 하심. 부족한 부분은 가정에서 적극 서포트할 예정이니 알려달라고 당부하심. Rocket레벨이다 보니 어머니들께서 걱정하시는 새롭게 시작하는 커리큘럼에 대한 신뢰 높이기 위한 설명, 특히 해당반에서 학부모님들의 좋은 피드백 얻고 있는 그레고리선생님의 피드백및 레벨업 사례로 상담드림.</t>
      </text>
    </comment>
    <comment authorId="0" ref="M114">
      <text>
        <t xml:space="preserve">어머님이 시은 학생 1달 동안 트윈클 다니면서 두 수업 모두 재밌어 하고, 큰 어려움이 없이 수업, 교재, 숙제, 단어시험 등 적응되어 잘 하고 있다고 하심.
다만 학생 성향이 shy 한 편인데 이 부분은 시간이 지나면서 학생이 반 분위기에 익숙해지면서 improve 되는 것 같다고 하셨음.
선생님들 comment 관련하여 이해하는데 어려움 없고 만족한다고 하셨으며 마지막으로 Level up 관련 문의하셔서 어머님께 원칙적으로 6개월 규정 말씀드렸으나 중간에 담당선생님들께서 Level up 동의하시면 그 전에도 가능한 점 상기시켜드렸고, 추후 관련내용 있으면 연락드리기로 하였음.
기타 데스크, 고객응대 부분도 만족한다고 하셨음.</t>
      </text>
    </comment>
    <comment authorId="0" ref="L116">
      <text>
        <t xml:space="preserve">교재 구입 및 사용 분기 관련문의하셨고 외부에서 식사중이라 오래 통화 못하셔서 다시 연락주시겠다고함.
낯은 잘 안가리고 활달하며 이야기하는거 좋아함. 좋아하는 건 파고드는데 시험을 위한 공부는 힘들어함.</t>
      </text>
    </comment>
    <comment authorId="0" ref="L117">
      <text>
        <t xml:space="preserve">너무 활발해서 지나치면 산만할 수 있다고하셨고 사람을 너무 좋아해서 말도 막 내뱉다보니 트윈클 합격한 것 같다고하심. 그에 반에 리딩, 보캡, 그래머 약한편이라 걱정하셨는데 학생이 트윈클에 대한 긍정적인 태도가 강하고 커리큘럼과 너무 잘 맞을 성향으로 빠르게 성장할 수 있는 상세히 설명드림. 레벨테스트에서 Kon 선생님을 너무 좋아했다고함.</t>
      </text>
    </comment>
    <comment authorId="0" ref="L118">
      <text>
        <t xml:space="preserve">낯가림이 심한편이나 선생님이 잘 이끌어주면 풀어지는편.  교재가 많던데 각 수업 3시간 중에 다 하는건지 물어보심. 현재 집에서 Wonderful World Prime 봐주고 있어서 너무 어렵진 않을지 물으셨고 학생들이 생각보다 훨씬 더 도전적인 환경과 수업과정을 잘 받아들이고 있는 부분 설명드림.</t>
      </text>
    </comment>
    <comment authorId="0" ref="M118">
      <text>
        <t xml:space="preserve">레벨다운 상담
Her recommended level on the entrance test was T/A. 
Currently, it is necessary for her parents to help her with her homework, and the teachers said that although her homework is excellent, it doesn't make much sense if her parents help.
Most importantly, her parents want her to be in a lower level, and since the child is refusing classes, I would like to suggest registering her as a standby for the top class.</t>
      </text>
    </comment>
    <comment authorId="0" ref="L119">
      <text>
        <t xml:space="preserve">웰컴메세지 처음 받아보는건 같아 굉장히 감동받음. 방학특강 관심 많이 가졌고 게임을 좋아하고 항상 신나고 기뻐함. 쓰는걸 많이 좋아하지않음. 친구들 따라 같이 업되는 부분. 폴리 학습식 업다운으로 인해 성장이 있을 수 있다고 생각했는데 트윈클에서 환경이 긴장감이 느슨해지지 않을지 걱정하셔서 자세히 안내드림.</t>
      </text>
    </comment>
    <comment authorId="0" ref="L120">
      <text>
        <t xml:space="preserve">첫 상담때 연락을 못받았다며 숙제, 커리큘럼 등에 대해 문의하심. 학생이 너무 재밌게 다닌다고하시며 트윈클에 대한 긍정적인 느낌이 강하셨음.</t>
      </text>
    </comment>
    <comment authorId="0" ref="L121">
      <text>
        <t xml:space="preserve">폴리 6-7세, 1학년 재학하고 옮기는 중 폴리가 리딩이 중점이라고하지만 책을 정독하는걸 어려워함. 집에서 Grammar 는 도와줄 수있는데 Reading이 약해서 트윈클에 기대는 많지만 걱정도된다고함. 6세때는 천권정 도 읽을정도로 책을 좋아했는데 7세 중반에는 숙제로 느끼면서 책을 싫어하기시작함. 2점대 편하게 읽고싶은책 읽게했더니 SR이 4점대까지 올랐다고함.</t>
      </text>
    </comment>
    <comment authorId="0" ref="M121">
      <text>
        <t xml:space="preserve">유정이가 다닌지 2달넘었는데 교우관계가 걱정되어 상담 요청 하심. 
먼저 유정이랑 같이 이야기 나눴고 시간이 조금 걸릴 수 있는 부분이고 선생님들이 유정이 얼마든지 도와줄수 잇다고 전달 드림. 
설 연휴 끝나고 선생님들의 자세한 피드백 받아서 다시 공유드리기로 함.</t>
      </text>
    </comment>
    <comment authorId="0" ref="L122">
      <text>
        <t xml:space="preserve">입학시험 부끄러워하는 부분 있어서 "소극적"이라는 피드백을 받았다고 하시며 그런 얘기는 처음 듣는다고 하심. 원래는 활발한 아이라고 하심. 아이에게는 트윈클 가서 원래대로 활발하게 해도 된다고했지만 아이가 하고싶은 말 다할까봐 걱정하심. 너무 신나면 calm down시켜주시고 받아주면 힘들어진다고 하심. 
Poly출신인데 스피킹이 부족하고 그중에 발음은 고쳐달라고 하심. </t>
      </text>
    </comment>
    <comment authorId="0" ref="L123">
      <text>
        <t xml:space="preserve">처음에는 소극적일 수 있는데 시간이 지날수록 즐겁게하는 스타일. 다른 학원에서는 일부러 좀 엄하게 해달라고하는데 원어민 선생님이라 괜찮을 것 같다고하심. Flynn 학생만의 성향은 아니고 저학년 학생인만큼 수업에 잘 적응하는게먼저고 이후는 선생님들께서 수업 분위기 잘 만들어갈거라고 말씀드림. 2T 오후반 등록했다가 여석이 생겨서 넘어왔고 너무 감사하다고 몇번이나 표현하심.</t>
      </text>
    </comment>
    <comment authorId="0" ref="L126">
      <text>
        <t xml:space="preserve">영유 5살부터 재학했으나 말하는걸 많이 좋아지는 않고 단답형으로 말하는 버릇이 있음. 낯은 전혀 가리진않고 발표도 잘한다고함. 성격이 급하고 집중력을 오래쓰는편은 아니라 읽을때도 건너가면서 읽음.
테스트하러와서 재학생들 보고 놀랐다고함. (선생님들과 적극적이고 잘 이야기하는 부분)</t>
      </text>
    </comment>
    <comment authorId="0" ref="L127">
      <text>
        <t xml:space="preserve">적응하는데 시간이 걸리는편이고 활발하거나 말하는거도 좋아하지 않아 걱정하심. 낯도 많이 가리는편이라 트윈클에서 잘 이끌어주시길 부탁하셨음. 그럼에도 불구하고 트윈클 시험이 즐거웠다고 표현하고 언제가냐고 물어봤다고하심. 담임선생님 상황 공유 예정.</t>
      </text>
    </comment>
    <comment authorId="0" ref="M127">
      <text>
        <t xml:space="preserve">사촌이 트윈클 다니고 있어서 전반적인 부분에 대한 궁금한점은 없으셨고 숙제 어려워해서 숙제 도움반 물어보셨는데 수업시간과 겹치다 보니 단기적으로 HW+ 등으로 명확한 도움 줄 수 있는 부분 말씀드림.</t>
      </text>
    </comment>
    <comment authorId="0" ref="L128">
      <text>
        <t xml:space="preserve">평균적으로 보면 SR 3점대가 유지가 되지는 않는 상황이며 리딩을 늘어가는데 시간이 걸린다고함. 르네상스 사용하는지 물어보셔서 트윈클 자체 웹사이트 활용도가 훨씬 좋은 부분 상세히 설명드림. 가정에서 보충 필요한 부분이나 부족한 부분 있으면 말씀해주시길 부탁했고 3월 학교 적응때문에 한달 쉬고 있어서 걱정됨. 현재 재학중인 친구들이 굉장히 많고 다들 재밌게 다니고 있어서 기대가 되는데 다른 학부모님들도 공통적으로 숙제나 단어 시험에 대한 부담이 있다고하심. 숙제도움반이나 부스터클래스 등 안내드림.</t>
      </text>
    </comment>
    <comment authorId="0" ref="M128">
      <text>
        <t xml:space="preserve">재밌어하는데 최근 친구들이 휴원이나 퇴원을 좀해서 영향이 있다고함. 학교 방과 후 수업 끝나고 학원 오는거라 피곤해하기도한다고함. 
주장이 강한편이라 불편한거 있으면 이야기했을텐데 친구들이나 선생님들과는 좋은 관계 형성된것같다고 이야기하셨음. 사립초를 다니다보니 방과후에서 추가적으로 영어 수업 진행하지만 한국형 공교육을 놓칠 수 없다보니 수능에 필요한 학습 해야한다고 생각해 문법수업 관심 많으심. 3-4학년때는 학군지로 이동 예정이라고하심.</t>
      </text>
    </comment>
    <comment authorId="0" ref="L129">
      <text>
        <t xml:space="preserve">알티오라에서 공부했음
Channie 어머니는 영어독서를 안좋아하고 리딩을 잘 못해서 걱정이 많으셨음.
-나는 어머니께 비교하기 다르겠지만 아이들은 독서를 좋아할수 밖에 없다. 다만 아직 아이가 독서의 흥미를 느끼는 책이나 경험을 만나지 못했을 뿐이며, 이럴때는 다소 편향되는 독서를 하더라도 언젠가는 관심사가 다른곳으로 전환되니 꾸준히 독서의 재미를 느끼게 하는것이 중요하다고 설명드리고, 폭넓은 독서를 위해 한국어책은 1학년때 70%비율로 함께 열심히 읽어야 고학년때 문해력에 도움이 된다고 설명드림.
-단어테스트에서 문장만들기는 아이에게 너무 어려울것같다고 하심.
뜻만 외우는것과 문장에서 활용된 것을 한번 보는것과 스스로 단어를 활용해 문장을 만들수 있는것에는 단어에 대한 피상적인 이해 뿐만 아니라 문해력에서도 큰 도움이 될수 있는 단어가 가진 릐앙스까지 캐치할 수 있고 오래동안 단어를 기억할수 있음을 설명.
그외 학부모님들과의 소통, 선샌님, 테스트, 숙제도움반, 커리큘럼, 입학시험에서 낮었던 리딩/단어점수, 트윈클에서 적응을 못할 경우 레벨다운가능여부 등 트윈클에 궁금하신점에 대해 답변드림. 1학년의 경우 학생의 문제풀이실력보다 실질적으로 수업시간에 필요한 말하기, 글쓰기 실력을 먼저 보고 학생적응에서도 돕고 있는점 커리큘럼과 연관지어 설명드림.
어머니께서 아주 꼼꼼하신 편이셨고, 다행히 상담에 만족하신다며 감사인사 전해주심. 
첫주상담이 정말 중요한 학생임.
</t>
      </text>
    </comment>
    <comment authorId="0" ref="M129">
      <text>
        <t xml:space="preserve">어머님 초반에 살짝 걱정하셨지만 채원이가 2주동안 수업 들으면서  재밌고, 즐거웠다고 얘기했다고 하심.
1. 전에 있던 학원에 비해 수업시간이 2배로 길어져서 조금 체력적으로 걱정했지만 2주차 접어들면서 학생이 재밌어 하고 적응 잘하는 거같아서 걱정은 안한다 하심.
2 . Novel을 가정에서 먼저 읽어오는게 아직까진 학생에게 약간 버거운 느낌이 있다고 하셔서 해당부분에서 어려움이 지속되거나 Novel 이해가 안되면 담당 선생님에게 전달 드릴수 있고, 수업시간 외에 Booster 수업을 통해서 도와드릴 수 있다고  말씀드림.
3. 논픽션은 아직까지 수업을 이해하는데 어려움은 없지만 How did we get here 는 저학년 학생에게 이해하기 어려울수 있다고 하셔서 역사 그자체를 배우는게 목적이기 보단 트윈클만의 스토리 텔링을 통한 역사공부를 통해  흥미가 생기면 자연스럽게 영어실력도 향상 시킬수 있다고 장점을 설명드림.
4. 선생님들의 피드백은 잘 받아보고 이해하고 있으나 디테일한 academic progress 내용이 궁금한경우에 대해 Report card 제도에 대해 설명드렸고(7월 조인학생이라 하반기에 전달예정이라고 remind 드림), 그전에 궁금하신 부분은 피드백 요청하시면 선생님들 통해서 최대한 디테일한 피드백 전달 드릴수 있다고 안내드림
5. 도조포인트 제도에 대해 문의하셔서 설명드렸고, 도조포인트를 통해 prize 및 motivation을 줄 수 있으니 적극적으로 수업에 참여하면 좋을 거 같다고 말씀드림.
기타 행정, 고객응대 부분은 만족한다 하시며 언제든지 궁금하시거나 건의하실 내용 있으면 연락달라고 요청드림.</t>
      </text>
    </comment>
    <comment authorId="0" ref="L131">
      <text>
        <t xml:space="preserve">산만하지는 않으나 반복되거나 지루한건 많이 좋아하지 않음. 폴리 출신이고 같은 책 여러번 읽는거 안좋아함.
라이팅 혼자 잘 쓰는편 현재 화상영어하면서 숙제로 단어로 센텐스 만드는편. 로딩시간이 긴편 신중해서 생각을 오래하고 대답하는이고 대답시간걸린다고해서 선생님들께 공유하기로함. 단어 시험지 보내주시로함.</t>
      </text>
    </comment>
    <comment authorId="0" ref="L133">
      <text>
        <t xml:space="preserve">어머님 학생에 대한 특이사항이나 학습에 관한 문의는 없으심.
다른 요일에 같은 레벨 시간대 다 물어보심. 6개월 이후에 반이동 가능한 점 안내 드렸고 그전에라도 대기는 가능하다고 설명 드림.</t>
      </text>
    </comment>
    <comment authorId="0" ref="L136">
      <text>
        <t xml:space="preserve">적응하는데 낯을 가릴 수는 있는데 적응하면 괜찮을거라하심. 김태은 학생과 같은 유치원을 다녀서 같은반이라 적응하는데 도움이 될 것 같다고 하셨고 트윈클 설명회를 너무 적극적으로 듣고 참여하셔서 전반적인 행정 시스템을 잘 알고 계셨음.</t>
      </text>
    </comment>
    <comment authorId="0" ref="M136">
      <text>
        <t xml:space="preserve">지우가 첫날에는 많이 울었는데 수업끝나고나서는 수업이 너무 재밌고, 매일 트윈클가는날을 기다리며 즐겁게 공부하고 있어서 어머니께서 마음이 놓이신다고 하심. 선생님 두분이 너무 좋으셔서 만족하신다고 함.
논픽션 글쓰기 숙제에서 과학적인 질문이나 아이들의 생각이나 상상력에 대해 글쓰는것에 대해 가정에서 어느정도 도움을 주어야하는지 질문하셔서, 원칙적으로 가정에서 추가 영상이나 자료를 찾아서 보여주시는것을 전제로 만든 숙제는 아니기 때문에 수업시간 브레인스토밍만으로 아이의 생각을 적으면 되지만, 아이가 기억을 못하고 힘들어한다면 아이의 의지가 있을때 도움을 주셔도 좋을것 같다고 설명드리고, 넌픽션 선생님에게도 1학년인만큼 브레인스토밍시간에 아이들의 생각을 간략하게라고 키워드정리 할수 있도록 도움요청드리겠다고 전달드림.</t>
      </text>
    </comment>
    <comment authorId="0" ref="L137">
      <text>
        <t xml:space="preserve">조용하긴한데 시간 지나면 괜찮다고함. 라이팅을 좋아하고 스피킹도 잘 하는 편이라고 기존 유치원에서 피드백은 받았으나 성향적으로 잘 표현이 안될 수 있어서 잘 봐주시길 부탁하심. 성향적인 부분에서 트윈클에서 잘 표현하고 성장할거라고 기대함. 남학생이 한명인 반이라 더 신경써주기로함.</t>
      </text>
    </comment>
    <comment authorId="0" ref="M137">
      <text>
        <t xml:space="preserve">페이톤선생님이 정말 꼼꼼하게 피드백주시고, 두선생님 모두 반분위기 잘 잡아주셔서 아주 만족하며 보낸다고 하심. 글쓰기숙제를 할때 한국어로도 아직 구분하지 못하는 주제가 있어서 그럴때 어려움이 있다고 함. 그 부분에 대해서는 선생님께 개념과 관련된 메인키워드 설명을 조금더 충분하게 시청각자료 활용해서 도움 부탁드렸다고 설명드림. 
한국식 문법 및 리딩수업 궁금해하셔서 준비하고 있는 상황과 해당수업의 목표등 설명드림.</t>
      </text>
    </comment>
    <comment authorId="0" ref="L138">
      <text>
        <t xml:space="preserve">모범생이라고 표현하셨고 낯을 가리지 않는다고함. 리딩이 상당히 약한편이고 같은 레벨 학생들에 비하면 거의 기초인 부분일거라 걱정하심. 말은 잘하고 잘 적응하겠지만 특이사항 선생님들께 공유드리겠다고함.</t>
      </text>
    </comment>
    <comment authorId="0" ref="L139">
      <text>
        <t xml:space="preserve">특별한점은 없다고하셨고 말하기 좋아하고 승부욕, 참여도 좋을거라고 이야기하심. 라이팅이 많은 것 같은데 부족하면 어떻게 도움주어야하는지 물어보셨고 숙제도움반이나 부스터 클래스 등 관련하여 자세히 설명드림.</t>
      </text>
    </comment>
    <comment authorId="0" ref="L140">
      <text>
        <t xml:space="preserve">21년부터 올해 말까지 해외에서 거주하며 학교다니고 있음. 그래서 의사소통은 문제없지만 한국학생들처럼 단어 강점 없을 것 같다고 걱정하심. 처음에는 소극적이고 수줍어하기도해서 잘 적응할 수 있도록 요청하심.</t>
      </text>
    </comment>
    <comment authorId="0" ref="L141">
      <text>
        <t xml:space="preserve">딱딱 맞춰서하는거 좋아하는 성향이고 트윈클 너무 많이 기대하고있음. 친해지는데 시간이 조금 오래걸리는편. 표정 조금 얼어있으나 속으로는 좋아함. 5세부터 영유 다녀서 수업 환경은 어렵지 않을 듯 함. 첼로 전공하고있음 일주일에 4번 숙제 걱정. 갑자기 레벨이 높아져서 걱정이 많았는데 숙제도움반, 부스터 등 설명드림. 지안, 승안 어머님이 트윈클 강추.</t>
      </text>
    </comment>
    <comment authorId="0" ref="L143">
      <text>
        <t xml:space="preserve">헝가리에서 5년 살다가 왔다고 하심. 국제학교 다녔었고 한국에서는 경인초 다니고 있다고 하심. </t>
      </text>
    </comment>
    <comment authorId="0" ref="L146">
      <text>
        <t xml:space="preserve">성향, 학업적으로 어려움 없을거라고 말씀하셨고 숙제가 많다고 들었는데 어떤식으로 가정에서 도움 주면 좋을지 물어보심. 학부모님들이 함께 지치지 않도록 학원에서 최대한 도움 드리고 있으니 꼭 말씀해달라고 부탁드림.</t>
      </text>
    </comment>
    <comment authorId="0" ref="M146">
      <text>
        <t xml:space="preserve">적극적으로 수업하는편, 픽션단어테스트가 넌픽션보다 좋고 문법적인 부분 수업에서 설명하며 적응하는중</t>
      </text>
    </comment>
    <comment authorId="0" ref="N146">
      <text>
        <t xml:space="preserve">레벨업 관련해 할머니가 데스크에 찾아와 큰소리로 컴플/ 레벨업이 안 되어  못하는 친구들과 수업해서 발전이 없다고 하심/처음부터 로켓레벨이었는데 하이레벨이라고 우김</t>
      </text>
    </comment>
    <comment authorId="0" ref="L147">
      <text>
        <t xml:space="preserve">처음 적응이 힘들긴하나 크게 어려움 없이 적응할거라고 기대하심. 영유 3년차 학생이고 AR도 3점 후반대 지속적으로 나오고 있다고함. 다만 시험보는날 학생이 울기도했고 변수가 있었을 것 같다고해서 레벨업이나 특이사항이 있을 경우 저희가 반이나 레벨 변경 관련해서 선제적으로 말씀드리기로함. 담임 선생님들에게 해당 사항 공유 예정.</t>
      </text>
    </comment>
    <comment authorId="0" ref="M147">
      <text>
        <t xml:space="preserve">단어테스트에서 뜻,품사,문장까지 해야보니 시험준비에 시간이 걸리고, government의 한국어 뜻을 모르는 상태에서 영어로 배우다보니 아이가 이해하는데 어려움이 있다고 하심. 숙제에서 특히 단어활용해서 글쓰기에 시간이 오래 걸려서 주말오전시간을 다 쓰긴하지만, 수업이 너무 재밌어서 즐겁게 다니고 있다고 하심.
담임선생님께 한국어인지도 부족한 부분 단어설명시간에 참고해달라고 전달드리겠다고 설명드리고, 추가로 가정에서도 꾸준히 한글책 많이 읽혀주시길 부탁드림.
</t>
      </text>
    </comment>
    <comment authorId="0" ref="L148">
      <text>
        <t xml:space="preserve">Doi 와 Dohyung 형제는 영국에서 살다가 왔다고 한다 (국제학교에서 킨디 3년 다님) 한국학원에 대한 경험이 없어서 아이들이 비교적 편안하게 느끼는 말하기환경이 있는 트윈클로 선택하시게 되셨다고 한다. 
반면에 아이들이 리딩의 문제풀기나 글쓰기가 느려서 3시간 수업을 잘할 수 있을지 걱정이 된다고 하심. 학생들의 적응시간을 도울수 있도록 숙제, 단어시험등 준비하는 방법과 초반 목표설정, 보통의 적응시간 설명드리고, 담임선생님들에게학생특이사항 이메일로 전달드려서 수업에 참고하실수 있도록 부탁드림.</t>
      </text>
    </comment>
    <comment authorId="0" ref="M148">
      <text>
        <t xml:space="preserve">두 학생 모두 두 선생님 수업을 듣는것이 재미있고, 트윈클 다니는 것을 좋아한다고 말씀 주심. 
숙제 또한 어려움 없이 가정에서 잘하고 있어서 따로 신경쓸 부분은 없다고 하심.
다만 네덜란드에서 수년을 살다와서 이미 영어로 말하고 듣는 환경에 익숙하지만 한국 영유 출신 학생들에 비해 reading 이나 writing이 조금 버겁지 않을지 걱정이 된다고 하심.
이에 아직 두 학생이 조인한지 2주정도밖에 되지 않았고, 트윈클은 writing을 중점적으로 지도하는 편이라서 그런 부분은 수업을 하면서 차차 improve 될 수 있고, 혹시 writing이 어려우면 Booster나 Homework Help 수업을 통해 도움받을수 있다고 안내드림.
또한 이번달은 선생님들 Report card 준비기간으로 인해 Dojo comment가 없는 점과 다음 달 부터는 선생님들의 comment가 나갈예정이니 참고하셔서 추가적인 문의가 생기면 언제든지 연락요청드림.
기타 어려움이나 건의사항은 없다고 하셔서 언제든지 문의 및 건의사항이 있는경우 연락 요청드림
</t>
      </text>
    </comment>
    <comment authorId="0" ref="L150">
      <text>
        <t xml:space="preserve">영어학원은 ECC외에는 처음이라서 잘 모르고 걱정 된다고 하심. 
제희는 적응하는데 오래걸리고 처음에는 소극적일수도 있다고 걱정하심. 
학업에 대한 욕심이 있지만 그렇다고 노력을 많이 하는 편은 아닌것 같다고 하심. 엄마의 말보다 선생님의 말을 더 잘 듣는 아이라서 피드백을 어머님께 드리기보다는 아이에게 직접적으로 얘기하면 잘 듣는 편임. 
궁굼한것에대한 질문 많이 하는편. 하지만 영유때도 그랬지만 영어로 말을 많이 하지는 않음. 이유는 틀릴까봐. 눈치가 빨라서 잘 못하는걸 칭찬해도 효과없음. 
학습적으로 부족한 부분은 스피킹과 단어 외우기가 걱정이심. 스피킹은 백프로 영어로 생활하기때문에 자연스럽게 늘거고 단어시험도 품사, 뜻, 예문을 쓰는 시험이기는 하지만 어렵게 보지는 않을 듯. 적응기간 거치면 늘것임. 엄격한 분위기에서 보지는 않음.</t>
      </text>
    </comment>
    <comment authorId="0" ref="M150">
      <text>
        <t xml:space="preserve">주2회가 부족하지 않은가 걱정하심. 주변 친구들은 주3회 또는 매일 반에 다니는데. 트윈클 커리큘럼에 맞춰 시간이 배분된점, 한번에 3시간수업에 F/NF으로 나눠 수업하는 장점 설명드림. 이해하고 안심하심.
아이가 잘 하고 있는지 학습적으로 문제는 없는지 걱정하셔서 학습적으로 어려움이 있다면 선생님께서 말씀을 주신다. 그리고 학습적으로 도움이 필요한 부분이 보이면 BOOSTER CLASS 제도 설명드림.
11/18~ 한주 여행 </t>
      </text>
    </comment>
    <comment authorId="0" ref="N150">
      <text>
        <t xml:space="preserve">등하원 픽업 문제로 늦을 시 사전 연락요청드렸는데 컴플함/ 선생님 아이 키워봤는지 모르겠지만 불필요한 말로 시전함/매번 연락도 없이 아빠가 늦게 오심/ 레벨테스트로 확인 조금 있다 해준다고 했는데 내 아이가 중요하다며 이기적으로 이야기함/ 아이도 거짓말을 함</t>
      </text>
    </comment>
    <comment authorId="0" ref="L151">
      <text>
        <t xml:space="preserve">리딩점수가 낮아 많이 학습적으로 이어지는거에 대한 걱정을함. 어려움없이 잘 다녔으면해서 많이 도와주고싶음. 활발하고 사교성이 좋음 호기심이 높은편 친구들 좋아함.
처음에는 관찰을 많이하는편이라 말이 없을 수 있어서 눈치볼 수 있음. 영어 활용 거부감은 없고 라이팅을 더 재밌어함. 알면서도 못한다고하는 스타일이지만 익숙해지면
워낙 인지도도있고 유명해서 기대가 많이됨. 어떻게 많이 변할까 성장할까 기분이 좋음. 학부모/학생 상담 진행 예정.</t>
      </text>
    </comment>
    <comment authorId="0" ref="M151">
      <text>
        <t xml:space="preserve">숙제가 많다고 들었는데 빠진게 있는지 걱정하심. Rocket 레벨이고 아직 1학년이다보니 다른 학년과 레벨에 비해 양이 적게 쉽게 보일 수 있다고 설명드림. 이해하심.
트윈클웹사이트 문의. 어떻게 활용하는지.. 선생님과 교실에서 활용을 더 하는 편. 선생님마다 다를 수 있고 활성화하는 반도 있고 아닌반도 있다고 말씀 드림. 
보강 문의. make-up과 HW+설명드림. 최대2주전 문의 가능.
단어 쉽다고하시어 이유 설명드림.
전반적으로 트윈클은 어렵다고 했는데 숙제 양도 적고 단어도 쉽고 해서 이게 맞나 걱정하심. 로켓반이고 저학년임을 설명드림. 이해하시고 웃으시면서 통화 마무리.</t>
      </text>
    </comment>
    <comment authorId="0" ref="L152">
      <text>
        <t xml:space="preserve">아주 밝고 새로운 환경을 좋아하는편, 트윈클 갈날만 기다리고 있다고 하심.
아이가 원래 영어를 좋아하고 학습력, 집중력도 좋았는데 7세후반부터 영어를 어려워하고 흥미가 낮아지며 집중도가 떨어져서 숙제나 시험준비에도 시간이 오래 걸린다고 함.
SLP영유 졸업후 초등은 ECC에서 다녔는데, ECC의 학습적인 한국식의 분위기가 아이에게 맞지 않았던것 같다고 하심. 1A 김지율 Luna 소개로 트윈클을 추천받게 되어 시험을 보았음. 시험 후 학부모님에게 전송되는 트윈클 홍보영상을 보고 트윈클의 철학이나 커리큘럼에 대해 알게 되시고 큰 매력을 느끼게 되셨고, R레벨에 관계없이 시도할수 있는것에 큰 기대감이 있다고 하심.
아이에게 최근에 일어난 학습에너지가 부족한 원인을 알고 해결하고 싶어하심. 1-2달 정도 후에 관련 피드백 상담 드리기로 함.</t>
      </text>
    </comment>
    <comment authorId="0" ref="M152">
      <text>
        <t xml:space="preserve">먼저 학생도 수업을 재밌게 잘 듣고 있으며 무엇보다도 어머님이 트윈클 수업에 너무 만족스럽다 하셨음. 이전에 다녔던 ECC 와 비교하여 수업도 재미있고, 커리큘럼도 너무 만족스럽다고 하셔서 더 일찍 트윈클에 조인했어야 한다고 하심 ;)
다만 Fiction 수업 시간에 Novel 교재를 가정에서 읽긴 하지만 이해하는 속도가 느린 거같다고 하셔서 이 부분이 살짝 염려된다고 하심. 이에 매주마다 소화해야 하는 novel의 분량이 학생마다 다르지만 적지는 않고,  아직 수업 초반인 부분으로 조금 더 지켜보겠다고 하셨고, 만약에 해당부분이 개선되지 않다고 느껴지시면 언제든지 피드백 요청 드렸고, 추후 피드백에 따라 booster 수업 등을 통해 assist 해드릴 예정인 점 상기드림. 
숙제나 단어 시험은 session test 기간 등을 고려하여 아직 본격적으로 시작 하지 않았지만 어렵지 않고 이해안되는 부분은 없다고 하셨음.
기타 행정 및 고객응대 부분도 만족한다고 하셨음.</t>
      </text>
    </comment>
    <comment authorId="0" ref="L153">
      <text>
        <t xml:space="preserve">시후는 항상 새로운 곳에 가기 전에는 긴장도가 높지만 적응하면 잘 한다고 하심. 활발하고 잘 논다고 하심.
학원은 처음이라고 하시며 집에서 홈스쿨링으로 영어 했다고 하심. 
어머님 영어 학습에 관심 많으심.</t>
      </text>
    </comment>
    <comment authorId="0" ref="L156">
      <text>
        <t xml:space="preserve">3년차 폴리
2점대후반, 3점대 초반 챕터북은 스스로 읽을수있음
1개월전부터 영도 다니며 다독 하고 있음
테스트에 대한 압박이 있어서 테스트에 큰 의미 부여하지 않는 트윈클에서 자유롭게 생각표현하고 창의성 기르고 싶어서 등록하게 되심.
Ryan이 책을 좋아하게 하기위해 당장은 관심있는 우주, 축구 관련 책을 한글책과 함께 꾸준히 읽혀주시고 문해력이 높아지면 자신감도 높아져서 다른책을 수용할수 있는 부분 설명드림.
어머니께서 트윈클에 오랫동안 다니길 바라는 마음이 크셨고, 트윈클철학에 대한 깊은 신뢰가 있으셔서 아주 의미있는 상담이었음.</t>
      </text>
    </comment>
    <comment authorId="0" ref="M156">
      <text>
        <t xml:space="preserve">재밌게 다니고 있는 것 같은데 집에서 막 말로 표현하는편은 아니라고하심. 폴리 3년 다녔는데 많이 시켜서 성적도 잘 나왔지만 학생이 스트레스 많이 받았음. 창의성이 많은 편이 아니라 처음 트윈클에서 힘들어하더니 친구들이랑 익숙해지고 숙제도 많이 익숙해져서 편하게 다닌다고함. 단어학습도 학업에 직접적인 도움이 된다고 생각함. 폴리에서 넘어온 학부모님들 이야기하는거 들으면 3년을 시험도 봐가면서 유지해 놓고 지금 더 당기지 않느냐는 말에 답답함을 많이 느꼈다고함. 
막상 트윈클 보내보니 유치원부터 트윈클을 다녔을면 좋을것같았다고 아버님이랑 이야기함. 관리를 너무 잘하는 것 같다고 피드백 주셨으며 가정 지도가 필요한 부분이 있다면 꼭 연락달라고 하심.</t>
      </text>
    </comment>
    <comment authorId="0" ref="L157">
      <text>
        <t xml:space="preserve">내성적인 편이고 말수가 적어서 걱정하고 계심. 이 부분이 잘 개선되길 바라며 challenging으로 트윈클에 마음의 준비를 하고 등록했지만 시간이 좀 걸릴것 같다고 하심.
트윈클에서 말하기 기회가 많은만큼 학생들이 형평성있게 발표할수 있도록 기본적으로 선생님이 이끌어주시지만, Lea의 경우 시간이 필요할수 있으니 아이가 좌절감을 느끼지 않도록 꾸준한 편안한 격려를 선생님들로 부터 받을 수 있도록 담임선생님에게 전달 드리겠다고 말씀드림.
</t>
      </text>
    </comment>
    <comment authorId="0" ref="M157">
      <text>
        <t xml:space="preserve">학생이 잘 표현은 안하는데 만족하면서 다닌다고하셨고 수업이나 학생들끼리 분위기는 어떤지 물어보심. 다른 반에 비해 에너지가 튀는 친구가 없어 서로 편안하게 생활하고있고 오히려 긍정적으로 활발한 분위기 만들어지고 있다고 말씀드림. 아직 행정적이나 커리큘럼 적으로 궁금한거 없다고하심.</t>
      </text>
    </comment>
    <comment authorId="0" ref="L158">
      <text>
        <t xml:space="preserve">2점대 책을 보고 있고 챕터북은 익숙해지고 있는 단계. 영어유치원 출신이 아니라 다른 친구들에 비해 말하기 실력이 부족해서 혹시 주눅들까 걱정하심.
해당반 학생들의 리딩수준이 비슷한점과 비슷한 어려움 가지고 있는점 말씀드리고, 그래서 같은 반분위기로 이끌어가면 될거라고 설명드림.
낯을 많이 가리는 친구인데 트윈클 입학시험보고 여기 꼭 가고싶다고 Hazel이 이야기 하고 엄청 기다리고 있다고 하심. 트윈클에서 말을 많이 하며 유창한 말하기로 개선되길 바라심.</t>
      </text>
    </comment>
    <comment authorId="0" ref="M158">
      <text>
        <t xml:space="preserve">트윈클 너무 재밌다고 표현은하는데 수업 어떻게 참여하는지 궁금하다고하셨고 Hazel은 친구들이랑 너무 이야기도 잘하고 주도적으로 참여하고있다고 말씀드림. 그렇지 않아도 영어로 친구들이랑 말하고 수업이 수업이 너~~무 재밌다고 해서 놀라고 계신다고함. Payton 선생님 자세한 피드백 주시는 것 칭찬하셨고 단체여서 학생이 조용하면 잘 안보일수있는데 학생별로 끌어줘야할부분 1:1 신경써주셔서 너무 감사하다고 하심. 강사 Praise 메일 작성 완료.</t>
      </text>
    </comment>
    <comment authorId="0" ref="L159">
      <text>
        <t xml:space="preserve">트윈클 대기하면서 폴리에 잠깐 다녔었음. 편하게 다니고 교재수준이 1H보다 훨씬 낮아서 적응잘할수 있을지 걱정을 많이 하셨음.
해당반 친구들 비슷한 레벨과 걱정으로 시작하니, 반분위기를 천천히 부스팅하는 방향으로 잡아서 아이들 잘 적응할 수 있도록 관리하겠다고 설명드림.
아이 성향상 예열하는 시간이 걸리는 편이나 적응하면 활발하게 잘하는 부분 선생님께 격려부탁하셔서 이메일로 전달드림.</t>
      </text>
    </comment>
    <comment authorId="0" ref="M159">
      <text>
        <t xml:space="preserve">어머님이 굉.장.히 호탕하시고 작은 부분에도 빵빵 터지시며 트윈클 너무 만족하고 다니신다고하심. 동생이 있어서 Irene 에게 많이 신경을 못써주고 숙제도 스스로 할 수 있게하고있어서 너무 죄송하다고하셨음. Andrew 선생님을 너무 좋아해서 수업이 기다려진다고함. 숙제나 추가 도움도 학원에서 최대한 도움 드리고 있고 전달 드릴 부분 있으면 선제적으로 연락드리고 있으니 너무 걱정마시라고 전달드림.</t>
      </text>
    </comment>
    <comment authorId="0" ref="L160">
      <text>
        <t xml:space="preserve">His mother expressed immense joy. Before Twinkle classes, he used to dislike writing and would struggle to write even 2-3 lines diligently. However, after Rocket class, he now enjoys writing up to 2 pages and finds attending classes at Twinkle the most enjoyable. His mother asked me to convey her gratitude to the teacher. He has been placed on the waiting list for the H class. Thank you for your efforts and communication regarding his progress.</t>
      </text>
    </comment>
    <comment authorId="0" ref="M160">
      <text>
        <t xml:space="preserve">어머님이 굉.장.히 호탕하시고 작은 부분에도 빵빵 터지시며 트윈클 너무 만족하고 다니신다고하심. 동생이 있어서 Irene 에게 많이 신경을 못써주고 숙제도 스스로 할 수 있게하고있어서 너무 죄송하다고하셨음. Andrew 선생님을 너무 좋아해서 수업이 기다려진다고함. 숙제나 추가 도움도 학원에서 최대한 도움 드리고 있고 전달 드릴 부분 있으면 선제적으로 연락드리고 있으니 너무 걱정마시라고 전달드림.</t>
      </text>
    </comment>
    <comment authorId="0" ref="N160">
      <text>
        <t xml:space="preserve">웃으면서 이야기하셨지만 학생이 선생님한테 이야기 할때 Full Sentence가 아닌 단어로 표현하는걸 보고 수업중에도 저렇게 이야기하나 생각하셨다고함. 두 학생 모두 이전 반부터 수업 집중도와 참여도로 반 분위기 잘 이끌어가고 있던 학생들이라 차분히 참여도 잘 한다고 말씀드림. 첨삭받은 부분에 대해 온전하게 re-writing 시키는게 좋은지 물어보셨고 지금은 자주하는 실수와 동일한 피드백에 대해 리마인드 시켜주실 필요는 있지만 실수없이 완벽하게 쓰는 것 보다 생각을 자유롭게 글로 표현하되 글의 구조와 흐름에 완성도를 높히며 흥미를 잃지 않도록 지도해달라고 말씀드림. 선생님들 피드백 받아서 전달 예정.</t>
      </text>
    </comment>
    <comment authorId="0" ref="O160">
      <text>
        <t xml:space="preserve">1/13 T반으로의 레벨업 요청주셨으나 6/23 이후 가능한 점 안내 S.</t>
      </text>
    </comment>
    <comment authorId="0" ref="L161">
      <text>
        <t xml:space="preserve">테스트 지표가 기준이 될 것 같기는한데 처음 보는 시험이라 말을 유창하게하거나 하진 못했을 것 같다고 생각함. R반 배정에 대해 꾸준히 아쉬움 드러내셨고 기존 유치원에도 잘 적응한편이라고 함. 담임선생님들이 레벨업을 결정하는거면 그 기준이 한국과 너무 다를 것 같아 걱정하셔서 저희가 적극적으로 함께 결정하고 이야기 나누고 있는 부분 말씀드렸고, 기존에 있었던 다른 반 교재랑 너무 달라서 걱정이셨다고 하심. 라이팅도 잘 하는 편이고 유치원도 재밌게 다니고 있어서 적응을 잘 할 거 같긴하지만 빠르게 레벨업하길 원하셨고 저희가 특별한 케이스 확인되면 선제적으로 연락드린다고 자세히 설명드리니 그정도는 아닐거에요 라고 이야기하심.</t>
      </text>
    </comment>
    <comment authorId="0" ref="M161">
      <text>
        <t xml:space="preserve">트윈클 Rocket 레벨이 처음으로 생긴 레벨이라 걱정도 있었는데,  책과 커리큘럼이 너무 알차고 재밌다고 칭찬해주심. 아이학습을 도와주실때 어머니께서도 재밌게 공부하고 있다고 하심.
단어테스트, 숙제, 수업들 모두 적응하고 있는 과정이지만 아이도 즐겁게 다니고 있어서 앞으로 레벨업도 기대한다고 말씀하셔서, 트윈클의 학생학습레벨관리 및 레벨업괒벙에 대해서도 설명드림.</t>
      </text>
    </comment>
    <comment authorId="0" ref="N161">
      <text>
        <t xml:space="preserve">레벨업 여부 관련 문의하셨고 영유 2년 재학했는데 R반을 계속 유지하는게 조금 의미 없어보인다고하심. 선생님들 피드백은 Writing 이나 숙제 완성도는 굉장히 좋지만 발표나 본인의 의견을 쉐어하는데 어려움을 느낄정도로 많이 부끄러워한다고함. 성향적인 부분에 대해 도움 많이 주기로했고 3개월 정도 보면서 레벨업 가능여부가 보이지 않는다면 환경을 바꿔줘야할 것 같다고 하심. 선생님들께 상황 공유 완료.</t>
      </text>
    </comment>
    <comment authorId="0" ref="O161">
      <text>
        <t xml:space="preserve">한달 정도 지켜본 후 최종 담임선생님들께 레벨업 허가 받았으며 현재 여석이 없어 H반 대기중. 학부모님께서도 만족해하시며 친구들이랑도 많이 친해져서 그동안 현재 반에 머물면서 부족한 부분 더 학습시키겠다고하심.</t>
      </text>
    </comment>
    <comment authorId="0" ref="L163">
      <text>
        <t xml:space="preserve">다온이에 대한 특이사항으 없다고 하심. 
노블노트 관련 문의하셔서 설명 드림.</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L2">
      <text>
        <t xml:space="preserve">Date: February 3rd
Who: Naomi
What kind of sangdam: New student
Color: light green</t>
      </text>
    </comment>
    <comment authorId="0" ref="L3">
      <text>
        <t xml:space="preserve">Date: February 3rd
Who: Naomi
What kind of sangdam: New student
Color: light green</t>
      </text>
    </comment>
    <comment authorId="0" ref="L4">
      <text>
        <t xml:space="preserve">Date: February 3rd
Who: Eddie
What kind of sangdam: Happy call (1st/2nd/3rd session sangdam)
Color: yellow</t>
      </text>
    </comment>
    <comment authorId="0" ref="L5">
      <text>
        <t xml:space="preserve">Date: February 3rd
Who: Hyeona
What kind of sangdam: class change student
Color: white</t>
      </text>
    </comment>
    <comment authorId="0" ref="L6">
      <text>
        <t xml:space="preserve">Date: February 3rd
Who: John
What kind of sangdam: current student sangdam (complaints, feedback ect.)
Color: orange</t>
      </text>
    </comment>
    <comment authorId="0" ref="L7">
      <text>
        <t xml:space="preserve">Date: February 3rd
Who: Kevin
What kind of sangdam: quit student
Color: gray</t>
      </text>
    </comment>
    <comment authorId="0" ref="L8">
      <text>
        <t xml:space="preserve">외국에서 2년동안 살았음.
학원에서 공부한적이 없어서 학습적인 부분에서는 적응할 시간이 필요함. speaking과 interaction은 좋음. 
</t>
      </text>
    </comment>
    <comment authorId="0" ref="M8">
      <text>
        <t xml:space="preserve">2/9 첫수업이었고, 레이첼 선생님 수업때 선생님이 다른학생이 잘못해서 혼내는 과정이 있었는데, 목소리를 크게 냈었는데, 아이가 무서워서 학원을 안가겠다 한다함. 어머님께서 아이말을 다 믿지는 않지만 아이가 안가겠다고 하는 상황이고 개선방법을 요청하셨고, Naomi 쌤과 대화후 반이동 결정.
레이첼 선생님께는 Leo가 스케쥴문제로 반이동 진행중인데, 성격이나 성향 피드백 요청하였는데, 행동에는 문제없고, 첫수업이라 책이나, 필기구 준비가 없었다함. 딱히 문제되는점은 없었다함
2/9, 2/14 수업 듣고 2/17(금)부터 반이동 결정 
Sonic Hedgehogs -&gt; Gracious Gophers</t>
      </text>
    </comment>
    <comment authorId="0" ref="N8">
      <text>
        <t xml:space="preserve">Date: 2/21
Who: John
반 변경이후 새로운 선생님들 수업 너무 적응을 잘하고있음 (전반에서 진헌이가 채드선생님을 너무 무서워했음)
어머님께서 직장인이다보니, 첫주 숙제를 잘 못챙겼었는데, 아이가 스스로 적응을 잘하고 있다함. 시간이 지날수록 더 잘 적응하고 있고 아이가 트윈클을 너무 즐기고 있어서 너무 만족스럽다 함
진헌이가 너무 만족해서 주원이도 꼭 등원시키고 싶어하심. 스케쥴문제로 등록결정후 취소하셨었는데, 3월3일 입학으로 등록하기로 함</t>
      </text>
    </comment>
    <comment authorId="0" ref="L9">
      <text>
        <t xml:space="preserve">싱가폴에서 4년동안 공부함. 말하기는 능숙한 편이지만 리딩문제나 글쓰기에는 아직 학습과 노력이 필요한 점에 대해서 어머니께 솔직하게 알려드림. 남매가 다른시간으로 수업을 듣기 때문에 라이드 하실때 편한 방법과 등하원문자 시스템에 대해서 안내해 드림.</t>
      </text>
    </comment>
    <comment authorId="0" ref="M9">
      <text>
        <t xml:space="preserve">첫수업 선생님 급작스런 병가로 대체선생님수업을 들었지만 픽션과 넌픽션 모두 행동적인 이슈없이 잘 적응한 부분 설명드림. 숙제양이 많아서 어머니께서 한달동안은 캐어 해주실 계획이라고 하시고, 시험은 점차 스스로 적응할 거라고 긍정적인 답변 주심.
아이가 수업에 대해 잘 이야기 하지 않으셔서 피드백이 궁금했는데 상담 감사하다고 하시고, 앞으로 궁금하신 부분은 말씀 달라고 안내드림.</t>
      </text>
    </comment>
    <comment authorId="0" ref="M10">
      <text>
        <t xml:space="preserve">준서/예준이 브레이룸에서 싸우는일 발생하서 상황전화로 전달드림.
라이드하시는길에 재원이에게 상황을 들었는데
1. 준서 예준 쿠션으로 던지고받고 놀이하였음
2. 예준이가 던진것에 준서가 by accident 맞음
2. 준서가 예준이향해 얼굴로 던짐
3. 예준이도 화나서 준서에게 던짐
4. Katie선생님 중재하심
어머니께서는 어머니들끼리도 아시는상황이고 가정에서 지도하고 잘 정리하겠다고 살펴봐주셔서 감사하다고 말씀하셨고
월요일에 실장님과 확인후 전달 드리겠다고 말씀드림.
아이들이 영어로 디테일한 상황을 전달하는데 아직은 한계가 있으니 이런일이 있을경우 아이들이 떠나기전에 한국인실장님과 상황을 정리 지도하고 전달드리겠다고 말씀드림.</t>
      </text>
    </comment>
    <comment authorId="0" ref="L12">
      <text>
        <t xml:space="preserve">여학생중에서도 부끄러움이 많은편이라고하셨지만 선생님이나 학생들 성별로 인한 큰 걱정이나 관심을 두고싶진 않다고 하심. 전반적인 커리큘럼이나 행정적으로 설명드렸고 아직은 궁금한게 없어서 살펴보고 연락주시겠다고함.</t>
      </text>
    </comment>
    <comment authorId="0" ref="M12">
      <text>
        <t xml:space="preserve">첫 수업 이후 친했던 Yeji 학생과 다른 여학생을 따돌리며 분위기를 형성하는 부분으로 인해 데스크 선생님과 이야기 나눔. 트윈클에서 선생님들이 분위기 형성하는 것도 중요한 몫이니 잘 지도하겠지만 말씀드릴 부분 있으면 연락드리겠다고함. 학업적으로는 숙제도 나와있는대로 잘 따라가고있기는한데 부족한 부분이 있으면 연락달라고 하심.</t>
      </text>
    </comment>
    <comment authorId="0" ref="L13">
      <text>
        <t xml:space="preserve">6개월 뒤에 화목반으로 옮기고 싶어하셔서 일단은 대기 남겨드렸고
처음엔 성격적으로 낯을 가리지만 친해지면 말 많이 하는 타입이라 이 부분만 조금 신경써주시면 될것 같다. 아이가 재밌게 학원 다니게 하는게 제일 중요하다고 하심.</t>
      </text>
    </comment>
    <comment authorId="0" ref="L14">
      <text>
        <t xml:space="preserve">목동폴리 2년차
스스로 챕터북을 읽는것과 라이팅을 걱정하셔서, 학년과 레벨에 맞게 라이팅수업 진행되는것 설명 드림. 리딩은 스스로 집에서 해야하는 부분이니 부담스럽다면 일주일 리딩 분량을 매일 나누어서 읽는 방법 설명 드림.
친구, 선생님, 커리큘럼, 정책 알려드림.</t>
      </text>
    </comment>
    <comment authorId="0" ref="M14">
      <text>
        <t xml:space="preserve">Date: 3/6
Who: John
Writing 숙제 및 단어시험을 아직 익숙치 않아서 힘들어하지만, 적응시간으로 보고계심. 나중에  힘든부분이나 어머님께서도 이해안되는부분 있으면 연락 언제든지 연락주시라고 하고 통화종료
</t>
      </text>
    </comment>
    <comment authorId="0" ref="H15">
      <text>
        <t xml:space="preserve">2/26 이메일 주소 johnlee077@gmail.com로 변경 S
</t>
      </text>
    </comment>
    <comment authorId="0" ref="L15">
      <text>
        <t xml:space="preserve">태어나서 7세까지 미국 거주. 학생이 너무 튼튼해서 보강 받을 일 없을 것 같다며 너스레로 받아주심. 학생이 워낙 해맑고 착해 선생님이 호의로 괜찮다고하면 진짜 괜찮은줄안다며 정확하게 지도해주시길 요청하심. 책읽기뿐만 아니라 영어 대화 나누는 것을 좋아하며 적응적인 부분엔 전혀 문제 없을 것 같다고 하심.</t>
      </text>
    </comment>
    <comment authorId="0" ref="L18">
      <text>
        <t xml:space="preserve">쓰기를 많이 해 보지 않아서 숙제를 많이 어려워하고 있음. 숙제도움반 안내와 아이가 지속적으로 힘들어하는 부분은 선생님들에게 전달 할 수 있도록 알려달라고 말씀드림.</t>
      </text>
    </comment>
    <comment authorId="0" ref="M18">
      <text>
        <t xml:space="preserve">선생님추천으로 레벨업
글쓰기, 말하기, 이해력 뛰어남. 특히 글쓰기 참여도와 발전이 보이며, 스스로 가이드라인을 잘챙기면서 학습함. 하지만 픽션글쓰기에서 creative thinking 으로 야기되는 글쓰기시간이 오래걸리고 어려움이 있으나 Elite반에서 환경으로 시너지효과를 기대할수있음. 어머니에게 전달드림.
어머니께서는 숙제를 하는데 어려워해서 숙제도움과외를 받고 있는 상황이고, 아이가 변화를 싫어하다보니 반이동하는것에 대해 거부가 심할까 걱정된다고 하심.
어차피 현재 2A여석이 없는 상황으로 대기했다가 아이 의사 들어보고 반이동해도 좋을것 같다고 권유드림.
오늘 아이와 아버지와 이야기나눠보고 내일까지 업데이트 전달주기로 하심.</t>
      </text>
    </comment>
    <comment authorId="0" ref="L19">
      <text>
        <t xml:space="preserve">6/14
하윤이는 말하는걸 굉장히 좋아하는 아이이고 활발한 아이임.
커리큘럼, 선생님, 정책안내 드렸고, 픽션수업때 하윤이의 어휘, 문법 및 라이팅 실력이 향상될 수 있도록 집에서 공부시간및 환경조성이 필요한점 안내드림. 첫 한달동안 결과보다는 아이가 최대한 공부준비에 있어 마무리할 수 있는부분이 중요한점 안내드림. </t>
      </text>
    </comment>
    <comment authorId="0" ref="M19">
      <text>
        <t xml:space="preserve">수업이 너무 재밌었다고 함.
단어품사에 대한 개념을 몰라서 도움이 필요한 상황이라 Fiction선생님께 grammar시간에 간략하게 설명부탁드림.
쓰는것이 많아서 적응하는 중이고
숙제에 대해서 어머니께서도 적응하는 중이라고 하셔서 수요일 숙제도움반에 대해 알려드리고, 자습형태로 미리 리딩해와야 하는 점 등 안내드림.
도조사이트에 대해서 궁금해 하셔서 어떻게 활용하는지 설명드림.</t>
      </text>
    </comment>
    <comment authorId="0" ref="L20">
      <text>
        <t xml:space="preserve">폴리5,6세, 다른 어학원에서 1년차 더함. 커리큘럼, 레벨, 교재, 숙제, 레벨업 등 안내드림. 숙제에 대해 걱정하셔서 단어시험 준비하는 방법에 대해 알려드림.
말하는 것을 좋아하고 선생님을 좋아하는 스타일. 말하는 것에 비해 적는것이나 단어가 부족한 편. </t>
      </text>
    </comment>
    <comment authorId="0" ref="M20">
      <text>
        <t xml:space="preserve">레벨업상담
1년동안 엄청나게 성장한 학생
신규상담때만 하더라도 단어시험도 어려워하고 글쓰기도 어려움을 겪었으마, 이제는 상사헨 글쓰기가 가능하고 자연스러운 문법이해력, 강항독해력, 자신감있는게 자신의 생각을 말할수있는 5가지 영역 모두 우수한 발전을 보임.
어머니께 전달 드렸고
재린이 가정에서도 트윈클에서 아이가 성장한것이 많이 보여 만족스럽다고 하시고, 무엇보다 카산드라선생님들 아이가 너무 좋아하고 수업이 끝나도 말한마디 하고 싶어서 교실에서 늦게 나오는 모습을 보면서 선생님께서 잘 지도해주셔서 감사하다고 말씀하심.
현재 1T에는 여석이 없어서 Silver Cobra반으로 대기완료</t>
      </text>
    </comment>
    <comment authorId="0" ref="L21">
      <text>
        <t xml:space="preserve">커리큘럼, 레벨, 교재, 숙제, 레벨업 등 안내드림.</t>
      </text>
    </comment>
    <comment authorId="0" ref="L22">
      <text>
        <t xml:space="preserve">4지선다형의 숙제와 시험에서 폴리에서 공부하다 보니 공부의 한계가 있고, 글쓰기나 말할때 표현력이 낮아서 언어로써 접근을 하지 못하는것 같아서 트윈클로 선택하게 되심. 트윈클은 포커스가 다른 학원이고, 무엇보다 우수한 교사진에 대한 이야기를 들어서 선생님에 대한 신뢰도 있으시다고 하심. 다른 학원과 다른 선생님 채용과정, 입사전 트레이닝, 정기적인 선생님 미팅과 트레이닝등에 대한 설명도 드림. </t>
      </text>
    </comment>
    <comment authorId="0" ref="M22">
      <text>
        <t xml:space="preserve">두 선생님 수업 모두 재밌게 듣고 있다고 하였고, 수업, 커리큘럼 등 따라가는데는 어려움이 없다고 하셨음.
다만 Listening 숙제방법을 잘 모르시는 부분이 있는 거 같아 트윈클 웹사이트 접속하여 숙제하는 법 자세히 Remind 드림. 
또한 추가적으로 Session 별로 시험여부 문의하셔서 12주차에 진행예정인 Fiction session test와 Nonfiction Cavemen to Kings test 관련하여 설명 드렸고,  이번이 학생 첫 시험인 만큼 담당 선생님께서 안내드릴예정이라고 말씀드렸고, Session test 로 학생을 평가하거나 반편성과 연관 되어있지 않으니 시험에 부담갖지 않기를 요청드림.
</t>
      </text>
    </comment>
    <comment authorId="0" ref="L23">
      <text>
        <t xml:space="preserve">준우 선생님을 잘 따르는편. 원더스1.6으로 졸업. SR 2.8
챕터북을 읽기보다 듣고 있어서 레벨이 맞을지 걱정하심- 커리큘럼과 같은 반친구들의 동일 레벨로 설명드림.
말을 잘하지 않고 한두달 적응시간이 필요한 아이 조용한 편.
I think his first week sangdam might be very important so we need to prepare his first week feedback well and should give his mom the right solution if there are any difficulties.</t>
      </text>
    </comment>
    <comment authorId="0" ref="L24">
      <text>
        <t xml:space="preserve">폴리에서 말하는 기회가 없어서 말하기개선을 기대하시며 트윈클 선택하게 되심. 낯을 가리는 성향이라 선생님께서 수업시간 말하는 기회를 주시며 말하기 리드해주시길 바라심. 글쓰기 또한 경험이 많이 없어서 첨삭을 꼼꼼하게 해주시면 가정에서도 복습하며 학습서포트 하겠다고 하심.</t>
      </text>
    </comment>
    <comment authorId="0" ref="M24">
      <text>
        <t xml:space="preserve">1달 동안 두 선생님 수업 재밌게 듣고 있으며,  트윈클 수업에 만족 하다고 하심. 또한 단어시험, 숙제 등 전반적으로 적응이 되어 수업을 따라가는데 어려움이 없다고 하였음.
선생님들 Comments 도 잘 받아보고 있다고 하셨고, 추가적으로 Report card 배부 예정인점도 자세히 remind 드림.
또한 이 전에 다녔던 폴리와 비교해서 이안이가 더 재밌게 다니는게 보여서 만족한다고 하심.
데스크 응대 및 행정처리에 대해서도 만족한다고 하셨고, 그 외 특별한 문의사항이나 건의 할 내용이 있으면 연락준다고 하시고 통화종료.
</t>
      </text>
    </comment>
    <comment authorId="0" ref="L25">
      <text>
        <t xml:space="preserve">트윈클에서 말하는 기회를 더 많이 가지면서 자신의 생각을 영어로 표현할수 있었으면 해서 트윈클 선택하심. 주변에서 트윈클이 좋다는 입소문을 많이 들어서 기대가 된다고 하심. 수업 친구들과 선생님에 대한 관심이 있으셔서 정보 전달드림.</t>
      </text>
    </comment>
    <comment authorId="0" ref="L28">
      <text>
        <t xml:space="preserve">마르코 선생님 수업 중 유민이가 서우 얼굴에 입으로 푸- 하는 행동을 함/ 서우 어머님께 상황 설명 드리고 유민이 어머님께서 직접 사과하시겠다는 의견 전달드렸는데 어머님께서 다행히 차분히 괜찮다고 하심 / 이런 일 없도록 학원에서도 신경쓰겠다고 전달함</t>
      </text>
    </comment>
    <comment authorId="0" ref="L29">
      <text>
        <t xml:space="preserve">쌍둥이 형제
폴리에서 4점대 책 편안하게 읽는 학습레벨
폴리에서 정기적으로 보는 레벨테스트와 학생들의 시험의 잣대로 레벨 반이동을 하는 시스템에 교육목표와 맞지 않았고, 리딩중심 폴리에서 글쓰기와 말하기를 집중해서 재밌게 학습 했으면 하는 바람으로 트윈클로 선택하게 되심. 트윈클 다니는 친구의 소개로 트윈클 커리큘럼에 대한 기대가 크심.
원래는 월금반에 Jeremy만 등록하고 같은 요일 여석발생시 Joshua도 등록하려고 했으나, 라이드는 힘드시더라도 같이 시작하는게 좋을것 같다고 권유 드려서 화목반에 함께 등록하기로 하심.</t>
      </text>
    </comment>
    <comment authorId="0" ref="M29">
      <text>
        <t xml:space="preserve">두 선생님 수업 무난하게 잘 듣고 있다고 하셨고, 
무엇보다 이전 학원인 폴리 수업은 지식전달 위주였던 반면 트윈클은 지식전달에 그치지 않고, 창의적으로 생각할 수 있게끔 도와주는 면이 좋다고 하심. 
또한 폴리는 리딩위주의 수업인 반면 트윈클은 writing과 speaking, debate 에 중점을 둔 수업으로 만족한다고 하셨음.
단어 시험 관련하여 단어의 Definition과 품사, 문장까지 작성하는 건 약간 Too much 하다고 느끼고 학생이 조금 힘들어 한다고 하셔서 이에 트윈클은 단순 단어의 뜻만 외우는 것이 아닌 단어의 활용법 및 단어를 통한 사고를 확장하는데 목적이 있다고 설명해드림. 
숙제는 현재 적응하면서 잘 하고 있다고 하셨고, 무엇보다도 쌍둥이인 준일학생이 아직까지 폴리를 다녀서 빨리 자리가 생겨서 두 학생이 같이 트윈클 등원했으면 좋겠다고 하셔서 저희도 두 학생 모두 트윈클 등원하는 모습을 보고싶다고 말씀드리고, TO가 생기는대로 바로 연락드리겠다고 말씀드림
</t>
      </text>
    </comment>
    <comment authorId="0" ref="L31">
      <text>
        <t xml:space="preserve">레벨을 못따라 갈까봐 걱정이 있으셔서 커리큘럼과 친구들 레벨 설명드리며 안심시켜드림. 선생님, 상담 등 학원에 대한 관심이 아주 높으심. 선생님, 학원과 소통하는 방법들과 트윈클 학생관리들에 대해서도 알려드림. (심지어 상담하시는 분은 어디에 앉은 사람인지 일하는 방위치도 궁금해하심)</t>
      </text>
    </comment>
    <comment authorId="0" ref="M31">
      <text>
        <t xml:space="preserve">선생님에 대한 불만 및 레벨업요청이 2회째라 레벨업결과 전달 겸 반이동 상담 전화드림.
Logan이 그동안 많이 발전하여 스스로 생각를 정리하고 글을 쓰기 시작했지만 아직 단어와 문장구조, 디테일은 학습 중이라는 피드백 전달 드림.
어머니께서 외모만 보고 교포선생님 같으면 데스크에서 컴플을 하셔서, 어떤 부분이 아쉬운지 먼저 여쭤보고 Cassandra선생님이 가진 학생들에 대한 철저한 파악과 꼼꼼한 첨삭, 학습계획력 등 안내 드리고 1H레벨과 로건에게 적합한 선생님인점 알려드림. 로건이 동적이고 남자선생님과 수업을 하고 싶다고 하셔서 등록 6개월 이후인 9월부터 반이동 가능한점 안내 드리고, Cathal/Dylan반으로 대기자 등록 올림.</t>
      </text>
    </comment>
    <comment authorId="0" ref="N31">
      <text>
        <t xml:space="preserve">지난 주 행정 선생님과 통화하며 왜 </t>
      </text>
    </comment>
    <comment authorId="0" ref="O32">
      <text>
        <t xml:space="preserve">브레이크룸에서 Logan 이건우가 놀자고 등을 톡톡치며 불렀는데 등을 때렸다고 느껴서 담임선생님에게 이야기하고, 다른반에서 수업중인 로건을 가리키며 저 친구라고 해서 로건은 그냥 불렀는건데 억울하다고 울었는사건.
준서어머니는 아이가 잘 모르는 친구가 등을 두드리니 아이가 당황스럽고 놀랐을것 같다고 하는 입장.
로건어머니는 놀자고 등으로 불렀는데 너무 과장해서 아이에게 한건 아니냐는 입장.
월금/월수반으로 월요일밖에 만날 시간이 없고, 다음주는 로건이 결석예정이라 다다음주 월요일에 아이들 모여서 상황 정리하고 한명도 억울하거나 속상한일 없도록 학원에서 마무리 짓기로함.</t>
      </text>
    </comment>
    <comment authorId="0" ref="L33">
      <text>
        <t xml:space="preserve">6세부터 부터 폴리다녔음
챕터북은  많이 노출되었고 스스로 잘 읽는편
폴리에서는 개별적 소홀한 느낌, 피드백이 부족한 느낌, 말할기회가 적어 아쉬웠음. 폴리에서 3년동안 다녀서 변화도 필요해고, 시험이 아닌 다른 방법으로 공부를 시작하고 싶으셨음. 2학년 루아어머니의 "적극적인 트윈클 추천"으로 입학시험 보게 되었고 트윈클에 기대가 많다고 하심.
기대많은 궁금하신 점도 많으셨고 자세한 세부사항답변은 상담으로 드림. 원어민선생님의 도조피드백이 가장 마음에 든다고 하셨음. 첫주상담때 피드백 중심으로 드리면 좋을것 같음.</t>
      </text>
    </comment>
    <comment authorId="0" ref="M34">
      <text>
        <t xml:space="preserve">읽을때 항상 속독 하는 편이라 꼼꼼히 읽지 않는다고 하셨고 그 외적인 학업적인 부분이나 성향적으로 특이사항 없다고하심. 숙제가 어느정도인지 궁금해하셨고 트윈클에 잘 적응해서 온전히 학습할 수 있길 바라심.</t>
      </text>
    </comment>
    <comment authorId="0" ref="N34">
      <text>
        <t xml:space="preserve">월금에 대기 중. / 화목에도 자리 있으면 바로 합류하고 싶어하심.
다니면서 힘들었던 부분은 writing을 집에서 봐줄 수없어서. writing 스스로 하는것. 숙제하고 읽어보기 등 자기주도적으로 하는 부분도 설명드림. 
부스터수업 좋지만 스케줄상 선택권이 적어 아쉽.</t>
      </text>
    </comment>
    <comment authorId="0" ref="L38">
      <text>
        <t xml:space="preserve">Irene 이윤민 동생
밝고 붙임성좋고 사회성있음
여자친구들이랑 잘지내는 편
리안이 친구
좋은 입학시험 결과 다시한번 설명드리고 아이가 트윈클 공부가 많은까봐 겁을 먹었는데, 잘 적응 할 수 있기를 바란다고 하심.
커리큘럼의 레벨도 3학년과 비교해서 전달 드림.</t>
      </text>
    </comment>
    <comment authorId="0" ref="M38">
      <text>
        <t xml:space="preserve">첫 수업시간에 너무 잘한 부분 피드백 전달 드리니 Ryan도 수업이 너무 재밌었지만 나중에 긴장도가 떨어지면 에너지와 텐션이 떨어지는 경향이 있음. (화장실을 자주 감)
숙제는 양이 많았지만 누나가 하는 것을 봐서 잘 하기는 했지만, 폴리와는 숙제가 달라서 거부감은 있어서 선생님께서 숙제를 어떻게 하는지와 단어시험하는 방법에 대해서 한번 더 할 수 있도록 설명부탁드림.
리스닝을 어려워해서 끊어듣기, 느리게듣기, 자막보기로 서서히 적응할 수 있도록 안내드림</t>
      </text>
    </comment>
    <comment authorId="0" ref="N38">
      <text>
        <t xml:space="preserve">4/25
아서 참관수업 피드백
아서선생님한테 말하는 제스쳐, 목소리톤, And~, And~ 하면서 비꼬면서 말했던 상황이 있어서 이런부분은 어른들한테 하면 안되는 부분인점을 아이에게 지도했던 부분전달드림. 또한 선생님이 수업중 말할때나, 다른 친구들이 발표를 할때, 기다리지 않고 본인이 말하거나, 계속 손을 크게 흔들면서 상대방을 방해할때가 있는점 안내드렸고, 집에서도 이런부분은 잘 지킬수있도록 지도요청드림.
어머님께서도 잘 지도하시겠다고 하셨고, 연락주셔서 감사하다 하시고 통화종료</t>
      </text>
    </comment>
    <comment authorId="0" ref="O38">
      <text>
        <t xml:space="preserve">아서 선생님 피드백요청 전화
다른친구들을 반복해서 건드리면서 수업을 방해하는 태도를 보이는점 전달드림.
도조포인트를 깎거나, 복도에서 선생님이 진지하게 얘기를 할때되서야 멈추고, 또 행동을 반복는 부분들이 있어서 집에서 이런부분들을 개선할 수 있게끔 지도요청드림. 
선생님께 너무 죄송하다고 하셨고, 집에서도 다시한번 수업태도와 선생님 지시를 따를 수 있도록 아이에게 얘기하시겠다 함. </t>
      </text>
    </comment>
    <comment authorId="0" ref="L39">
      <text>
        <t xml:space="preserve">여선생님 선호하고 책을 많이 좋아함. 아주 외향적이진 않지만 너무 수줍어하지는 않음. 기존에 오래 다녔던 학생들 반이다보니 걱정하셔서 안심시켜드림.
공부방에서만 학습을했지만 원어민이랑 수업했고 트윈클 입학 시험을 보니 reading, writing, speaking 정수 모두 80%가 넘지만 vocab 5점이며 단어 학습을 한번도 시킨적이 없다고하심. 단어 시험보는 방법에 대해 말씀드렸으며 Novel 책들을 보니 생각보다 많이 어려울 것 같지만 상담하고 보니 크게 걱정하지 않아도 될 것 같다고 하심.</t>
      </text>
    </comment>
    <comment authorId="0" ref="L40">
      <text>
        <t xml:space="preserve">High반부터 시작해서 Elite반까지 레벨업한 케이스. High반때 Cassandra선생님과 학습에 집중하여 부스팅하는 시간을 잘가진 덕분에 레벨업 하게 되어서 어머니께서 기뻐하심.
현재 Top반 커리큘럼과 비교하여 Elite과정 설명드리고, 선생님 소개, Classmates 정원 및 성별등 안내드림.
다른부분보다 역사과목에서 체감하는 레벨이 높아질거라서 단어가 어렵더라도 전체적인 맥락으로 수업전에 읽고, 수업시간에 선생님께서 배경지식등 학생들에게 필요한 점 Brainstorming후 키워드로 정리해서 숙제할때 도움될수 있도록 지도하고 있는 것 설명드리며, 숙제준비 안내드림.</t>
      </text>
    </comment>
    <comment authorId="0" ref="L43">
      <text>
        <t xml:space="preserve">윤서가 쑥스러움이 많다고 하심. 다른 학원 계속 다니다가 이번에 옮긴건데 따기 걱정은 없다고 하심.</t>
      </text>
    </comment>
    <comment authorId="0" ref="O43">
      <text>
        <t xml:space="preserve">어제 이야기 잘 나누셨겠지만 Lua 학생이 트윈클을 워낙 좋아하고있고, 그 연령대 학생들이 어떤 과목을 좋아해서 욕심을 가지고 하는것만큼 시너지가 나는 부분이 없다보니 혹시라도 제가 중간에서 도와드릴 수 있는 부분이 있는지 확인차 연락드렸다고 말씀드림.
선생님과는 오늘 처음 이야기 나눴지만 선생님들 없었음 어쩔뻔했냐고 하시며 현아 선생님과 부원장님께도 죄송하고 감사하다고 꼭 전달해달라고 하심.
솔직히 말씀드리면 11월 7일날 폴리도 예약해놨는데 개인적으로 트윈클을 선택하고 싶다고하시며, 선생님을 너무 좋아해서 울고있는 애를 보니 많이 속상했다 하심. 당장 더 요청하고 싶은 부분은 없고 동생까지 믿고 보낼 수 있을 것 같다고하심.
Lua가 숙제하면서 어려움 느끼는 부분은 없는지 여쭤보니 학원에서 선생님이 지나가면서 한마디 툭 건들면 더 잘하고싶어서 집와서 책을 더 들여다볼 정도라고 대답함. 숙제하면서 1, 2문제 정도 어려워 건너띄는 경우가 있다고하심. 앞으로 지속적으로 숙제하면서 조금이라도 거부감을 느끼는 부분이 있거나, 모르는 문제를 그냥 넘겨 버리는게 습관이 되지 않도록 어머님께서도 꼭 확인하고 가정지도 부탁드린다고 말씀드리고 학생이 어려워 하는 부분에 대해서는 저희가 책임지고 지도하겠다고 말씀드림.</t>
      </text>
    </comment>
    <comment authorId="0" ref="L44">
      <text>
        <t xml:space="preserve">시윤이 처음에 적응하느라 조금 삼식이?같은 (어리버리한) 면이 있다고 하심. 나중에 적응하면 괜찮아진다고 하심.
학습은 단어 공부를 꼼꼼하게 외우지 못한다고 걱정은 좀 된다고 하심. 단어시험 매 수업마다 있고 어던 형식으로 보는지 설명 드림. </t>
      </text>
    </comment>
    <comment authorId="0" ref="L45">
      <text>
        <t xml:space="preserve">태어나서 7세까지 미국 거주. 학생이 너무 튼튼해서 보강 받을 일 없을 것 같다며 너스레로 받아주심. 학생이 워낙 해맑고 착해 선생님이 호의로 괜찮다고하면 진짜 괜찮은줄안다며 정확하게 지도해주시길 요청하심. 책읽기뿐만 아니라 영어 대화 나누는 것을 좋아하며 적응적인 부분엔 전혀 문제 없을 것 같다고 하심.</t>
      </text>
    </comment>
    <comment authorId="0" ref="L48">
      <text>
        <t xml:space="preserve">Date: 2/9
Who: John
선생님 피드백을 통한 상담
아이가 충분한 실력에도 불구하고, 단어준비를 제대로 하지 않았고, 수업시간에 산만하고, 방해되는행동을 함. 
어머님께 선생님께서는 송겸이 충분히 잘하는 실력임에도 수업시간에 위의 모습들이 보이니 집에서 조금더 아이가 잘 할 수 있도록 전달 주시면 좋을것 같다고 피드백 주셧다고 전달. 경고연락이 아닌 아이에 대한 선생님들이 신경쓰고 걱정되는 부분을 전달하는점이라고 안내드리고,  어머님께서는 죄송하고, 아이가 더 잘 할 수 있도록하고, 선생님들께서 엄격하게 하셔도 되니 부모님 신경쓰지말고, 아이에게 필요에 따라 엄격하게 대해달라고 요청하심 (선생님꼐 전달완료)</t>
      </text>
    </comment>
    <comment authorId="0" ref="M48">
      <text>
        <t xml:space="preserve">Date: 2/15
Who: John
2/14 채드 선생님 수업때 책에 아무것도 안적혀 있는데, 선생님한테 좋은 카카오 코멘트를 받았다고 연락주심.
신경을 잘 안써주시는건 아닌지 조심스럽게 물어보셨고, 어머님께서도 지난 코멘트들떄문에 집에서 엄청 공부시키고 혼내고 있다고 하심. 아이가 원래 집중을 잘 못하고 산만한 성격은 알고계시지만, 선생님들께서도 잘 지도 해주셨으면 좋겠다고 조심스럽게 말씀하심. 또한 겸이가 앞자리에 앉아서 좀더 집중할 수 있게 해주실수 있는지 요청주심
(2/16 3시 이후 전화주시기로 함)
채드피드백
카카오코멘트는 이전에 몇번 언급했던것이어서, 일부로 반복되는 부분은 언급안함. 아이가 책에 안적는부분은 알고 있고, 수업때 몇번이나 계속해서 하라고 말하고, 여러가지 제안도 줬지만 안한다 함. 또한 스마일포인트를 준다고 해야 늦게나마 시작하고 또 집중을 못한다함
일단 수업의 1/3 정도로 겸이에게 많이 신경 쓰는중이라 함.
자리 지정자리에 관해서는 겸이가 어딜 앉는다고 개선되는 부분은 아니라고 판단한다함</t>
      </text>
    </comment>
    <comment authorId="0" ref="N48">
      <text>
        <t xml:space="preserve">Date: 2/15
Who: John
어제 채드선생님과의 대화내용 전달드림.  선생님께서는 부정적인 피드백을 계속 반복해서 보내면 오히려 아이나 부모님께서 안좋게 받아드릴 수 있어서 고민후 보내신거라고 하였고, 어머님도 이해하심.
또한 채드선생님이 수업때 몇번이나 집중하고 책을풀어야하는 점을 말하지만 아이가 무시하고 집중을 못하는 상황을 안내드림. 선생님이 최대한 신경을 많이쓰는점 안내드렸고, 어머님께서 겸이가 잘 적응하도록 노력해보시겠다고 함.</t>
      </text>
    </comment>
    <comment authorId="0" ref="L49">
      <text>
        <t xml:space="preserve">처음에 낯을 좀 가리지만 크게 적응하는데 문제는 없을 것 같다고 하셨으며 7세때 Prep 반 3개월 정도 재원하며 입학 희망하여 대기하심. 워낙 성숙한 학생들이 있는 반이라 서로 도와가면서 적응하겠지만 처음 물꼬 잘 틀 수 있도록 도와주겠다고함.</t>
      </text>
    </comment>
    <comment authorId="0" ref="M49">
      <text>
        <t xml:space="preserve">수업에 조금 늦었는데 Dorothy선생님이  단어시험 못 보게 했다고 화가나 흥분한 상태로 연락 오심.  / 선생님과 확인 후 전달. 지난세션보다 어렵고 시간이 오래 걸리는 단어시힘. 다 끝내지 못하면 점수도 온전히 받지 못해 그랬다하심. / 어머님은 아이가 6분전 엘베 도착 하지만 엘베 늦어서 수업 늦음. 시험 못봐서 앉아서 딴짓하고 한참후 7분 남았다는 얘기를 들음. 그러면 충분히 시험 볼 시간이 되지 않았냐 화내심. 다른 친구 빗대어 말씀. 그 친구는 항상 늦어서 1,2분 시간 더 주고 시험 보게 했는데 형편성에 어긋나는 점. 규정이 명확하지 않은점 컴플. / 수업 운영은 온전히 선생님의 권한으로 진행되고 조금이라도 다른 친구들에게 영향이 있으면 선생님께서 판단하여 운영된다고 설명. / 아이가 불친절한 선생님때문에 상처 받은적이 몇번있지만 아이를 계속 보낼 입장이라 불만 표현 안하시고 참았다. 하지만 이번거는 형편성에 어긋나고 불공정하다고 판단되어 전화 하셨다고 하심. / 한참 화내고 하소연 하신 뒤 누그러지셨고 선생님 곧 계약 만료로 교체되는 점. Sarah 6시타임 반으로 곧 이동할 수 있다고 하심. / 나중에 또 그런 부분이 있다면 오해가 쌓이기 전에 꼭 말씀 달라고 전달. 감사하다면서 웃으시며 마무리.</t>
      </text>
    </comment>
    <comment authorId="0" ref="L50">
      <text>
        <t xml:space="preserve">폴리에서 공부했음. 아이가 말하는것을 아주 좋아하고, 외국에 갔을때도 외국인들과 스몰토크를 거침없이 즐기는 모습을 보시며 아이에게 말하는 기회가 많은 영어환경을 주고 싶으셨다고 하심. 폴리는 선생님이 말씀하시는 수업 중심으로 학생들은 듣기로만 진행되어 같은반의 Sarah어머님의 추천으로 트윈클에 대해서 더 좋은 인식이 생기게 되어 선택하시게 됨. 숙제도움반, 부스터수업에 대해서도 긍정적인 피드백 주셨고 트윈클 생활이 기대된다고 하심. 아이가 생각하는만큼 말하고 글을 쓰는 능력을 트윈클에서 배웠으면 좋겠다고 하심.</t>
      </text>
    </comment>
    <comment authorId="0" ref="L51">
      <text>
        <t xml:space="preserve">학생 성향이 숙제나 학원일에 대해 잘 모르겠다고 표현해서 숙제 도움에 대한 궁금증이 많으셨음. 첫 수업에 학생과 이야기 나누며 숙제 안내해주겠다고 말씀드렸고 숙제도움반 참여 원하셔서 2회정도 참여하면서 윤곽을잡고 더 필요한 부분에 대해 더 상세히 설명드리겠다고 말씀드림.</t>
      </text>
    </comment>
    <comment authorId="0" ref="M51">
      <text>
        <t xml:space="preserve">수업은 학생이 조금 어렵긴 하지만 해볼만하고 가정에서도 Wriitng을 특히 열심히 한다고 하심. 사실 마포트윈클에 재원해서 트윈클 커리큘럼에 낯설어하거나 그러진 않지만 이전 재원시 B레벨로 수업을 들어서 현재 E 수준에서 약간 struggle 할 수있을 거같다며 그런 부분이 있다고 하면 선생님들 피드백 바탕으로 안내 및 support 드릴 수 있는 부분도(Booster) 같이 설명드림.
슥제에 대해서도 약간 숙지가 안되신 부분이 있어 해당내용도 추가로 안내드리고, 이번 주 수요일 Homework Help도 예약이 되어있어 관련안내사항도 전달 드림.
기타 행정 및 직원응대 부분은 너무만족스럽다고 하셔서 해당내용 감사드린다고 하고 통화종료
</t>
      </text>
    </comment>
    <comment authorId="0" ref="L52">
      <text>
        <t xml:space="preserve">마포거주, 워킹맘이시라 6시 시간 선택. 영유3년차 미교2.6까지 함.
말하기 좋아하고 활발하고 선생님 지도 잘 따르는편. 숙제, 테스트, 반이동 등에 대해 상담드림.</t>
      </text>
    </comment>
    <comment authorId="0" ref="M52">
      <text>
        <t xml:space="preserve">Date: 4/13
Who: John
지호가 불가능 4개학원이 다조정되야하기때문에, 현재는 불가능하다고 답변하심. 6개월 뒤 반이동 가능할때 반이동고려중이신것같음. 
현재 집중도 낮아지는부분등 고려해서 전화주신것 감사하다 하심.</t>
      </text>
    </comment>
    <comment authorId="0" ref="N52">
      <text>
        <t xml:space="preserve">Date: April 14th
Who: Eddie
대치에서 지호 학생이 6월 이후로 전원 하고 싶다고 하여 피드백 요청하였음. 또한 어머님이 데스크오셔서 직접 대치와 통화한 내용 관련문의주셨음. 참고로 대치에 목동 Standard 레벨이 없는 점 안내드렸고, 필요하면 인터뷰 외 필기시험 볼수있다고 안내드렸음. 대치에 현재레벨 정보와 입학성적표 보냈음.
</t>
      </text>
    </comment>
    <comment authorId="0" ref="O52">
      <text>
        <t xml:space="preserve">Date: April 18th
Who: Eddie
4/18: 어머님이 대치에 전원문의하였을때 대치에서 안내받았다고 한 교재가 기억안난다고 하셔서 대치에 연락하여 Faith 선생님에게 확인하였고, 대치에서 1E 반 Novel 리스트로 안내하였다고 하여서 해당 내용 어머님께 메일로 드렸고, 유선상으로 안내하여 시험대비 요청드림.
추가로 Session book Curiousity Training를 최대한 자세히 적는 연습을 요청드림</t>
      </text>
    </comment>
    <comment authorId="0" ref="L53">
      <text>
        <t xml:space="preserve">두 친구 다 처음에는 수줍음 많음 shy.  2,3주는 낮가린다고 하심. 
혜원이는 친해지면 활발함. 적응시간 걸리고 처음에는 조용할거라고 하심. 
혜준이는 조용함. 학원 피드백은 참여 잘한다고 하심.
미국에 살다가 왔고 현지에서 2년동안 영어로 학교 수업 받았어서 트윈클에서 참여나 수업 잘 적응할것 같다고 하심.
***혜원. 4월에 눈수술 예정. (간헐적 사시)</t>
      </text>
    </comment>
    <comment authorId="0" ref="L54">
      <text>
        <t xml:space="preserve">두 친구 다 처음에는 수줍음 많음 shy.  2,3주는 낮가린다고 하심. 
혜원이는 친해지면 활발함. 적응시간 걸리고 처음에는 조용할거라고 하심. 
혜준이는 조용함. 학원 피드백은 참여 잘한다고 하심.
미국에 살다가 왔고 현지에서 2년동안 영어로 학교 수업 받았어서 트윈클에서 참여나 수업 잘 적응할것 같다고 하심.
***혜원. 4월에 눈수술 예정. (간헐적 사시)</t>
      </text>
    </comment>
    <comment authorId="0" ref="L55">
      <text>
        <t xml:space="preserve">Poly 계속 다녔고 학원을 옮긴게 처음이라 등록 과정에서도 고민이 많으셨고 앞으로 적응하는 것도 걱정 된다고 하심. 
유주가 영어를 좋아하지는 않다고 하시며 학원에서도 영어로 말을 많이 하지 않은것 같다고 하심. 
선생님께는 유주 상황 잘 말씀 드려서 적응 잘 하도록 부탁한다고 하심. 특히 말 할 때 독려 많이 해달라고 하심. 
첫날 오면 유주에게 숙제 어떻게 하는지 설명 부탁하심. </t>
      </text>
    </comment>
    <comment authorId="0" ref="L60">
      <text>
        <t xml:space="preserve">Date: 4/6
Who: John
두선생님께 피드백 받은결과, NF 수업에는 수아도 장난끼가 굉장히 많고, 먼저장난을 경우도 많았던점 안내드림. (F 수업에는 차분하게 공부하지만 NF 수업때 장난끼가 많음). 주오 어머님께 연필로 수아가 눈에 찔렸던 상황 및 장난을 쳐서 힘들어하는점 이야기 했고, 주오 어머님께서 굉장히 죄송해하고 강하게 훈육시키겠다고 말씀하신부분 전달드렸고,  선생님들께서도 수업시 좌석을 떨어뜨리고 당분간 장난이 심하진 않은지 확인요청 드린부분들도 전달드림. 당분간 좀 더 지켜봐달고 전달드렸고,  수아도 수업때 장난치지 않게끔 지도해달라고 요청드림.</t>
      </text>
    </comment>
    <comment authorId="0" ref="M60">
      <text>
        <t xml:space="preserve">Katie 선생님께서 학부모 전화 요청: 수업 참여를 너무 잘하는 친구인데 숙제 완성도가 떨어져 100% 수업에 참여하는게 안타깝다고하심. 어머님께 안내드렸더니 숙제를 딱히 하기싫어하진 않지만 꼭 엄마랑 할라고한다고 하시며 어머님이 일하시다 보니 자주 못봐줘서 죄송하다고 말씀전하심. 아직 어린 연령 학생이다보니 학업적으로 막히는 부분이 있으면 저희가 익숙해질때까지 접근하는법에 대해 언제든지 도와드릴거라고 말씀드렸고 어머님께서도 신경 더 많이 쓰시겠다고 하심.</t>
      </text>
    </comment>
    <comment authorId="0" ref="L61">
      <text>
        <t xml:space="preserve">숙제는 첫주에는 많이 힘들어했지만, 한번하고 한후 훨씬 적응되었다. 마르코 선생님께서 아이가 잘 적응할수 있도록 많이 도와주셨다. 논픽션은 다소 어려울것이라 걱정했는데 생각과 다르게 아이가 훨씬 좋아했다. 자유로운 세션북에 대한 질문과 커리큘럼이 너무 좋다고 피드백 주심. 단어시험 보는 것을 많이 어려워 했지만 열심히 노력하고 있음.</t>
      </text>
    </comment>
    <comment authorId="0" ref="L62">
      <text>
        <t xml:space="preserve">밝고 활발한데 처음은 부끄러운편
선생님이 이끌어주길바람.
폴리에 계속 재학해서 라이팅을 체계적으로 하진 않음.
수업시간에 생각을 이끌어내서 하는거 어려울 수 있을 것 같아 참여도 이끌어주시길 부탁함.</t>
      </text>
    </comment>
    <comment authorId="0" ref="P62">
      <text>
        <t xml:space="preserve">레벨업상담
현재 1T에는 여석이 없어서 Silver Cobra반으로 대기완료</t>
      </text>
    </comment>
    <comment authorId="0" ref="L63">
      <text>
        <t xml:space="preserve">좋아하는 주제에 대해 글쓰기 예를들어 super heros와 같은 영어학습할때 아주 좋아했는데 폴리에서는 그런게 없어서 아쉬워서 아이가 즐겁게 글쓰기와 몰입을 하기 바라심.
선생님에 대해 관심이 많으셔서 현재 선생님과 2024선생님 안내 드리고, 커리큘럼과 숙제캐어등 안내드림.</t>
      </text>
    </comment>
    <comment authorId="0" ref="M63">
      <text>
        <t xml:space="preserve">주원이 첫수업 너무 재밌었고 친구들도 착해서 좋다는 피드백주심. 하지만 엘리베이터가 너무 불편해서 등하원하는게 쉽지 않다고 하심.
숙제에서도 어려움은 없지만 단어시험 준비하는데 시간이 걸려서, definition을 외우려고 하기 보다 단어와 연상되는 이미지를 떠올릴수있고, 단어를 사용하여 문장을 말로 반복하며 연습하면 도움 될거라고 설명드림.</t>
      </text>
    </comment>
    <comment authorId="0" ref="L64">
      <text>
        <t xml:space="preserve">입학성적상담 직후 다음날 바로 등원. 대면상담 진행하였고 다른건 걱정되는게 전혀없는데 낯을 가리는 편이라 그부분만 걱정된다고하심. 수업 잘 적응하고있어서 수업 중간에 연락드렸고 만족스러워하심.</t>
      </text>
    </comment>
    <comment authorId="0" ref="M64">
      <text>
        <t xml:space="preserve">조인 후 두 선생님 수업 재밌게 큰 어려움 없이 듣고 있다고 하셨고, 숙제, 단어 시험 등도 가정에서 어려움 없이 잘 하고 있어서 시간이 지나면 상당부분 익숙해질거 같아 걱정은 없다고 하심.
기타 올해 방학 및 휴무일정에 대해 문의주셔서 안내드렸고, 그 외 특별한 문의사항 있으면 연락주겠다 하심 
</t>
      </text>
    </comment>
    <comment authorId="0" ref="L66">
      <text>
        <t xml:space="preserve">처음 만나는 친구들 앞에서 말하는 게 어려워서 잘 안 되는 경우가 많다고 하시며 격려 부탁하심. 
학원 옮길때마다 아이의 고민은 이미 교우관계가 형성 되어 있는 반에 들어가서 적응하는거라고 하심. 그런 면에서 도윤이가 학원에 학업뿐 아니라 친구들과도 잘 지낼 수 있게 도와달라고 하심.</t>
      </text>
    </comment>
    <comment authorId="0" ref="L69">
      <text>
        <t xml:space="preserve">7세 1년차. 챕터북에 대한 경험이 없어서 리딩에 대한 걱정이 있으심.  엘리트반과 다르게 원더스 교재로 준비된점에 대한 커리큘럼 설명 드리고 Dale뿐만 아니라 모든 친구들이 비슷한 걱정이 있는 것과 적응할 시간등에 대해서 설명드림.</t>
      </text>
    </comment>
    <comment authorId="0" ref="M69">
      <text>
        <t xml:space="preserve">7/21: 어머님이 반 이동원하셔서 이동 가능한 화/목반으로 안내드림. 어머님께서 Dancing Donuts, Keen Kakapos 중에서 결정하고 알려주겠다고 함.</t>
      </text>
    </comment>
    <comment authorId="0" ref="N69">
      <text>
        <t xml:space="preserve">같은 학교, 같은 아파트 단지에 살고 원래 친한 Dale 학생과 트러블이 있는 듯 보이고 두 학생이 약 한달간 서로 불편한 감정을 가지고 있는 것으로 판단됨. Daniel 학부모님은 Dale 학생의 폭력적인 성향으로 반 변경 희망하실 정도였지만 Carly 선생님의 정확한 피드백 바탕으로 Daniel 학생이 친구들을 지속적으로 귀찮게하거나 신경을 건드리는 행동들에 대해서 고쳐야 한다고 말씀드림. Dale 학부모님께도 해당 사항 전달드렸으며 이전 Raphael 을 그룹으로 따돌림한다는 이슈가 있었을때 상황으로 Dale 어머님이 학생과 이야기나누심. Carly 선생님은 Dale 보다는 Daniel 의 문제가 크다고 판단하셨고 반 분위기 자체에 변화가 필요한 상황으로 Jayson 원장님과 이야기 예정. (4/11)
 </t>
      </text>
    </comment>
    <comment authorId="0" ref="M70">
      <text>
        <t xml:space="preserve">Date: 6/19
Who: Eddie
어머님이 전화 오셔서 단어 시험이 너무 어렵고 이렇게 까지 나오는 게 조금 이해가 안된다 하시면서 Complaint까지는 아니고 약간 짜증 섞인 의견을 전달하심. 어머님이 윤상 학생이 노력을 함에도 불구하고 시험이 매우 어려워 점수가 낮게나오는 거 같다고 얘기주심. 이에 현재 전체적인 브랜치에서 동일하게 단어 시험 진행하고 있고, 학생들도 곧 잘 적응하는 점과 나중에 이렇게 디테일하게 공부하는 것이 더 도움이 될 수 있다는 점 말씀드리니 어머님께서 그러길 바란다고 하시면서 알겠다고 하시고 통화 종료.</t>
      </text>
    </comment>
    <comment authorId="0" ref="N70">
      <text>
        <t xml:space="preserve">Date: 6/21
Who: John
레이첼 피드백 요청
6/21
최근에 에디쌤에게 컴플레인느낌으로 단어에 대한 불평이 있으셨던점들에 대한 추가적인 설명과, 현재 NF수업때 숙제 및 단어시험 준비가 미흡하고, 수업때에도 집중도가 너무 낮은점 안내드림. 선생님께서 많이 걱정하고 있으신 상태이고, 윤상이가 더 준비를 해야하는 필요성과, 그 이유를 설명드림. 어머님께서 집에서 윤상이가 준비를 더 완벽하게 할 수있게끔 환경을 조성주실필요성을 설명드렸고, 어머님께서도 더 노력해보시겠다고 함. </t>
      </text>
    </comment>
    <comment authorId="0" ref="L71">
      <text>
        <t xml:space="preserve">원준 동생
어머니께서 워낙 트윈클 커리큘럼과 문화를 좋아하셔서 믿고 보내신다고 하심. 1학년 커리큘럼과 4학년 수업과 다른 점등에 대해서 안내 드리고, 형제 재원생이다 보니 조금더 특별한 대우를 위해서 자세한 상담 및 피드백 전달 드릴 예정.</t>
      </text>
    </comment>
    <comment authorId="0" ref="M71">
      <text>
        <t xml:space="preserve">첫 수업 레벨, 교우관계, 수업참여도 등 모두 어려움 없이 잘 진행한 점 전달 드림. 율이도 수업이 너무 재밌었다고 피드백 주심.</t>
      </text>
    </comment>
    <comment authorId="0" ref="N71">
      <text>
        <t xml:space="preserve">어머님이 요 근래 들어 같은 반의 남학생들이 쉬는시간에 율이를 약간 따돌리듯이 장난을 치는 것 같다고 어머니에게 직접 얘기했다고 하심. 이에 율이가 하원 후 집에가서 속상하다고 했다고 함. 어머님께 구체적인 상황과 해당학생이름 여쭤보았으나 얘기는 원치않으심. 어머님께 수/금반 안내드렸으나 시간이 애매하다 하여 일단 더 지켜보고 도움필요하시면 연락준다고 하심. (단순히 괴롭힘 보다는 학생끼리 안맞는 가능성도 고려해본다고 하심)</t>
      </text>
    </comment>
    <comment authorId="0" ref="O71">
      <text>
        <t xml:space="preserve">어머님이 요 근래 들어 같은 반의 남학생들이 쉬는시간에 율이를 약간 따돌리듯이 장난을 치는 것 같다고 어머니에게 직접 얘기했다고 하심. 이에 율이가 하원 후 집에가서 속상하다고 했다고 함. 어머님께 구체적인 상황과 해당학생이름 여쭤보았으나 얘기는 원치않으심. 어머님께 수/금반 안내드렸으나 시간이 애매하다 하여 일단 더 지켜보고 도움필요하시면 연락준다고 하심. (단순히 괴롭힘 보다는 학생끼리 안맞는 가능성도 고려해본다고 하심)</t>
      </text>
    </comment>
    <comment authorId="0" ref="P71">
      <text>
        <t xml:space="preserve">같은 학교, 같은 아파트 단지에 살고 원래 친한 Dale 학생과 트러블이 있는 듯 보이고 두 학생이 약 한달간 서로 불편한 감정을 가지고 있는 것으로 판단됨. Daniel 학부모님은 Dale 학생의 폭력적인 성향으로 반 변경 희망하실 정도였지만 Carly 선생님의 정확한 피드백 바탕으로 Daniel 학생이 친구들을 지속적으로 귀찮게하거나 신경을 건드리는 행동들에 대해서 고쳐야 한다고 말씀드림. Dale 학부모님께도 해당 사항 전달드렸으며 이전 Raphael 을 그룹으로 따돌림한다는 이슈가 있었을때 상황으로 Dale 어머님이 학생과 이야기나누심. Carly 선생님은 Dale 보다는 Daniel 의 문제가 크다고 판단하셨고 반 분위기 자체에 변화가 필요한 상황으로 Jayson 원장님과 이야기 예정. (4/11)
 </t>
      </text>
    </comment>
    <comment authorId="0" ref="L72">
      <text>
        <t xml:space="preserve">작년 프랩반부터 1T반에서 공부했었으나 트윈클에서 문법을 잘 다루지 않고 아이가 단어시험과 예습형 숙제를 너무 힘들어해서 퇴원했었음.
그래도 트윈클만큼 아이들 생각을 키워주고 말하고 글쓰는 학원이 없는것 같다고 하시며 다시 컴백. 그사이 바뀐 정책, 커리큘럼 설명드렸더니 특히 세션테스트와 예습형숙제가 없어진점, 복습형 넌픽션단어테스트를 너무 좋아하셨음.
문법수업에 대한 보충은 트윈클 웹사이트의 Grammarble사용법으로 안내드림.</t>
      </text>
    </comment>
    <comment authorId="0" ref="L73">
      <text>
        <t xml:space="preserve"> 기존에 트윈클 재원했던 친구의 어머님께서 학생의 롸이팅과 스피킹이 많이 늘어서 기대하고 있는 부분이 크다고 하심. 다만 채아가 낯을 많이 가리고 말수가 적어서 조금 염려된다고 하심.
</t>
      </text>
    </comment>
    <comment authorId="0" ref="L74">
      <text>
        <t xml:space="preserve">수업 중 졸리면 어떻게 하지 하면 학생이 걱정한다고 하심. 
스피킹을 좋아하지 않으며 자발적으로 발표를 하지 않고, 손을 들고 발표하는 것도 어려워하지만, 주어진 상황에서는 발표를 할 수 있음. 격려와 기회를 제공받으면 더 적극적으로 참여할 수 있으며, 발표를 시작하는 데 부담을 느끼는 경향이 있다고 하심. 
2월에 여행 계획 있음.</t>
      </text>
    </comment>
    <comment authorId="0" ref="L75">
      <text>
        <t xml:space="preserve">활발하지만 맡은일은 끝날때까지 일어나지 않고 집중하고, 암기력이 좋은편. 아이스하키를 해서 스포츠관련한 책을 아주 좋아하고 책도 3점대 후반을 무난하게 읽고있어서 2T반에서 어려움예상되는 부분 없음.
어머니께서 아이가 힘들어할때 어떻게 학습관리해주시냐 물으셔서 부스터수업이 있고 2주마다 선생님들께서 맡은 학생들 중 어려움 있는 학생들 업데이트 해주는 관리방식 설명드림</t>
      </text>
    </comment>
    <comment authorId="0" ref="L76">
      <text>
        <t xml:space="preserve">2020년도에 오빠가 트윈클에 재원했었음 (Dave 김동우) 그동안 트윈클 커리큘럼 및 관리에서 변경된 부분 위주로 세션테스트, 보강수업, 도조코멘트 등 설명드림. 
아이가 2T레벨을 잘 적응할수 있을지 걱정하시는 부분이 제일 커서, 커리큘럼의 전반적인 리딩레벨 하지만 레벨외에 학생의 수업참여도, 글쓸때 답을 찾기보다는 자신의 생각을 바탕으로 쓰는 트윈클 질문의 패러다임 적응등에 대해서 설명드림.
Heavenly Hynas반에 남자친구가 많아서 반분위기가 산만하거나 거친성향이 아이가 있는지 걱정하셔서, 여자아이들이 적응만큼 선생님들과 관리자들이 더 신경을 쓰고 있는 반임을 설명드리고,  Jenyy가 차분한 성향인점 선생님들께 미리 전달드리겠다고 말씀드림.</t>
      </text>
    </comment>
    <comment authorId="0" ref="M76">
      <text>
        <t xml:space="preserve">두 선생님 수업 너무 재밌게 잘 듣고 있고 가정에서 숙제와 단어시험 준비 등에 어려움 없이 너무 즐겁게 다닌다고 하셔서 전체적으로 만족스럽고 문제는 따로 없다하심.
처음에 남학생들이 많아서 조금 걱정하셨던 부분 관련하여 여쭤보았고, 다행히 반 친구들과 잘지내고 있고 문제가 없다고 하심.
이에 어머님께 가은 학생이 수업 너무 재밌게 잘듣고 트윈클에 적응잘하고 있어서 너무 안심되고 기쁘다고 말씀드렸음.
</t>
      </text>
    </comment>
    <comment authorId="0" ref="L79">
      <text>
        <t xml:space="preserve">Date: 2/15
Who: John
등록여부 : O
예지언니가 예전에 초등부 2년동안 다녔어서 전체적으로 다 알고계시다함.  이전 기준으로 이월정책 변경된점이나, 보강수업 관련 안내드렸고,  예지는무조건 수업듣는걸로 결정하셨다 하심
</t>
      </text>
    </comment>
    <comment authorId="0" ref="M79">
      <text>
        <t xml:space="preserve">Date: 2/23
Who: John
1회 추가 수업비 안내완료 (2/27 수업분)
28일에 보강수업가능한점 안내드렸지만, 여행일정때문에 27일 출석여부 24일까지 결정해서 알려주신다함 (27일 보강수업없이 빠지면 1회분 이월처리해야함_54만결제하면됨)</t>
      </text>
    </comment>
    <comment authorId="0" ref="N79">
      <text>
        <t xml:space="preserve">단어시험준비, 소설읽기, 숙제준비필요한한 부분 전화드려서 설명드림. 가정에서 지도하겠다고 하심.
어머니께서 지난주와 이번주 아이리스 선생님 첨삭/숙제피드백이 안되어 있었다고 하셔서, 이번주는 아이들이 수업준비가 부족하여 수업시간이 부족해서 다음시간에 체크 할 예정이라고 설명 드리고, 그 전주것에 대한 것은 선생님께 여쭤보고 피드백 드리겠다고 말씀드림.</t>
      </text>
    </comment>
    <comment authorId="0" ref="L80">
      <text>
        <t xml:space="preserve">Date: 2/15
Who: John
등록여부 : O
Kevin 강경빈 학생이 형이고 
이미 초등부에 재원중이여서 어머님께서 정책이나, 모든부분을 알고계심. 따로 문의사항은 없으셨고, 
등록을 확실하게 결정하셨다 하심.
</t>
      </text>
    </comment>
    <comment authorId="0" ref="M80">
      <text>
        <t xml:space="preserve">Date: 2/23
Who: John
1회 추가 수업비 안내완료 (2/28 수업분)</t>
      </text>
    </comment>
    <comment authorId="0" ref="N80">
      <text>
        <t xml:space="preserve">소설읽기, 숙제준비필요
혼자 숙제를 해가는 상황이라서 전혀 모르셨다고 함. 소설읽기와 숙제 가정에서 캐어해주시기로 하심.</t>
      </text>
    </comment>
    <comment authorId="0" ref="L81">
      <text>
        <t xml:space="preserve">Date: 2/15
Who: John
등록여부 : O
Sean진서준 &amp; Ethan진이준 쌍둥이
선생님 및 수강료 안내 드림
어머님 문의사항 답변 모두 드림
(수강료, F&amp;NF 수업진행방법, 보강수업관련, 이월관련,  etc)
아이들이 트윈클 너무 좋아하고, 등록은 확실하게 결정하셨다 함
</t>
      </text>
    </comment>
    <comment authorId="0" ref="M81">
      <text>
        <t xml:space="preserve">Date: 2/23
Who: John
1회 추가 수업비 안내완료 (2/28 수업분)</t>
      </text>
    </comment>
    <comment authorId="0" ref="N81">
      <text>
        <t xml:space="preserve">7/27
서준이 이준이가 반친구들 때문에 스트레스를 받고 있다 하심. 누군지는 이야기를 하지 않으셨고, 그냥 즐겁게 다니지 못하는거같다고 하심. 가족여행일정도 있고해서 8/2~8/28 1달 휴원결정하셨고, 
화목반 Hungry Chickens 반에 일단 대기 요청하심. 휴원기간동안 리프레시 해보고 아이가 지속적으로 즐겁게 못다니면 반이동 결정하시겠다함 (지금은 현재반에 다시 못들어갈것을 생각해서 조심스러워 하셨고, 반이동 고민상태에서 대기만 요청하심)</t>
      </text>
    </comment>
    <comment authorId="0" ref="L82">
      <text>
        <t xml:space="preserve">Date: 2/15
Who: John
등록여부 : O
Sean진서준 &amp; Ethan진이준 쌍둥이
선생님 및 수강료 안내 드림
어머님 문의사항 답변 모두 드림
(수강료, F&amp;NF 수업진행방법, 보강수업관련, 이월관련,  etc)
아이들이 트윈클 너무 좋아하고, 등록은 확실하게 결정하셨다 함
</t>
      </text>
    </comment>
    <comment authorId="0" ref="M82">
      <text>
        <t xml:space="preserve">Date: 2/23
Who: John
1회 추가 수업비 안내완료 (2/28 수업분)</t>
      </text>
    </comment>
    <comment authorId="0" ref="N82">
      <text>
        <t xml:space="preserve">7/27
서준이 이준이가 반친구들 때문에 스트레스를 받고 있다 하심. 누군지는 이야기를 하지 않으셨고, 그냥 즐겁게 다니지 못하는거같다고 하심. 가족여행일정도 있고해서 8/2~8/28 1달 휴원결정하셨고, 
화목반 Hungry Chickens 반에 일단 대기 요청하심. 휴원기간동안 리프레시 해보고 아이가 지속적으로 즐겁게 못다니면 반이동 결정하시겠다함 (지금은 현재반에 다시 못들어갈것을 생각해서 조심스러워 하셨고, 반이동 고민상태에서 대기만 요청하심)</t>
      </text>
    </comment>
    <comment authorId="0" ref="L83">
      <text>
        <t xml:space="preserve">Date: 2/15
Who: John
등록여부 : O
선생님 및 수강료 안내 드림
어머님 문의사항 답변 모두 드림
(수강료, F&amp;NF 수업진행방법, 보강수업관련, 이월관련,  etc)
아이들이 트윈클 너무 좋아하고, 등록은 확실하게 결정하셨다 함</t>
      </text>
    </comment>
    <comment authorId="0" ref="M83">
      <text>
        <t xml:space="preserve">Date: 2/23
Who: John
1회 추가 수업비 안내완료 (2/28 수업분)</t>
      </text>
    </comment>
    <comment authorId="0" ref="N83">
      <text>
        <t xml:space="preserve">단어시험준비, 소설읽기, 숙제도움필요
숙제를 가정에서 못챙겨서 죄송하다고 하셨고, 숙제를 다했다고 해서 아이 말을 믿으셨다고 함. 
다음주 여행으로 결석이라 보강수업 요청하심.</t>
      </text>
    </comment>
    <comment authorId="0" ref="L84">
      <text>
        <t xml:space="preserve">Date: 2/15
Who: John
등록여부 : O
선생님 및 수강료 안내 드림
어머님 문의사항 답변 모두 드림
(수강료, F&amp;NF 수업진행방법, 보강수업관련, 이월관련,  etc)
현재 어머님께서 해외에 있어서, 한국 복귀하고 궁금한점 있으면 재연락주신다함. 
등록은 확실하게 하실예정이라 함</t>
      </text>
    </comment>
    <comment authorId="0" ref="M84">
      <text>
        <t xml:space="preserve">Date: 2/23
Who: John
1회 추가 수업비 안내완료 (2/28 수업분)</t>
      </text>
    </comment>
    <comment authorId="0" ref="L85">
      <text>
        <t xml:space="preserve">Date: 2/15
Who: John
등록여부 :  O
선생님 및 수강료 안내 드림
MI 시험은 봤었는데, 아이가 트윈클을 많이 좋아해서 고민없으셨다함. 트윈클 등록결정하셨다함
</t>
      </text>
    </comment>
    <comment authorId="0" ref="M85">
      <text>
        <t xml:space="preserve">Date: 2/23
Who: John
1회 추가 수업비 안내완료 (2/28 수업분) - 3/1 Bananas NF(Rachel) 보강 수업예정
</t>
      </text>
    </comment>
    <comment authorId="0" ref="N85">
      <text>
        <t xml:space="preserve">4/25
아서 참관수업 피드백
수업에 전혀 집중을 못하고 있는점 안내드림. 수업시간에 선생님말을 안듣고있고, 그림을 그린다거나 계속 딴행동을 많이하는경향이 있음. 오늘 수업때도 좐포함 아서선생님과 100번넘게 이야기를해도 10초이상 집중을 못하고있는면들이 있음. 선생님께서 많이 애로사항이 있어보이시고 집에서도 집중할 수 있게끔 지도 요청드림.
(스킬 이슈가 아닌 집중력 이슈)
</t>
      </text>
    </comment>
    <comment authorId="0" ref="O85">
      <text>
        <t xml:space="preserve">아서 선생님 피드백요청 전화
다른친구들을 반복해서 건드리면서 수업을 방해하는 태도를 보이는점 전달드림.
도조포인트를 깎거나, 복도에서 선생님이 진지하게 얘기를 할때되서야 멈추고, 또 행동을 반복는 부분들이 있어서 집에서 이런부분들을 개선할 수 있게끔 지도요청드림. 
어머님께서도 현재 상황을 인지하고 계셔서 집에서 계속 얘기는 하고 있으신상황이고, 선생님 지시사항에 따를수 있도록 지속적으로 교육부탁드림. (어머님께서 죄송하다하심) </t>
      </text>
    </comment>
    <comment authorId="0" ref="L86">
      <text>
        <t xml:space="preserve">레벨테스트결과를 궁금해 하셔서 영역별로 설명 드림. 다른 영역에 비해 Reading이 부족한 부분과 vacab이 높은 부분 알려드리고, 트윈클 커리큘럼이 어느 부분에서 도움될지 알려드림.
</t>
      </text>
    </comment>
    <comment authorId="0" ref="M86">
      <text>
        <t xml:space="preserve">숙제패러다임에 적응하는데 시간이 걸리는것 같다. 첫수업에서 잘 했던 피드백 전달 드리고, 숙제도움반 스케줄과 수업시간이 겹쳐서 이용하지 못하지만, 숙제를 지속적으로 어려워 할 경우 알려달라고 말씀드림.</t>
      </text>
    </comment>
    <comment authorId="0" ref="N86">
      <text>
        <t xml:space="preserve">한달상담필요한 친구라 드림
픽션에서는 
Grace works hard and is very engaged in Fiction. We're working on using full sentences in her novel answers (using the questions to form the answers), and getting her familiar with the writing structures we use, both for Creative and Essay writing - all of which take time. 
넌픽션에서는
Grace also works well in Non-Fiction. She puts a lot of effort in and speaks out when we're doing the science material. She had a bit of trouble with the vocab tests but we're working on that.
가정에서는
reading prime을 거의 다 틀리고 있다고 하셔서, 배경지식을 위해 한국어 책읽기와 가정에서 쉬운 레벨의 reading comprehesion교재를 연습해 보는 것을 추천드림</t>
      </text>
    </comment>
    <comment authorId="0" ref="L89">
      <text>
        <t xml:space="preserve">Date: 2/15
Who: John
등록여부 : O
선생님 및 수강료 안내 드림
어머님 문의사항 답변 모두 드림
(수강료, F&amp;NF 수업진행방법, 보강수업관련, 이월관련,  etc)
아이들이 트윈클 너무 좋아하고, 등록은 확실하게 결정하셨다 함
2/16 목요일에 유치원 끝나고 방문결제 하시겠다 함
</t>
      </text>
    </comment>
    <comment authorId="0" ref="M89">
      <text>
        <t xml:space="preserve">Date: 2/23
Who: John
1회 추가 수업비 안내완료 (2/27 수업분)</t>
      </text>
    </comment>
    <comment authorId="0" ref="L90">
      <text>
        <t xml:space="preserve">데스크착오로 Elite반 대기에서 누락되어 H반으로 등록
어머니께 상담전 사과말씀과 유주 적합한 레벨의 반으로 이동할 수 있도록 트윈클에서 꾸준히 캐어하겠다고 약속 드림
4분기에 Elite반 갈경우 트윈클에서  교재구입예정
숙제, 정책, 관리등 안내드림
어머니께서 그래도 너그럽게 이해해주셨음</t>
      </text>
    </comment>
    <comment authorId="0" ref="M90">
      <text>
        <t xml:space="preserve">유주가 트윈클을 너무 좋아하고 수업도 재밌다고 하심.
선생님들께서 주신 첫수업에서 잘 했는 피드백 전달 드림.
숙제나 단어테스트도 적응잘하고 아직 어려움이 없다고 하심.</t>
      </text>
    </comment>
    <comment authorId="0" ref="N90">
      <text>
        <t xml:space="preserve">Date: 7/11
Who: John
7/11
이지안 Jian 학부모
세션북에서 글이 구조를 제대로 배우고 있는지, 항상 아이들의 글이 항상똑같다고 판단되다하심.
픽션수업시간에 라이팅 코멘트관련/ 시간이 적으면 다음시간에라도 주실수 있는점.
-------------------------------------------
각 과목별 트윈클 커리큘럼 및 목표를 우선적으로 설명드렸고, 선생님들마다 우선순위로 생각하시는부분들, 또한 공통적으로 교육하셔야하는 부분들에 대하 안내드림. 어머님께서 다른 선생님과 비교를 하시는 부분에 대해서, 선생님들의 차이점 및 장단점은 있을 수 있으나, 현재 누락하고 있는부분은 없는점을 명확하게 안내드림. 
또한 그룹미팅은 현재 모든반에 형평성을 위해 진행하지 않고있는점을 안내드렸고, 개별적으로 요청시 미팅 진행하는점 안내드렸고, 전체커리큘럼을 어머님의 요청대로 바꿔드리지는 않는점 안내드림. 전 지점에서 동일하게 진행되고 있고, 사실 어머님들께서 가장 만족하시는 부분들이기 때문에, 일부 학부형님들께서 요청하시는대로 수업커리큘럼이 바뀌기는 어려운점 안내드림. 어머님께서 마지막으로 세션북의 코멘트 부분만 좀 더 디테일하게 써주면 좋을것같다고 선생님께 요청드려달랐고 하였고, 이부분은 선생님께 요청은 드리지만, 의무적으로 바뀌지는 않을 수 있는점 안내드림. 선생님의 중요우선순위가 수업을 하시는 부분임을 안내드림.
</t>
      </text>
    </comment>
    <comment authorId="0" ref="L91">
      <text>
        <t xml:space="preserve">전 학원에서 2점대 초반 교재를 공부해서 3점대 중반의 레벨을 할 수 있을지 걱정하셔셔, Suzie의 성향먼저 체크하고 활발하고 말하는 것을 좋아하며 정확한 답이 아니더라도 자신의 의견을 말하는데 주저하지 않는 성향이 수업시간에 많은 도움이 될 것이고, 레벨이슈가 있으면 부스터클래스로 학생들이 도움 받고 있는 점 안내드림.
교재사용, time management궁금해 하셔서 설명드림. </t>
      </text>
    </comment>
    <comment authorId="0" ref="M91">
      <text>
        <t xml:space="preserve">교재수준이 전반적으로 점프업되어서 숙제와 단어테스트 준비에 시간이 걸리기는 하지만, 아이도 수업이 재밌다고 했음.
첫수업에서 전반적으로 학생레벨은 수업에 적합했고, 잘 적응하고 있는 피드백 전달 드림.</t>
      </text>
    </comment>
    <comment authorId="0" ref="L92">
      <text>
        <t xml:space="preserve">영어유치원 한국에서 졸업후 외국에서 1년반 정도 거주.
외국학교환경과 가장 비슷한 곳을 찾으며 트윈클을 선택하게 되심. 트윈클 커리큘럼 들어보시고 너무 마음에 든다고 하셨음. Elite레벨이더라도 한국에서 공부한 학생들보다 아카데믹한 부분에서 많이 부족할것 같다고 걱정하셔셔, 그동안의 리터니들이 적응할때 드렸던 숙제/단어/학습적인 부분 적응을 위한 도움안들과 예시, 피드백 전달 드림. </t>
      </text>
    </comment>
    <comment authorId="0" ref="M92">
      <text>
        <t xml:space="preserve">1주 남짓 수업을 들으면서 두 선생님 수업 재밌게 잘 듣고 있다고 하심.
다만 신규상담시 언급주셨듯이 리터니학생이기에 수업은 재밌어하지만 영유출신이나 한국식 수업 방식에 익숙한 타학생들에 비해 아카데믹한 부분에서 살짝 적응은 조금 오래 걸리는 거 같다하셔서 아직 수업을 들은 지 1주일 정도밖에 되지않고, 가정에서 숙제도 큰 어려움 없이 잘 하여 이 부분 시간이 지나면서 차차 적응할 수는 부분인점 설명드렸고, 만약 추후에 falling behind 하는 느낌이 있다면 담당 선생님들이 관련 comment나 Booster 수업 등으로 도움 드릴 수 있는 점도 상기드림.
또한 6월 하순에 조인하여 Dojo comment를 이번 주 부터 각 선생님들이 보내주실예정인 점 리마인드 드렸고, Comment 가 이해안되거나 관련 문의사항이 있으면 언제든지 연락 요청드림.
무엇보다 데스크 응대와 행정처리에 만족하시고 모든 스태프 들이 너무 친절하여 nothing to be desired 하셔서 이 내용 감사하다고 말씀드림. 다만 처음에 주차 패드 사용법을 몰라서 주차요금을 모르고 지불했다 하셔서 다시한번 주차정산 관련 리마인드 드리고 통화종료.
</t>
      </text>
    </comment>
    <comment authorId="0" ref="L93">
      <text>
        <t xml:space="preserve">프랩반부터 다녀서 1H에서 1T으로 레벨업 하였음. 반이동 후 잘 적응하고 있는 피드백과 아직 토론수업에서는 조금 더 자세하게 자신의 의견을 이야기 할 수 있는 작업이 필요한 점, top반이 기존반 보다는 말하기나 쓰기에서 레벨인 높기 때문에 적응이 필요한 점으로 설명드림.
다행히 재우는 잘 적응해서 숙제도 스스로 챙기고 즐겁게 다니고 있다고 하심. 어머니께서 재우가 악필이라 글씨체에 조금 노력하도록 선생님들께서 encourage해 주시면 노력할 것 같다고 부탁하셔서, 선생님들께 전달 드리겠다고 말씀드림.</t>
      </text>
    </comment>
    <comment authorId="0" ref="L94">
      <text>
        <t xml:space="preserve">Date: 2/15
Who: John
등록여부 :  O
선생님 및 수강료 안내 드림
아이가 너무 트윈클을 좋아하는데
MI 에 대한 평이 너무 좋고 주변에서 많이 보내서 솔직히 고민이 된다고 하심.  20일날 전화 다시드리기로 했으며, 이때까지는 결정해서 알려주시기로 함
</t>
      </text>
    </comment>
    <comment authorId="0" ref="M94">
      <text>
        <t xml:space="preserve">Date: 2/20
Who: John
URL 결제예정 </t>
      </text>
    </comment>
    <comment authorId="0" ref="N94">
      <text>
        <t xml:space="preserve">Date: 2/23
Who: John
1회 추가 수업비 안내완료 (2/28 수업분) - 3/1 Bananas NF(Rachel) 보강 수업예정
URL 60만원(수정본) 재발송완료
</t>
      </text>
    </comment>
    <comment authorId="0" ref="L95">
      <text>
        <t xml:space="preserve">SLP에서 유치원때부터 공부했음. 미교만 공부해봤기 때문에 트윈클 방식의 소설수업과 특히 자기 의견을 말하는 토론식 수업에 관심이 있어서 트윈클 선택하게 되시고 기대가 있으심.
미교 2.3을 배우고 있는 단계라 소설레벨이 어렵게 느껴질까 걱정하셔서, 트윈클 커리큘럼에서 아이들의 적응도는 리딩지수보다 말하기, 쓰기 능력도 중요하고 그것을 입학시험에서 자격을 보여줬기때문에 한달정도 루틴을 익히는 적응시간 지나면 곧잘 할것이라고 설명드림.
그외 학생관리, 정책등 안내드리고 특히 학부모님들이 헷갈려하시는 교재준비와 숙제주차 문자로 추가 안내드림.</t>
      </text>
    </comment>
    <comment authorId="0" ref="M95">
      <text>
        <t xml:space="preserve">Date: 2/20
Who: John
URL 결제예정 </t>
      </text>
    </comment>
    <comment authorId="0" ref="N95">
      <text>
        <t xml:space="preserve">Date: 2/23
Who: John
1회 추가 수업비 안내완료 (2/28 수업분) - 3/1 Bananas NF(Rachel) 보강 수업예정
URL 60만원(수정본) 재발송완료
</t>
      </text>
    </comment>
    <comment authorId="0" ref="O95">
      <text>
        <t xml:space="preserve">Erin 선생님께서 전화요청: 참여도 잘하고 실력도 좋은 친구인데 최근 숙제 완성도가 떨어져 학생과 1:1로 진지하게 대화하였지만 나아지지 않아 전화 요청. 어머님께서 학생이 엄마말을 너무 안들을라고해서 선생님들께서 지도해주셔서 감사하다고 하시며 앞으로 잘 지켜보고 더 완성도 높일 수 있도록 노력하겠다고하심.</t>
      </text>
    </comment>
    <comment authorId="0" ref="L96">
      <text>
        <t xml:space="preserve">지유가 부끄럼이 많고 내향적이라 걱정 하심. 선생님의 관심과 격려가 필요하고 친구들과도 잘 지낼 수 있도록 부탁하심. 
선생님 두분 계약 만료로 곧 교체되는 점 이해하심. </t>
      </text>
    </comment>
    <comment authorId="0" ref="N96">
      <text>
        <t xml:space="preserve">Date: 2/23
Who: John
1회 추가 수업비 안내완료 (2/28 수업분) - 3/1 Bananas NF(Rachel) 보강 수업예정
URL 60만원(수정본) 재발송완료
</t>
      </text>
    </comment>
    <comment authorId="0" ref="O96">
      <text>
        <t xml:space="preserve">Erin 선생님께서 전화요청: 참여도 잘하고 실력도 좋은 친구인데 최근 숙제 완성도가 떨어져 학생과 1:1로 진지하게 대화하였지만 나아지지 않아 전화 요청. 어머님께서 학생이 엄마말을 너무 안들을라고해서 선생님들께서 지도해주셔서 감사하다고 하시며 앞으로 잘 지켜보고 더 완성도 높일 수 있도록 노력하겠다고하심.</t>
      </text>
    </comment>
    <comment authorId="0" ref="L98">
      <text>
        <t xml:space="preserve">폴리 영유2년차, 매그넷 다니고 있음. 같은곳에 오래 다니다 보니 아이의 학습방향을 새롭게 도전해 보고 싶어서 수업방식과 목표가 다른 트윈클로 선택하시게 됨.
초반에 낯설어하고 정확한 답을 말로 하는 성향이고 새로운 학원에 아이가 도전하고 싶어하는것을 힘들어하는 편이라 어머니께서 1달동안은 매그넷과 병행해서 다닐 예정이라고 하심.
선생님과 반친구들에 대한 관심이 많으셔서 선생님 이력과 장점, 해당 수업이 얼마나 정착되었는지등에 대해 설명드림.
커리큘럼과 단어시험방식도 폴리와 다르다고 많이 기대된다고 하심. 어머니께서 매우 꼼꼼한 성격으로 보였으며 첫주상담에 이 부분 조금더 채워드릴수 있도록 할예정.</t>
      </text>
    </comment>
    <comment authorId="0" ref="L100">
      <text>
        <t xml:space="preserve">폴리에서 1년동안 공부했음.
Liam이가 아직 2점대에서 3점대 초반의 소설책만 읽었어서 픽션커리큘럼이 어려울까 걱정하셨고, 쉽게 산만해지는 편, 글쓰기 크게 어려움을 겪고 있어서 이 부분이 개선되길 바라심.
체감도가 높아진 소설책을 적응하기 위해 트윈클 novel notes, 책 나누어서 여러번 읽기, 속독과 정독을 번갈아가면서 시도하여 음독했을때 아이가 쉽게 지치고 시간이 오래 걸리는 부분은 해결할 수 있도록 설명드림.
트윈클에서 소설책 한권을 공부하더라도 재미있게 집중해서 읽으며 얻는부분이 많다고 생각되어 트윈클 선택하셨고, 무엇보다 에너지가 많은 아이가 영어를 재미있게 배웠으면 좋겠다고 말씀하심.
소설책에 대한 이해도나 가정지도를 위해 한달뒤에 피드백 전달 필요</t>
      </text>
    </comment>
    <comment authorId="0" ref="M100">
      <text>
        <t xml:space="preserve">Dorothy 대체 선생님이 몇주 연속 하는거 불만이셔서 전화 주심. 
병가로 수업 못하는거 이해하지만 너무 한거 아닌가, 수업의 질이 떨어지는건 아닌지 우려된다고 하심.
우선 오늘 수업하시는 Marco 선생님은 근무하신지 오래된 선생님이시고 학업적으로 전혀 무리없이 이끌어주실거고 재밌게 수업 할수 있을거라고 말슴드림. 
새로 오시는 선생님 전 sub선생님은 계약 상황에 따라 그렇게 된 부분 양해 부탁드림.</t>
      </text>
    </comment>
    <comment authorId="0" ref="L101">
      <text>
        <t xml:space="preserve">학원 전반적 상황에 대해서 궁금해 하셨음
남녀성비, 휴원, 홈워크 헬프, 레벨업 등등
학생이 단어 외우는걸 싫어해서 단어테스트를 염려하셨는데
양이 많지 않고 롸이팅 시간에도 공부한 단어를 반복해서 써야해서 자연스럽게
단어 체득이 가능하다고 설명드림
30분 일찍 오면 학생이 따로 쉴 수 있는 공간이 있는지도 궁금해 하셨음</t>
      </text>
    </comment>
    <comment authorId="0" ref="L102">
      <text>
        <t xml:space="preserve">숙제 내주면 집에서 꼼꼼하게 체크신다고
적응하면 활달하다. 얘기하고 발표하는것도 좋아한다.
트윈클에 시험보고 나서도 아이가 너무 좋다고 트윈클에 오고 싶었다고 얘기해서 트윈클에 기대하는 바가 크다고 하심</t>
      </text>
    </comment>
    <comment authorId="0" ref="L103">
      <text>
        <t xml:space="preserve">1학년 Doris 언니. 부끄러움이 많고 스피킹이 부족해 문장이 아닌 단어로 표현하는 습관이 있다고함. 선생님들께서 잘 이끌어주시길 부탁하셨고 강사들에게 내용 전달함.</t>
      </text>
    </comment>
    <comment authorId="0" ref="L104">
      <text>
        <t xml:space="preserve">폴리에서 공부했음
학국의 정형화된 학원에서 창의적인 부분을 다루기 힘들어, 그 부분에 강점이 있는 트윈클로 선택하게 되심. 소극적인 성향이라 환경을 변화시켜 말하는 기회을 많이 얻고, 5가지 다양한 영역을 자극하는 커리큘럼이 좋았다고 하심.
트윈클과 학부모님이 소통하는 법, 학생관리,  classmate, 레벨등 학원에 관심이 많으셨고 질문에 답변 드리는 시간 가짐.</t>
      </text>
    </comment>
    <comment authorId="0" ref="M104">
      <text>
        <t xml:space="preserve">2주간 수업을 들으면서 두 선생님 수업 재밌게 듣고 있고, 수업 내용이 어렵다거나 따라가기 힘들다고 하지 않았다고 하심. 학생이 따로 가정에서 애로사항 등을 얘기하거나 하진 않으셨다 하심.
다만 Fiction, Nonfiction 별로 필요한 교재를 조금 헷갈려하시는 거 같아 과목별 필요한 교재 디테일 하게 설명드렸고, 세션북 뒤쪽에 숙제표도 확인 요청드림.
또한 다음주 부터 session 3 수업이 시작되므로 교재준비 다시 리마인드 드렸고, 현재 선생님들 report card 준비기간이므로 다음달 부터는 선생님들 dojo 코멘트가 나갈예정인점도 다시 말씀드림. 
기타 행정적인 부분 및 고객응대도 만족한다고 하셔서 감사인사드리고 통화종료
</t>
      </text>
    </comment>
    <comment authorId="0" ref="L105">
      <text>
        <t xml:space="preserve">폴리에서 원더스 3점대 공부하고 4점대를 편안하게 읽고 있음. 말하기를 제일 잘하는 아인데 입학시험 결과에서 말하기 점수가 생각보다 높게 나오지 않은 부분 궁금해 하셔서, 트윈클 말하기시험은 커리큘럼을 고려하여 단순히 말하기가 아닌 호기심을 가지고 자신감있게 매너있게 이야기 하는 부분도 체크를 하고 있는 것 전달 드리며 아이가 트윈클 학습분위기가 질문패러다임에 익숙해지며 그 부분도 개선이 될것이라 설명드림.
폴리커리큘럼에서 부족했던 디베이트를 보충하기 위해 영어디베이트 수업을 따로 다녔었는데 트윈클에서 진행하는 Fiction의 hackness토론방식, 그외 넌픽션 수업에서 자연스러운 브레인스토밍/디베이트 노출을 듣고 만족스럽다고 하심.
고학년수업도 굉장한 관심이 있으셨고, 한국에서 공부할 아이가 트윈클만 다니기에는 문제풀이나 문법등이 걱정된다고 하셔서 한국식 RC문법 수업준비에 대해 설명드리니 단과로 꼭 듣고 싶다고 찬성하심.
부천에 거주하고 있어서 트윈클을 갈지 청담을 갈지 어머니 아버지께서 고민이 정말 많으셨다고 하심. 불안감이 높았는데 상담후 트윈클에 확신이 서셨다고 하셨고, 그외 다독하는법, 단어시험 준비하는법, 부족한 부분 가정에서 보충하는 방법들에 대해서 상담드림.</t>
      </text>
    </comment>
    <comment authorId="0" ref="M105">
      <text>
        <t xml:space="preserve">두 선생님 수업 재밌게 잘 듣고 있고 처음에 Katie 선생님이 조금 무섭게 느껴졌지만 지금은 괜찮다고 하심.
부천에서 등하원 하긴 쉽지 않지만 근처에 트윈클 만한 학원이없다고 판단하여 트윈클로 조인 결정하셨다 하셨고 현재는 만족스럽다 하심.
다만 학생이 등하원 하면서 차멀미를 하는편이라 이 부분이 살짝 걱정되신다 하셨고, 혹시라도 학생이 불편하여 도움이 필요하면 스태프에게 전달 요청드림.
숙제 및 단어시험 준비는 가정에서 잘 하고 있고, 다만 Writing 을 형식대로 쓰는 과정을 약간 어려워하지만 곧잘 하고 있고, 선생님들의 feedback 이 도움 된다고 하심. 
입학상담 때 언급주셨듯이 한국식영어수업에 대해서도 관심을 보이셔서 해당 수업의 취지에 대해 다시 설명드렸고, 개설이 되는대로 공지로 안내드릴 예정인 점 리마인드 드림.
</t>
      </text>
    </comment>
    <comment authorId="0" ref="L107">
      <text>
        <t xml:space="preserve">학습적인 학원에서 적응하지 못해서 레벨이 비교적 낮은 학원에서 공부했는 경험이 있어서,Elite반에 등록하는것을 어머니께서 많이 걱정하셨음. 마침 Elite반에 자리가 없고 어머니께서 1T반으로 시작하고 싶다고 하셔서 부원장님 컨펌에 1T반으로 등록. 혹시 아이가 1T반에서 공부해보고 해당 레벨이 맞으면 굳이 Elite반 가지 않고 공부해도 좋다고 하심.
3점대 챕터북은 스스로 잘 읽는 편이나, 긴지문에 대한 test-taking skill은 부족한 편이라 트윈클 커리큘럼으로 그 부분이 보완되고, 원활한 디베이트로 소통할 수 있기는 바라심.</t>
      </text>
    </comment>
    <comment authorId="0" ref="M107">
      <text>
        <t xml:space="preserve">걱정했던것 보다는 수월하게 잘 적응하고 있고, 3시간에 대한 피로감은 있어도 반분위기나 선생님과는 좋은 적응시간 보내고 있다고 말씀주심.
브레이크룸에서 다른반 오빠가 말을 위협적으로 하는 이슈들 말씀주셔서, 선생님들이 브레이크룸 룰을 많이 캐어하고는 있으나 더 철저하게 관리하겠다고 말씀 드림.
그리고 그런일이 없어야겠지만 불편한 상황이 있으면 바로 데스크로 와서 전달 달라고 지도 부탁드림.
어머니께서 상담이 너무 든든하고 마음이 편안해졌다고 감사인사전해주셨음 :)
</t>
      </text>
    </comment>
    <comment authorId="0" ref="L108">
      <text>
        <t xml:space="preserve">Date: 3/21
Who: John
Thomas 김형우 학생이 1월부터 연우얼굴에 너무 붙어서 이야기를 한다함 (하원시에도 계속 그런모습들이 있었고, 아이가 너무 힘들어한다함). 어머님께서 형우어머님께 조심스럽게 말씀을 드려볼예정이고, 이러한일이 반복되지 않길 바라심. 혹시라도 어머님께서 대화한 이후에도 계속 이런상황이 반복된다면 행정측으로 연락달라고 답변드리고 통화종료</t>
      </text>
    </comment>
    <comment authorId="0" ref="L111">
      <text>
        <t xml:space="preserve">국제학교에서 2년동안 공부했음.
글쓰기를 할때 같은 내용을 반복하는등 약해서 조금더 꼼꼼하게 학습했으면 좋겠고, 소설을 통해서 단어range도 넓혀갔으면 좋겠는 바람이 있음.</t>
      </text>
    </comment>
    <comment authorId="0" ref="L113">
      <text>
        <t xml:space="preserve">딱히 유별난 학생은 아니고 조용한편이라고 하셨음. 3-4년 전에 형 (엄신후)이 트윈클 재학했고 그때 당시에 history 책이 너무 어려워서 2-3개월 안에 그만둔것으로 확인됨. 당시 부원장님이랑 깊은 상담 자주 했다고 하셨으며 정말 훌륭한 책인것도 알고 있지만 동생인 태후 학생도 같은 어려움 느낄까봐 걱정하셨음. 저학년 학생들에게 조금은 어렵게 느껴질 수 있으나 어머님이 말씀하신 것 처럼 그 수준까지 도달하기위해서는 분명히 필요한 단계와 교재라고 말씀드림. 어머님께서도 긍정적으로 동의하셨으며 조금 까칠하신 편이였음.</t>
      </text>
    </comment>
    <comment authorId="0" ref="M113">
      <text>
        <t xml:space="preserve">학생이 정말 정말 FM이라서 그냥 넘어가는 문제를 이해못하고 숙제에 대한 이해가 안되서 어려워했다고함. 첫 상담 당시 고민하셨던 history 를 어려워하진않는지 여쭤봤고 어머님께서 첫째 학생때 해당책을 다 읽었어서 지금 조금 수월하게 Alec 도움주고 있다고함. Hailey가 숙제관련해서 명확히 알려주는 시간 갖겠다고 말씀드렸고 감사 인사 전달하심.</t>
      </text>
    </comment>
    <comment authorId="0" ref="N113">
      <text>
        <t xml:space="preserve">화목 스케쥴 어려워 수금반 대기 남기고 퇴원 처리됨/ 다른 영어학원 다니지 않고 트윈클 기다리고 있어 빠르게 연락달라고 하심</t>
      </text>
    </comment>
    <comment authorId="0" ref="L116">
      <text>
        <t xml:space="preserve">폴리에서 3점대 교재공부, SR 5점대 정도 나왔음
폴리에 4년정도 다녔고, 그동안 트윈클 입학시험은 봤었으나 테스트가 없어서 학생학습상황을 부모님들이 알수 없을것 같아서 트윈클을 선택하지 않았으나 주변에 트윈클 다닌 친구들을보니 당장 아웃풋이 나오지 않더라도 오래다녔을때 글쓰기와 생각하는 수준이 다름을 느끼며 긴 대기시간동안 기다리시고, 입학하게 되어서 너무 기쁘다고 하심.
트윈클 2H 커리큘럼 설명드리니, 윗단계 커리큘럼 및 앞으로의 계획도 궁금해하셔서 고학년 커리큘럼 설명도 드리고, 도서관이 없는점 걱정하셔서 다독을 위해 할수 있는 영어도서관 팁들 공유드림.
책을 좋아하는 아이라 트윈클에서 정답을 맞추기 위해 공부하는것이 아닌 자신의 생각을 말하고 글쓰는 능력을 쌓아갔으면 좋겠다고 하시며, 트윈클에 대한 큰 신뢰와 기대를 보여주심.</t>
      </text>
    </comment>
    <comment authorId="0" ref="M116">
      <text>
        <t xml:space="preserve">Fiction, Nonfiction 두 수업 모두  기대 이상으로 재밌게 듣고 있어서 만족한다 하심.
폴리와 비교할때 폴리는 Reading 및 지식 전달 위주지만 트윈클은 speaking, writing에 집중하여 수업시간에 학생이 말을 많이 할수 있는 부분이 좋고  선생님들도 friendly 한 점 마음에 든다 하심.
이 외에 고학년 및 상위레벨 커리큘럼과 교재에도 관심 있으셔서 현재 레벨과의 차이점도 같이 설명드림.
참고로 9/2 sub 티처였던 Matthew에 대해 서연이가 너무 좋았다고 하심.
마지막으로 Session test 관해 문의주셔서 전반적인 Session test의 목적과 구성, 시험날짜 등에 대해 설명드렸고, 아직 조인한지 3주정도 밖에 되지 않았기 때문에 시험에 대한 부담은 가지지말고 트윈클 시험에 익숙해지면 좋겠다고 말씀드림.
두 선생님에게 매일 수업 후 Dojo Comments 오는 것도 많은 도움이 되고 만족스럽다고 하시고, 어머님께 언제든지 수업 관련하여 궁금한 점이나 건의사항이 있으신 경우 연락 부탁드렸고, 어머님도 관리, 행정, 고객응대 및 전반적으로 만족스럽다 하셔서 감사 인사드리고 통화종료</t>
      </text>
    </comment>
    <comment authorId="0" ref="L117">
      <text>
        <t xml:space="preserve">말하기, 글쓰기가 좋다는 엄마들의 입소문을 듣기도 했지만 Leo부모님은 Leo가 어렸을때부터 영어를 점수, 결과로 접근하지 않고 아이가 책을 읽고 자기 생각을 얼마나 사고력이 있게 말하는것에 목표를 두고 있음. 그래서 1학년동안에는 아이가 언어의 필요성을 스스로 느끼고 선택할수있도록 스페인어, 중국어, 프랑스어, 영어 다양하게 노출시키며 영어를 할수 있을때 아이가 어떤 자유로움과 도움이되는지 스스로 영어학습에 대한 선택을 하도록 했다고 하심.  MI, 폴리 모두다 레벨테스를 보며 Leo가 스스로 선택한 학원이 트윈클.
어머니는 자녀를 영어학원에 보내며 일정 시간이 지났을때 결과를 얻어야한다는 생각이 없으며, Leo를 지도하시는 선생님들도 아이의 생각과 의견을 함께 소통하며 아이 생각이 자랄수 있는데 도움을 주시면 좋을것 같다고 편안하게 지도해주셨으면 좋겠다고 선생님에 대한 배려의 말씀을 전해주심. </t>
      </text>
    </comment>
    <comment authorId="0" ref="M117">
      <text>
        <t xml:space="preserve">Fiction, Nonfiction 두 수업 모두  기대 이상으로 너무 재밌게 듣고 있어서 어머님, 아버님 모두 트윈클 수업에 만족한다 하심.
수업이 재미있다 보니 숙제와 단어시험 준비 또한 적응도 금방하여 가정에서 숙제도 재밌게 스스로 하여 기쁘다고 하심.
두 선생님에게 매일 수업 후 Dojo Comments 오는 것도 많은 도움이 되고 만족스럽다고 하시고, 어머님께서 서중이를 트윈클을 보내기로 한 건 잘한 결정이라고 생각한다 하셔서 감사말씀 드리고 기분좋게 통화종료
</t>
      </text>
    </comment>
    <comment authorId="0" ref="L118">
      <text>
        <t xml:space="preserve">라이즈만 쭉 재학하다가 분위기를 바꿔줘야할 것 같아 트윈클로 옮겼고 어머님은 라이즈에 만족하심.
스피킹적으로는 한글도 늦은편이였어서 영어 스피킹이 약한 것 같다고함.
라이팅도 본인이 원하고 지도해주면 하는데 하기 싫으면 못하겠다고하거나 포기하기도함. </t>
      </text>
    </comment>
    <comment authorId="0" ref="L119">
      <text>
        <t xml:space="preserve">이전 학원에서도 쌍둥이 둘이 학원을 같이 다녔어서 크게 걱정인 부분은 없고
윤호는 많이 활발하지만 상대적으로 채원이는 많이 낯을 가리고 조용한 편이라 조금 염려된다고 하심.
도조아일랜드 가입에 대해 여쭤보시고 숙제도움반에 대해 궁금해하셔서 안내드림</t>
      </text>
    </comment>
    <comment authorId="0" ref="L120">
      <text>
        <t xml:space="preserve">이전 학원에서도 쌍둥이 둘이 학원을 같이 다녔어서 크게 걱정인 부분은 없고
윤호는 많이 활발하지만 상대적으로 채원이는 많이 낯을 가리고 조용한 편이라 조금 염려된다고 하심.
도조아일랜드 가입에 대해 여쭤보시고 숙제도움반에 대해 궁금해하셔서 안내드림</t>
      </text>
    </comment>
    <comment authorId="0" ref="L121">
      <text>
        <t xml:space="preserve">3A 장하민동생
폴리에서 공부했음
3점초반 SR나오지만 
외국에서 국제학교다니면서 파닉스나 스펠링, 글쓰기가 일반 한국인학생들보다 부족한 편
글쓰기를 많이 안해봐서 기본적인 것들을 트윈클에서 재밌게 배우면서 실력이 차곡차곡 쌓이시기리 바라심. 오빠가 3A반에서 잘 다니고 있어서 트윈클 동생도 보내게 되셨다고 하심.
아무래도 아직 vowels, consonant, S/V 어려움이 있기때문에 이런 부분 잘 파악하시는 Cassandra선생님과 수업이 많이 도움이 될것이며, 수업한달후부터는 추가적인 도움은 부스터클래스로 학습에 집중하는 계획으로 전달드림.
입학상담드리며 하민이 단어시험과 글쓰기부분에 대해 6월에 상담드렸던것 업데이트해서 현재 잘 적응하고 성ㅈㅇ하고 있는점 안내드림.</t>
      </text>
    </comment>
    <comment authorId="0" ref="M121">
      <text>
        <t xml:space="preserve">수업이 너무 재미있다고 하고 특별한 어려움 없이 다니고 있다고 좋은 피드백 주심.
이번 마지막달에는 크리스마스 위크도 있어서 2학년 되기 전에 즐걱 학원에 정붙이고 1월부터 새로운 선생님과 학습적인 부분도 잘 다음어서 성장 보일 수 있도록 지도하겠다고 말씀드림.</t>
      </text>
    </comment>
    <comment authorId="0" ref="L123">
      <text>
        <t xml:space="preserve">서은이는 굉장히 부끄럼이 많아서 선생님의 관심과 지도를 받아 학원에 잘 적응할 수 있도록 부탁하심. 
서은이가 책의 두깨를 보더니 많이 놀라고 걱정을 했다고 하심. 학습적으로 잘 따라오도록 선생님들이 도우시고 숙제 열심히 해오는거 말씀 드림.</t>
      </text>
    </comment>
    <comment authorId="0" ref="L127">
      <text>
        <t xml:space="preserve">엘란에서 공부했음. 3점대 중반정도 소설책 챕터북까지 무난하게 읽음. 수줍음이 많으나 한두달 지나고 적응하면 활발한 성격을 보이는면이 있어서 첫달에 적응하는데 도움이 필요하여 선생님들께 도움부탁드림.
Nate, Dragon master등 탐험에 대한 책을 좋아하는 호불호가 있어서 그런 성향의 학생들이 겪는 픽션소설책 선호도에 따른 월별 학습체감 어려움에 대한 설명과 해결방법등 설명드림.
트윈클의 재미있는 수업으로 무엇보다 아이가 많이 말을 하는 기회를 가졌으면 좋겠다고 하심.</t>
      </text>
    </comment>
    <comment authorId="0" ref="M127">
      <text>
        <t xml:space="preserve">어머님이 준오 학생이 트윈클 수업 재밌게 듣고 있고, 특별한 어려움 없이 잘 적응하면서 다니고 있다고 하심.
처음에 단어시험 보는 부분을 살짝 어려워했지만 이제는 적응이 되어 숙제, 단어 시험 혼자서 잘 준비하고 있다고 하셨음.
다만 수업과 관련된 test에 관해 문의하셔서 Fiction 수업 12주차에 진행예정인 Session test 와 Nonfiction 수업 session 2 후반에 진행예정인 Cavemen to Kings 시험 관련해서 설명 드렸고, 해당 시험전에 담당 선생님이 학생에게 전반적인 내용 및 준비사항 안내할 예정인 점도 Remind 드림.
담당 선생님들의 Dojo comments도 잘 받아보고 있다고 하셨으며 마지막으로 데스크 응대 또한 친절하고 만족스럽다고 하셔서 이 내용 감사하다고 인사드림.
</t>
      </text>
    </comment>
    <comment authorId="0" ref="L128">
      <text>
        <t xml:space="preserve">어머님이 전체적으로 2주동안 지혁 학생 어려움 없이 수업 재밌게 잘 듣고 있다고 하셨고, 지율 학생을 통해 이미 트윈클 수업, 숙제,커리큘럼 등에 익숙한 만큼 특별한 의견이나 문의사항은 없다고 하심.
다만 Writing 을 지혁이가 많이 해보지 않아서 가정에서 숙제를 하는데 시간이 좀 걸리는 편이지만 이 점은 차차 시간이 지나면 개선이 될 것이라 생각하셔서 추후에 관련 내용으로 선생님들께 feedback 요청 원하시면 전달 및 안내드리겠다고 말씀드림. </t>
      </text>
    </comment>
    <comment authorId="0" ref="L129">
      <text>
        <t xml:space="preserve">다경이가 부끄러움을 많이 타는 편이라 자신생각을 말하는 부분이 부족해서 그 점을 채우기 위해서 트윈클 선택하게 되심. 
새로운 커리큐럼에 대한 혼란이 많으셔서 첫주상담이 중요할것 같음</t>
      </text>
    </comment>
    <comment authorId="0" ref="L130">
      <text>
        <t xml:space="preserve">활발하고 적응 잘 할 것 같다고함. 시험보고 너무 재밌었다고함. 선생님 말씀잘들을거고 궁금한거 많이 물어보는편이라고함. 큰 질문 없으셨고 트윈클에 대해 소문을 많이 들으셔서 기대함.</t>
      </text>
    </comment>
    <comment authorId="0" ref="M130">
      <text>
        <t xml:space="preserve">수업 좋아하고 선생님 재밌다고 본인은 즐거워하고 한다고 하심. 
단어와 세션북 문의. 
단어 옆 페이지 공백인데 안하는게 맞는지? nf. 확인해보고 다시 전화드리기로. 
전반적으로 좋아하고 잘 적응하고 있음.
novel은 읽어서 선생님과 얘기하고 문제풀고 끝인지? 마지막에 세션 시험에 나온다고 말씀 드림.</t>
      </text>
    </comment>
    <comment authorId="0" ref="L132">
      <text>
        <t xml:space="preserve">영유 졸업하지 않았다고 하셨으며 최근 영어 공부에 재미를 붙혔다고하심. 적극적인 편이긴 하나 처음 적응하는데는 시간이 걸릴거라 하셨고 트윈클 재학하며 학생도, 어머님도 많이 배우시겠다고 하심.</t>
      </text>
    </comment>
    <comment authorId="0" ref="L135">
      <text>
        <t xml:space="preserve">발음에 대해 걱정하심
when comfortable/confident in a topic Sia speaks quite fluently. While reading aloud she sounds a bit more robotic, but this is something she can improve. At home, Sia could practice reading aloud. This is the most practical way to improve her speaking. Sia can also listen to audiobooks (usually easy to find on youtube) as she reads along in her novels. Also, getting more exposure to native speakers by watching more movies and tv shows is a great way to improve diction without it feeling like an extra chore.
코멘트 바탕으로 설명 및 가정에서 도울수 있는 방법 안내드림</t>
      </text>
    </comment>
    <comment authorId="0" ref="L137">
      <text>
        <t xml:space="preserve">지난 방학 타 학원에서 짧게 수업을 했는데 욕심이 많고 긴장도도 높아 화장실가서 울기도했다고함. 생각보다 높은반으로 배정된 것 같아 다른 친구들에 비해 잘 따라갈 수 있을지 걱정하셨고 모든 학생들의 강, 약점이 다른만큼 정후 학생이 Writing, Speaking에 좋은 점수를 받아 강점을 살려 반 주도적으로 이끌어갈 수 있도록 분위기 조성하겠다고 전달함.</t>
      </text>
    </comment>
    <comment authorId="0" ref="L138">
      <text>
        <t xml:space="preserve">Date: 3/14
Who: Eddie
어머님이 전화오셔서 김주오 학생에 대해 의견주심. 주오 학생이 자주 수업분위기를 망치고, 자기가 잘못한걸 다른학생이 했다고 티처에게 거짓말을 하는 경향이 있다함. 3/9 Arthur 수업 후 카카오 피드백 확인결과 주오학생 attitude 문제관련한 내용 주오 어머님께 전달이되었고, 선생님들도 이 점 인지하고 있는 점 형우 어머님께 말씀드렸고 어머님이 지켜보겠다고 하심.
</t>
      </text>
    </comment>
    <comment authorId="0" ref="M138">
      <text>
        <t xml:space="preserve">Date: 6/8 Who: Hyeona
Arthur 선생님 수업 시간에 단어테스트 관련해 컴플레인/ 숨넘어갈 듯 흥분해 전화와 무슨 말인지 알아들을 수 없을 정도였음/ 선생님이 화장실 간 사이 학생들이 책을 펼쳐 치팅을 해 학생들 주의 차원에서 테스트 점수를 깎음/ 형우는 그런 행동을 하지 않았고 특정학생이 있다며 김주오 학생을 지목하며 인성을 언급하고 형우가 배우고 물들까봐 걱정된다며 김주오 학생을 인성이 나쁜 아이로 말함 / 다음 번에 이런일이 일어나지 않도록 선생님께도 이야기하고 단어 테스트 시 자리 비우지 않도록 데스크에서 감독하겠다고 함</t>
      </text>
    </comment>
    <comment authorId="0" ref="L139">
      <text>
        <t xml:space="preserve">Lucy의 학습레벨보다 수업의 수준이 높은것 같아서 걱정된다고 하심. 수업 후 first week 상담 통하여 학생의 첫수업 전달 드리고 그 이후로도 선생님들의 피드백과 2주간 업데이트 되는 수업업데이트를 통해서 관리하며 가정의 지도 도와드리겠다고 말씀 드림. 수강료, 정책, 커리큘럼에 대해 설명 드림.</t>
      </text>
    </comment>
    <comment authorId="0" ref="M139">
      <text>
        <t xml:space="preserve">quite fluent when speaking, fairly good storywriting (can easily fill a page with writing, but working on more structure and pith), great participation too, and excels at vocabulary. 
레벨업상담
지율이가 잘하는 부분에 대한 코멘트 전달 드리고, 3-3진도부터 시작할 수 있도록 반이동 안내드리고, Heavenly Hyenas대기자등록 하심</t>
      </text>
    </comment>
    <comment authorId="0" ref="N139">
      <text>
        <t xml:space="preserve">Date: 6/13
Who: John
저번주 아서선생님 수업때 쉬는시간에 단어시험 컨닝 이슈가 있었는데, 이부분에 대해서 명확하게 안내나 해결방안, 현상황에 대해 답변을 못받아서 기분이 안좋으셨다함. 3월달 부터 주오학생에 대해 형우에게 안좋은 의견을 들어 학원측에 전화를 했었는데, 이부분이 명확한 답변을 못받아서 기분이 안좋으셨다 함.   
저번주부터 현아쌤에게 전화로 공격적으로 현상황 문의했었고, 오늘 직접방문하야 공격적으로 이야기하고 나가심.  
현아 선생님께서 담당하시는 부분에 대해 정확하게 안내 나간점 안내드렸고, John 이 휴가기간이여서 답변이 늦어지게 되었고, 이부분은 오해 푸셨으면 좋겠다고 안내드림. 
두 선생님 모두 확인결과 현재 주오학생이 심각하게 문제일으키거나 나쁜학생이 아닌점을 안내드렸고, 어머님께서 명확하게 전달받아 학원측 믿고 보내겠다고 하심
(현아쌤한테 오전에 공격적으로 한모습을 보아, 본인의 행동 및 발언은 숨기고 대화하시는 편)_John
</t>
      </text>
    </comment>
    <comment authorId="0" ref="L140">
      <text>
        <t xml:space="preserve">한참전에 Stella 오빠가 트윈클 재원했었고 현재는 6학년 올라간다고함. 숙제 관련해서 궁금해하셔서 설명드렸고 트윈클은 잘 알고 있어서 크게 궁금한 부분은 없다고하심. 처음 적응하는데 시간이 좀 걸리겠지만 적응하면 잘 하기도하고 너무 왈가닥인 학생은 아니라 큰 걱정 없다고하심.</t>
      </text>
    </comment>
    <comment authorId="0" ref="N140">
      <text>
        <t xml:space="preserve">같은반 여학생들(Sophia, Yuni)에게 괴롭힘을 당하고있어 너무 화가난다고 학원을 찾아오셨고 학생들에게 정확히 확인한 후 해당 학생 학부모님들도 인지하고 사과할 수 있도록 요청 (여학생들이 선생님들없을때만 말도안하고 연필을 가져가서 망가트려놓거나 책 이름에 낙서를 해놓는 등 Tony 학생이 그만하라고해도 한달 넘게 지속됐다고함) &gt; 해당일 하원전까지 모든 학생들, 각 학부모님들 상담 후 Tony 학부모님과도 최종 상담했으며 믿고 학원 보내겠지만 한번만 더 이런 상황이 발생하며 모두 같은반에 있거나 학원 보내는건 어려울 것 같다고 하심. 앞으로 담임선생님, 관리자들이 모두 더욱 세심히 지켜보며 작은 상황이라도 발생할시 저희가 먼저 연락드리고 해결하겠다고함.</t>
      </text>
    </comment>
    <comment authorId="0" ref="L142">
      <text>
        <t xml:space="preserve">마포 트윈클 Ace레벨에서 전원
유치부때 SLP다녔으나 글쓰기실력이 좋지 않았는데 마포트윈클 다니녀 글쓰기가 많이 늘었고 트윈클에서 다루는 소설책을 성현이가 많이 좋아해서, 이번에 목동으로 이사하면서도 망설임 없이 목동트윈클로 선택하게 되셨다고 하심.
전반적으로 트윈클 커리큘럼에 대한 신뢰가 크신 학부모님이셨음.</t>
      </text>
    </comment>
    <comment authorId="0" ref="M142">
      <text>
        <t xml:space="preserve">마포 트윈클 재원한 경험이 있어 수업과 전반적인 커리큘럼 적응에 어려움 없고 두 선생님 수업 재밌게 듣고 있다고 하심.
다만 Session 이 바뀌는 시점에 조인하여 단어시험을 몇번 보지는 않았지만 집에서 곧잘 단어시험 공부하여 어려움은 없다고 하심
두 선생님 Comments 또한 만족스럽고 전반적인 수업 및 관리에 만족감을 표시하심
</t>
      </text>
    </comment>
    <comment authorId="0" ref="L145">
      <text>
        <t xml:space="preserve">Date: 2/15
Who: John
등록여부 : O
선생님 두분에 및 수강료 납부안내문자에 대한(20일) 안내 드렸고,
은수가 워낙 트윈클을 좋아해서 따로 문의주신것은 없으심.
오히려 형에대한 문의를 주심
예비초2 정요셉  트윈클 시험 2번떨어졌는데, 뭘더 노력하면 좋을지 문의주셔서, 스피킹에서 지난시험에서 부족했던 부분에 대해 연습하면 좋을 것같다고 안내드림</t>
      </text>
    </comment>
    <comment authorId="0" ref="M145">
      <text>
        <t xml:space="preserve">Date: 2/23
Who: John
1회 추가 수업비 안내완료 (2/28 수업분)</t>
      </text>
    </comment>
    <comment authorId="0" ref="N145">
      <text>
        <t xml:space="preserve">Date: 3/10
Who: John
- 현재 수업때 집중 못하고 있는점 안내드림. (다른 2학생의 학부모님의 컴플레인이 있는점 조심스럽게 안내드림) 어머님께 H.W 이메일 확인하는방법 재안내드렸고, 은수가 너무 잘하는 학생인점도 알고 있고, 숙제를 안해오다보니, 수업때 집중을 못하고있는 경향이 있어보인다고 안내드림. 나중에 뭔가 일이 커져서 안내드리는것보다, 현재 상황을 솔직하게 안내드리는게 좋다고 판단된점 양해부탁드렸고,  어머님께서도 현재상황에 죄송하다하시고 아이 숙제확인 및 방해를 못하게 하게끔 훈육하시겠다 함 _ John</t>
      </text>
    </comment>
    <comment authorId="0" ref="O145">
      <text>
        <t xml:space="preserve">Date: 4/11
Who: John
- 오늘 쉬는시간에 시험볼 수 있다고 해서 시는시간에 단어시험을 볼예정이었는데, 은수가 쉬는시간에 계속 놀고 끝날때가 되서야 시험보려고해서 아서선생님이 못보게함. 어머님께 상기상황 설명드리고, 아이잘 다독여서 수업듣게 했다 하였고, 다음부터는 선생님 말씀 잘 들을 수 있도록 지도요청드림. _John</t>
      </text>
    </comment>
    <comment authorId="0" ref="P145">
      <text>
        <t xml:space="preserve">반이동상담</t>
      </text>
    </comment>
    <comment authorId="0" ref="E146">
      <text>
        <t xml:space="preserve">From Ms. Payton.
Due to several events that have occurred recently, he has not been able to practice makeup at home, and he is concerned about any potential gaps in his learning. Is he experiencing a significant learning gap?
Personally, I have not seen a significant gap in his learning. I cannot think of any moments in particular that William has not understood class material or not been able to express what he wanted to with me or the class. He always seems to understand the content. That being said, I do think that William sometimes doesn’t put in as much effort as I know he can. He completes his work well, but needs to be pushed to add the detail that would make his work excellent. I don’t think that there is any lack of understanding from my perspective, it is more so an effort thing. I think that sometimes in class he seems a bit tired, and he completes his work quickly to avoid having more homework rather than taking his time on it. I think that if he worked a bit slower, and focused on adding in details to his work on his own without needing to be reminded, that he would excel more in his work.
He is quite playful and has already adapted well, but it seems like he may be getting a little too comfortable, and his mother is concerned about this. Since the dojo feedback is always positive, are there any areas for improvement that we should address, aside from the positive feedback?
As far as William’s behavior in class, he can still be a bit energetic and disruptive at times, but it has become very manageable. I think that the disruptions that he causes now are easy to mitigate, and are resolved quickly - all that to say that they are nothing of note. I think there is more of an understanding and respect between William, myself, and the class as a whole about when we can be silly and when we need to be more serious and focus on the work in a serious manner. I think that his feedback is mostly positive in recent months because I can see that he is working hard to be more respectful and he settles down much faster than he did in the past. I think that seeing his effort and having him speak with me more directly and respectfully when he is in my class and there is an issue or misunderstanding has created an overall better class environment, and there is nothing that has been noteworthy in a negative way.
I think the thing that would be nice to see from William is more effort and more desire to improve on a personal level. It seems that he does the work because he has to and there doesn’t feel like there is much of a desire to try hard on it or a desire to practice and improve on his own. I am not sure how this would be approached or possible, but mostly I would just like to see him working a bit harder to practice writing more details in his answers.
Homework and vocabulary tests - She is concerned as he seems to be somewhat careless in completing these tasks. Sometimes, it feels like he is only filling in the blanks. With writing, there are moments when it seems like he is just listing things, and she feels that his work lacks depth. Has his writing improved significantly?
As I mentioned before, I do think that William sometimes completes his writing in a way that is just a means to an end. He does sometimes tend to write his answers quite briefly and frankly, rather than honing in and adding in details. I think that at times I do notice that he is slacking a bit on his grammar, listing rather than writing nicely, and I tell him that he needs to write in complete sentences. I think that in recent months, he tends to complete his work, but in a more rudimentary way like his mom has mentioned. I think that his writing has not improved significantly, and I think this is not in part to him not learning or understanding, but more about him not wanting to slow down and take the time to apply what he has learned in a meaningful way, but rather it seems from my perspective that he just wants to get the work done as quickly as possible.
Reading - It seems that he needs to develop better skills in reading comprehension and answering questions. Is there any way to improve this?
I think that William’s reading comprehension skills are actually quite good. I find that he tends to understand the novels we read quite well, and I have not noticed him struggling in the reading comprehension portion of class either. While I haven’t noticed him lacking in reading comprehension skills at all, I can only suggest that he practices reading and answering questions. He can focus on building his skills of finding keywords from the questions in the readings, finding the main ideas of each paragraph in the readings and finding answers from that, and also highlighting or underlining information in readings as he reads so he is more actively reading the information (and there will be notes in the reading for him to look back at clearly when he goes to answer questions). There are lots of different skills he can build like this that could help him become a more mindful reader, and therefore understand readings more, and find the answers to reading comprehension questions easier!
From Mr. Andrew
He is keeping up with his ideas, and his writing is not bad during class, though he does write short answers on occasion! I would say he is not behind this in class during class time, as he has the ability to fully understand everything when he focuses on it!
During class, he is playful and does have fun, but on occasion takes it too far, when this happens, I let him know and he tries to reel it in, which works sometimes, but other times I will need to remind him repeatedly.
I will recommend him for a booster, I said in my message to the mother that he is having a hard time, and he doesn't put any effort into his history homework, which I have discussed with him in class a few times!
His homework can be good, when he writes everything fully, (which he does not do very consistently). For writing, he has the ability to write great answers when he doesn't rush, which we have been working on in class, especially during science! He has definitely improved in his writing since starting here, and can definitely write good answers!
His reading comprehension is good enough to complete the work, but again only when he puts more effort in. To improve on this, reading slowly and highlighting key words in the questions, should help him find his answers, while taking his time!
Main ideas:
He has the ability to do all the work, he just rushes it and doesn't care about writing full answers with detail.
He has fun and does joke around too much in class sometimes, but it's not too egregious.
He needs to fully read and write his answers for history, and for science too.
I hope this helps! I will send a message about Hani by the end of the day too!
</t>
      </text>
    </comment>
    <comment authorId="0" ref="L146">
      <text>
        <t xml:space="preserve">챕터북 보다는 짧은책을 좋아함. 소설책에 적응하는 시간이 필요할것같다고 하셔서 책 나눠서 읽을 수 있도록 계획드리고, novel note안내드림.
넌픽션 글쓰기숙제를 집에서 어떻게 하는지 궁금해하셔서 수업시간에 brainstorming있는 점 안내드림.
숙제도움반 궁금해하셔서 스케줄과 예약방법 안내드렸는데, 사립초라 수요일에 4시부터만 가능하다고 해서 원래는 3시부터 와야하지만 1시간동안 숙제를 온전히 봐줄수 없으니 어려워하는 부분만 체크해서 보내주실때 데스크에 말씀주셔서 원장님께 직원이 안내할수 있도록 설명드림.
영어로 말하는것을 좋아함, 환경에 노출을 원하심. 성향이 트윈클이랑 잘 맞을것 같음. 혹시 다른 친구들 레벨이 되어서 주눅들까 걱정도됨. 친구따라 가는 시너지를 바라심. 글쓰기는 체계를 잡는것도 중요하지만 자신의 생각을 키우고 싶었음. 쓰는것을 별로 안좋아함.  
성향상 아이가 그룹스터디로 시너지가 날수 있고, 말을 잘하고 생각이 넓혀지다보면 글쓰기도 점차 즐거워 질수 있으니 적응시간을 두고 시도하면 좋을것 같다고 설명드림.
</t>
      </text>
    </comment>
    <comment authorId="0" ref="L147">
      <text>
        <t xml:space="preserve">통화 두차례 시도했으나 부재중이셔서 학습상담내용 문자로 전달 드림.</t>
      </text>
    </comment>
    <comment authorId="0" ref="L148">
      <text>
        <t xml:space="preserve">다윤이 소설수준 3점대 읽고있음
음원으로 어머니와 함께 읽고 있음
한국어 잘읽는편이나 Reading Comprehension이 약한 편이라 트윈클 소설수준을 잘 따라갈수 있을지 걱정하심.
AR수준과 학생들의 흥미도가 비례하는것은 아니기 때문에, 트윈클 커리큘럼으로 일단 시도해보면 좋을것 같고, 매 달마다 소설의 장르도 다르니 다양한 소설을 깊이 있게 흥미로운 세션북 질문들로 공부하면 터닝포인트로 변화할수도 있다고 설명드림.
말하는것은 좋아하고 글쓰는것도 좋아해서 아이가 너무 좋아할것 같다고 기대하고 계심. 리딩이 점수가 안나는 부분 걱정하셔서 트윈클에서는 리딩파트의 중요성을 간과하는것이 아닌 생각을 키우고 말과 글로 표현하며 전반적인 문해력도 높이는 우선순위가 다르다고 설명드리고, 문제풀이 스킬이 걱정되시면 Diena가 트윈클에서 배우는 RC교재의 체감난이도를 체크한후, 어렵다면 doable한 레벨로, 쉽다면 challenging 레벨로 선정하여 가정에서 병행해주시는걸 권장드림.
책 선택에 도움이 필요하면 나중에 제가 도와드리기로 함.
</t>
      </text>
    </comment>
    <comment authorId="0" ref="M148">
      <text>
        <t xml:space="preserve">어머님이 전체적으로 다윤이가 1달반 동안 수업을 들으면서 두 선생님 수업 모두 재미있어하고, 적응하는데 큰 어려움이 없다고 하심. 또한 단어시험도 학생이 적응이 되어 매주 공부하고 시험보는데 어려움은 없다 하셨고, 선생님들 피드백도 이해하는데 어려움이 없고 좋다고 하심.  다만 처음에 학생이 writing 숙제를 힘들어했는데 1달이 지난 지금은 writing이 나아지고  있는게 보여서 기쁘다고 하심. 
수업 외적으로 데스크와 행정적인 관리부분도 만족하고 특별히 건의할 내용은 없으셨음. 
이에 추후에 언제든지 문의 및 건의사항 있을 시 연락 요청드렸고, 해피콜 시스템 또한 설명드려 추후에 다시 통화드리겠다고 하고 통화종료.</t>
      </text>
    </comment>
    <comment authorId="0" ref="L149">
      <text>
        <t xml:space="preserve">트윈클 Prep반, 1학년 3월까지 Top반에 재원했었음. 어머니께서 학생이 Elite수준인데 레벨업이 안되는것에 대해 힘들어하셨고 퇴원을 하고 MI에서 공부함.
Ellie가 트윈클에 너무 다시 오고 싶어했고, 트윈클 레벨테스트 결과에서 Elite레벨을 받아서 그동안 아이가 성장한 만큼 자신감있게 영어를 즐겁게 학습했으며 좋겠다고 하심.
현재 영어도서관에서 4점-5점대 소설책도 무리없이 읽고 영어학습에 특별히 걱정되는 부분이 없다고 하시며, 이것은 프랩부터 1학년 초반까지 트윈클에서 잘 트레이닝된 덕분인것 같다고 말씀하심.
학부모님들 사잉에서 트윈클에서 잘 적응하고 숙제도 잘하는 학생들은 어느 학원에 가서도 다 적응할수 있다고 한다고 하심.
</t>
      </text>
    </comment>
    <comment authorId="0" ref="M149">
      <text>
        <t xml:space="preserve">어머님이 트윈클 조인 후 1달 반 기간동안 수아가 적응을 잘하고 있는거 같다고 하시고, 현재 매주 숙제와 단어 시험 준비도 적응이 되어 스스로 잘하고 있다고 하심.
처음에 단어 시험 점수가 좀 낮은 거 같아서 살짝 걱정은 했지만 요근래 들어 한, 두개 이상 틀리는 경우도 많이 없어 이 부분은 좋다고 하심.
한 가지 언급하신 점은 Andrew 와 Payton의 도조 코멘트의 디테일이다르다고 느꼈다 하심.
Payton의 경우 수업 후 단어시험 점수와 수업 활동내역 뿐 아니라 그때 그때 학생의 progressive 한 내용이 있으면 그 부분까지 코멘트를 주어서 좋다고 하셨음. 
이에 반해 Andrew는 그 날 수업시간에 있었던 Fact 위주로만 전달하는 편이고,학생의 개별적인  progressive 적인 내용은 언급이 잘 되어 있지 않아 조금 아쉽다 하셨음.
수업외적으로 데스크 응대 행정적인 부분은 만족한다고 하셨음.</t>
      </text>
    </comment>
    <comment authorId="0" ref="L150">
      <text>
        <t xml:space="preserve">조용한 성향, 초반에 주변을 탐색을 하고 익숙해지면 적극적여지는 편이라 적응을 잘할지 걱정하심.
아이들마다 성향이 다 다르기 때문에 선생님들께서 소외되는 학생없이 잘 어울리고 참여할 수 있도록 잘 관리하겠다고 말씀드림.
정답을 좋아하는 편이라 트윈클커리큘럼을 통해 생각을 확장하고 표현할 수 있는 터닝포인트로 challenging이 될 수 있지만 도전하기로 하셨다고 하심. 
</t>
      </text>
    </comment>
    <comment authorId="0" ref="M150">
      <text>
        <t xml:space="preserve">어머님이 유이가 조인 후 수업, 숙제, 단어 시험 등에 어려움 없이 적응 잘하고 수업 잘 듣고 있어서 만족한다고 하심. 
수업 분위기 관련하여 수업 중간에 남학생들이 한국말을 쓰는 부분 언급하심.
그리고 수아 어머님과 마찬가지로 
 Andrew 와 Payton의 도조 코멘트의 디테일이 차이가 난다고 하심.
Payton의 경우 수업 후 단어시험 점수와 수업 활동내역 뿐 아니라 그때 그때 학생의 progressive 한 내용과  그 부분까지 코멘트를 주어서 좋다고 하셨음. 
이에 반해 Andrew는 그 날 수업시간 Fact 위주로만 전달하는 편이고,학생의 개별적인  progressive 적인 내용과 장단점에 대한 피드백은 부족한 것 같다고 느낀다 하심.
Nonfiction 파트에 대해서 학생이 내용이 쉽지 않고 배경지식이 필요한 부분도 있지만 수업은 어려움 없이 잘 듣고 있어서 만족한다고 하심.</t>
      </text>
    </comment>
    <comment authorId="0" ref="N150">
      <text>
        <t xml:space="preserve">어머님이 연락 주셔서 반 이동 가능여부 문의하셔서 먼저 관련 사유를 여쭤봄.
유이 학생이 수업을 듣는데 요즘 남학생 3명이 수업 중간에 한국말을 쓰는 등 분위기를 너무 해치고 떠들어서 수업에 방해가 된다고 하심.  또한 남학생 3명 중에서 은수 학생이 제일 장난이 심한 것 같다고 느낀다 하시고, 담당 teacher들도 중간에 주의를 주긴 하지만 개선이 되지 않는 거 같다고 하심.
이에 일단 먼저 반 이동보다는 담당 teacher들에게 먼저 상황을 파악 후에 해당 남학생들에 대한 지도 및 계속해서 수업태도가 불량한 경우는  yellow card 발급 등의 방법도 있는 점 말씀드렸고, 어머님도 동의하시며 유이학생이 예민한 부분일 수도 있으니 해당내용 담당teacher 등과 논의하여 연락드리기로 하고 통화종료</t>
      </text>
    </comment>
    <comment authorId="0" ref="L151">
      <text>
        <t xml:space="preserve">영어유치원이나 영어학원을 다녀본적이 없고 홈스쿨링으로 영어공부를 했음. 영어책 읽기를 좋아하고 정답을 이야기하려는 경향이 있어서 어머니께서는 다원이가 자유롭고 자신감있게 자신의 말을 하며 영어공부하기를 바라셔서 트윈클에 등록하게 되었다고 하심.
레벨업, 커리큘럼, 숙제, 테스트 준비 방법 등 알려드림.</t>
      </text>
    </comment>
    <comment authorId="0" ref="L152">
      <text>
        <t xml:space="preserve">트윈클 수업방식과 커리큘럼이 너무 마음에 들어서 트윈클 선택하게 되심. 전반적인 커리큘럼, 수업준비사항, 숙제하는법에 대해서 설명드리고 교재대여 안내드림. 빨간날 수업하는것에 대한 불편함은 보이셨지만 보강수업 으로 대체되는점 안내드리고, 6월6일 결석 보강수업 예약 가이드 전달드림.</t>
      </text>
    </comment>
    <comment authorId="0" ref="M152">
      <text>
        <t xml:space="preserve">두 선생님 수업은 재밌게 듣고 있고, 약간 느리기는 하지만 전체적인 수업에 적응하는 중이라고 하심.
이에 아직 1달은 보통 적응기간으로 학원과 가정의 지도를 통해서 규리가 서서히 적응할것이라고 설명드림.
Session test 점수 관련하여 점수대로 반편성이되거나 불이익?이 없는지 문의하셔서 Session test 점수로 반편성이나 순위를 매기지 않고, 또한 점수가 낮다고 penalty가 있지는 않다고 설명드리고 session test 취지에 대해 설명드림. 또한 첫 시험인 만큼 먼저 시험에 익숙해질 필요도 있는 부분도 설명드림.
또한 Payton 선생님이 얼마전에 Writing format 관련하여 Booster 수업 안내드린 점도 말씀드리며 Booster 수업 등을 통해 규리가 조금 더 도움이 되고, 한 걸음 더 나아가길 희망한다고 말씀드림.
이에 어머님이 감사하다고 말씀주시고, 인사드리며 통화종료</t>
      </text>
    </comment>
    <comment authorId="0" ref="L155">
      <text>
        <t xml:space="preserve">ECC에서 공부했음. 아이가 문법이나 문장구조가 잘 안잡혀있는데 Elite레벨을 잘할수 있을지 걱정이 많으셨음. 트윈클에서는 영어의 5가지 영역중 문법이나 RC문제풀이에 우선순위를 두지 않고, 아이들이 생각을 키우고 말로 표현하고 글로쓰며 그 과정에서 문법적인 부분도 개선해가고, 문법개념은 수업시간 문법책으로 하지만 할당된 시간이 타학원에 비해 솔직히 높은 편은 아니라고 말씀드리며, 3개월정도 보내보시고 추가적으로 보충하고 싶은 영역이 있으면 상담을 통해 다양한 솔루션 전달 및 도움드릴수 있다고 설명드림.
활발한 성향이라 자유로운 트윈클 영어학원경에서 영어를 배우면 더 즐겁게 배울수 있을것 같아서 트윈클을 선택하게 되셨다고 하심.
현재까지 해당반에 남자친구 1명이라서 아쉽다고 하셔서, Andrew 남자선생님의 성향으로 넌픽션 수업시간에 교감을 잘할수 있을거라고 설명드림.</t>
      </text>
    </comment>
    <comment authorId="0" ref="M155">
      <text>
        <t xml:space="preserve">두 선생님 수업 모두 재밌게 듣고 있고, 특히 Nonfiction 수업을 재밌게 듣고 있다고 하심.
또한 아직 2주 남짓 수업을 들은 상황임에도 수업 및 커리큘럼, 교재를 이해하는 데 어려움은 없다고 하시고, 숙제 및 단어시험도 잘 하고 있다고 하심.
특히 ECC에서 수업을 들었을 때보다 수업 스타일은 다른 점이 있지만전체적으로 예성이가 트윈클 수업을 더 재밌게 느낀다고 하심.
</t>
      </text>
    </comment>
    <comment authorId="0" ref="L156">
      <text>
        <t xml:space="preserve">MI에서 오랫동안 공부하며 처음으로 영어학원을 바꾸는 것. 그만큼 트윈클에 대한 좋은 피드백을 많이 받아서 정말 경험해보고 싶었는 학원이라고 트윈클에 대한 기대가 많으심.
MI에서는 Wonders로 공부했었고, 시험이 주별/월별로 너무 많았음. 말하는것을 좋아하는 려원이가 트윈클 커리큘럼에서 더 잘하는 부분을 꽃피울수 있기를 바라셨고, 당장은 어떤것을 바라시기 보다 처음으로 학원을 이동하는것이다 보니 새로운 환경에 잘 적응하길 바라심.
</t>
      </text>
    </comment>
    <comment authorId="0" ref="L161">
      <text>
        <t xml:space="preserve">Date: 3/6
Who: John
어머님께서 문의주신 부분 채드선생님과 확인후 연락드림
- Reading 수업관련
아이가 숙제로 Reading Prime 책을 풀어오면 정답확인후, 틀린문제들 리뷰하심 (아예 안하는거는 X),  어머님 의견과 달라서 이번화요일 (3/7) 샘 선생님께서 리딩수업때 잠깐 들어가서 어떻게 수업하는지 확인하기로 함. 
샘선생님 확인 이후 어머님께 수업내용 통화하기로 함.
또한 채드선생님이 세션북에 숙제코멘트로 양보단 질이다 라는 단순 판단내용에 대해 컴플레인이있었는데, 어머님께 이메일로 해당부분 사진요청하였고, (이러한 코멘트 부분이있으면 모두 보내달라요청) 코멘트 부분 보고 선생님과 대화하기로 함.  이후 연락드리기로함 _John</t>
      </text>
    </comment>
    <comment authorId="0" ref="M161">
      <text>
        <t xml:space="preserve">Date: 3/6
Who: John
리딩 수업 방법에대한 확인을 위해
샘 선생님께 요청하여, 리딩수업을 어떻게 진행되고 있는데 참관확인요청
하였고, 채드선생님은 틀린부분에 대해서 리뷰를 하는점 확인함 (지문의 어느부분에서 힌트를 얻을 수 있는지 티칭이 있다함). 
어머님께 상기 부분 안내드렸고, 
아이의 말을 강하게 믿으시며, 선생님들끼리 짜고 오늘 급작스럽게 한거아니냐는식으로 얘기하심.
(개선을 위해 말하는것이고, 채드선생님이 앞으로 이렇게 리딩수업방식을 개선하길 바란다고 말하면서  현재수업방식이 이렇게 되고 있다는점을 믿지 않고 있음)
또한 세션북 코멘트 관련하여서도, 전혀 불만족스럽고 아이가 어떻게 해야하는지에 대한 피드백이 없다고 판단하심. 현재 부원장님, 헤드티쳐, 및 저의 의견으로는 코멘트에 디테일이 충분히 있고, 큰 문제가 없다고 판단되어진다라고 안내드리자,  선생님편에서만 너무 얘기하는거 같다하면서 전화끊겠다고 하고 전화끊으심. 오늘 처음으로 리딩수업했다. 
개선을 하고자 전화를 하셨는데 응대때문에 문제가 되었음.</t>
      </text>
    </comment>
    <comment authorId="0" ref="N161">
      <text>
        <t xml:space="preserve">리딩프라임: 숙제를 다해서 보냈는데 수업시간에 그 부분에 대해서는 선생님이 체크를 하지 않고 아이는 수업은 안해요라고 아이가 말함. 채드는 부연설명을 하지 않았고, 같은 친구에게 물어봤을때 정답을 보드에 적고 채점을 해라고만 함. 그래서 그것에 대해서 개선을 원해서 첫번째 문의를 드렸으나 차후 피드백이 수업을 했다고만 전달을 받았다고 함.
-Chad숙제이메일 확인하기어렵다
-숙제 문의를 하게되면 콜백이 오지 않음: 이틀만에 전화 받으심 다른 어머님들도 이런 일이 많았고 의사통이 안된디고 하심. 응대가 매끄럽지 않음. 
-Correction디테일하게, 리딩수업
-E:생각을 하지 않고 직설적으로 이야기하는 편 (정말 안했어 애 세워두고 3번이나 물어봄)
-K:귀담아들으려고 하는편
</t>
      </text>
    </comment>
    <comment authorId="0" ref="O161">
      <text>
        <t xml:space="preserve">Date: 3/22
Who: Eddie
어머님이 Show&amp;tell 관련하여 짜증섞인 의견주심. Show&amp;tell 정확하게 어디를 준비해서 외워와야 하는지 문의하여 이 부분 Rachel과 확인 후 어머님에게 안내전화 드렸으나, 어머님이 숙제메일이 모호해서 그런 부분이 안내가 제대로 안되어 있었고, 그냥 11주차 speaking 숙제 부분을 외워서 23일 수업시간에 발표준비를 했다고함. 이에 어머님께 Show&amp;tell 수업 방식에 관해 자세히 안내드렸으나 이런 부분을 제대로 Rachel 의 숙제메일로 안내가 안되었다하여 짜증을 내었음. 또한 앞으로는 숙제메일을 자세하게 적어 이런일이 발생하지 않게 요청하시고 통화종료
</t>
      </text>
    </comment>
    <comment authorId="0" ref="P161">
      <text>
        <t xml:space="preserve">1st session sangdam
-Chad 's reading class and correction: she commented that this was enough.
- Information on the fiction test and nonfiction test next week in advance: she really liked session tests to check kid's level for review
-I apologize for the lack of notice on the Show &amp; Tell preparation page on the homework email, re-informations, postponement of Show &amp; Tell to next week, and modification of the entire homework email form. Overall, she's satisfied and grateful</t>
      </text>
    </comment>
    <comment authorId="0" ref="Q161">
      <text>
        <t xml:space="preserve">에린 선생님 특강 숙제 관련해 2차례 문의하고 정우가 이해 못한다고 컴플하고 답답해 함
</t>
      </text>
    </comment>
    <comment authorId="0" ref="R161">
      <text>
        <t xml:space="preserve">9/12일 Session Test 에 대한 피드백으로 반 평균을 알려달고 있다고 함, 지난 테스트때는 알려줘서...다른 아이 점수를 물어보는게 아니고 내 아이의 성장을 확인하고 싶어서 물어보는 것도 안되냐고 하심. 과제를 완벽하게 하기 위해 집에서는 열심히 도와주는데 원이 좀더 성의 있게 대응해달라고 요청함.</t>
      </text>
    </comment>
    <comment authorId="0" ref="L167">
      <text>
        <t xml:space="preserve">처음에 낯을 좀 가리지만 크게 적응하는데 문제는 없을 것 같다고 하셨으며 7세때 Prep 반 3개월 정도 재원하며 입학 희망하여 대기하심. 워낙 성숙한 학생들이 있는 반이라 서로 도와가면서 적응하겠지만 처음 물꼬 잘 틀 수 있도록 도와주겠다고함.</t>
      </text>
    </comment>
    <comment authorId="0" ref="M167">
      <text>
        <t xml:space="preserve">수업에 조금 늦었는데 Dorothy선생님이  단어시험 못 보게 했다고 화가나 흥분한 상태로 연락 오심.  / 선생님과 확인 후 전달. 지난세션보다 어렵고 시간이 오래 걸리는 단어시힘. 다 끝내지 못하면 점수도 온전히 받지 못해 그랬다하심. / 어머님은 아이가 6분전 엘베 도착 하지만 엘베 늦어서 수업 늦음. 시험 못봐서 앉아서 딴짓하고 한참후 7분 남았다는 얘기를 들음. 그러면 충분히 시험 볼 시간이 되지 않았냐 화내심. 다른 친구 빗대어 말씀. 그 친구는 항상 늦어서 1,2분 시간 더 주고 시험 보게 했는데 형편성에 어긋나는 점. 규정이 명확하지 않은점 컴플. / 수업 운영은 온전히 선생님의 권한으로 진행되고 조금이라도 다른 친구들에게 영향이 있으면 선생님께서 판단하여 운영된다고 설명. / 아이가 불친절한 선생님때문에 상처 받은적이 몇번있지만 아이를 계속 보낼 입장이라 불만 표현 안하시고 참았다. 하지만 이번거는 형편성에 어긋나고 불공정하다고 판단되어 전화 하셨다고 하심. / 한참 화내고 하소연 하신 뒤 누그러지셨고 선생님 곧 계약 만료로 교체되는 점. Sarah 6시타임 반으로 곧 이동할 수 있다고 하심. / 나중에 또 그런 부분이 있다면 오해가 쌓이기 전에 꼭 말씀 달라고 전달. 감사하다면서 웃으시며 마무리.</t>
      </text>
    </comment>
    <comment authorId="0" ref="L168">
      <text>
        <t xml:space="preserve">폴리에서 공부했음. 아이가 말하는것을 아주 좋아하고, 외국에 갔을때도 외국인들과 스몰토크를 거침없이 즐기는 모습을 보시며 아이에게 말하는 기회가 많은 영어환경을 주고 싶으셨다고 하심. 폴리는 선생님이 말씀하시는 수업 중심으로 학생들은 듣기로만 진행되어 같은반의 Sarah어머님의 추천으로 트윈클에 대해서 더 좋은 인식이 생기게 되어 선택하시게 됨. 숙제도움반, 부스터수업에 대해서도 긍정적인 피드백 주셨고 트윈클 생활이 기대된다고 하심. 아이가 생각하는만큼 말하고 글을 쓰는 능력을 트윈클에서 배웠으면 좋겠다고 하심.</t>
      </text>
    </comment>
    <comment authorId="0" ref="L169">
      <text>
        <t xml:space="preserve">학생 성향이 숙제나 학원일에 대해 잘 모르겠다고 표현해서 숙제 도움에 대한 궁금증이 많으셨음. 첫 수업에 학생과 이야기 나누며 숙제 안내해주겠다고 말씀드렸고 숙제도움반 참여 원하셔서 2회정도 참여하면서 윤곽을잡고 더 필요한 부분에 대해 더 상세히 설명드리겠다고 말씀드림.</t>
      </text>
    </comment>
    <comment authorId="0" ref="M169">
      <text>
        <t xml:space="preserve">수업은 학생이 조금 어렵긴 하지만 해볼만하고 가정에서도 Wriitng을 특히 열심히 한다고 하심. 사실 마포트윈클에 재원해서 트윈클 커리큘럼에 낯설어하거나 그러진 않지만 이전 재원시 B레벨로 수업을 들어서 현재 E 수준에서 약간 struggle 할 수있을 거같다며 그런 부분이 있다고 하면 선생님들 피드백 바탕으로 안내 및 support 드릴 수 있는 부분도(Booster) 같이 설명드림.
슥제에 대해서도 약간 숙지가 안되신 부분이 있어 해당내용도 추가로 안내드리고, 이번 주 수요일 Homework Help도 예약이 되어있어 관련안내사항도 전달 드림.
기타 행정 및 직원응대 부분은 너무만족스럽다고 하셔서 해당내용 감사드린다고 하고 통화종료
</t>
      </text>
    </comment>
    <comment authorId="0" ref="L170">
      <text>
        <t xml:space="preserve">Poly 계속 다녔고 학원을 옮긴게 처음이라 등록 과정에서도 고민이 많으셨고 앞으로 적응하는 것도 걱정 된다고 하심. 
유주가 영어를 좋아하지는 않다고 하시며 학원에서도 영어로 말을 많이 하지 않은것 같다고 하심. 
선생님께는 유주 상황 잘 말씀 드려서 적응 잘 하도록 부탁한다고 하심. 특히 말 할 때 독려 많이 해달라고 하심. 
첫날 오면 유주에게 숙제 어떻게 하는지 설명 부탁하심. </t>
      </text>
    </comment>
    <comment authorId="0" ref="L171">
      <text>
        <t xml:space="preserve">Irene 이윤민 동생
밝고 붙임성좋고 사회성있음
여자친구들이랑 잘지내는 편
리안이 친구
좋은 입학시험 결과 다시한번 설명드리고 아이가 트윈클 공부가 많은까봐 겁을 먹었는데, 잘 적응 할 수 있기를 바란다고 하심.
커리큘럼의 레벨도 3학년과 비교해서 전달 드림.</t>
      </text>
    </comment>
    <comment authorId="0" ref="M171">
      <text>
        <t xml:space="preserve">첫 수업시간에 너무 잘한 부분 피드백 전달 드리니 Ryan도 수업이 너무 재밌었지만 나중에 긴장도가 떨어지면 에너지와 텐션이 떨어지는 경향이 있음. (화장실을 자주 감)
숙제는 양이 많았지만 누나가 하는 것을 봐서 잘 하기는 했지만, 폴리와는 숙제가 달라서 거부감은 있어서 선생님께서 숙제를 어떻게 하는지와 단어시험하는 방법에 대해서 한번 더 할 수 있도록 설명부탁드림.
리스닝을 어려워해서 끊어듣기, 느리게듣기, 자막보기로 서서히 적응할 수 있도록 안내드림</t>
      </text>
    </comment>
    <comment authorId="0" ref="N171">
      <text>
        <t xml:space="preserve">4/25
아서 참관수업 피드백
아서선생님한테 말하는 제스쳐, 목소리톤, And~, And~ 하면서 비꼬면서 말했던 상황이 있어서 이런부분은 어른들한테 하면 안되는 부분인점을 아이에게 지도했던 부분전달드림. 또한 선생님이 수업중 말할때나, 다른 친구들이 발표를 할때, 기다리지 않고 본인이 말하거나, 계속 손을 크게 흔들면서 상대방을 방해할때가 있는점 안내드렸고, 집에서도 이런부분은 잘 지킬수있도록 지도요청드림.
어머님께서도 잘 지도하시겠다고 하셨고, 연락주셔서 감사하다 하시고 통화종료</t>
      </text>
    </comment>
    <comment authorId="0" ref="O171">
      <text>
        <t xml:space="preserve">아서 선생님 피드백요청 전화
다른친구들을 반복해서 건드리면서 수업을 방해하는 태도를 보이는점 전달드림.
도조포인트를 깎거나, 복도에서 선생님이 진지하게 얘기를 할때되서야 멈추고, 또 행동을 반복는 부분들이 있어서 집에서 이런부분들을 개선할 수 있게끔 지도요청드림. 
선생님께 너무 죄송하다고 하셨고, 집에서도 다시한번 수업태도와 선생님 지시를 따를 수 있도록 아이에게 얘기하시겠다 함. </t>
      </text>
    </comment>
    <comment authorId="0" ref="L172">
      <text>
        <t xml:space="preserve">여선생님 선호하고 책을 많이 좋아함. 아주 외향적이진 않지만 너무 수줍어하지는 않음. 기존에 오래 다녔던 학생들 반이다보니 걱정하셔서 안심시켜드림.
공부방에서만 학습을했지만 원어민이랑 수업했고 트윈클 입학 시험을 보니 reading, writing, speaking 정수 모두 80%가 넘지만 vocab 5점이며 단어 학습을 한번도 시킨적이 없다고하심. 단어 시험보는 방법에 대해 말씀드렸으며 Novel 책들을 보니 생각보다 많이 어려울 것 같지만 상담하고 보니 크게 걱정하지 않아도 될 것 같다고 하심.</t>
      </text>
    </comment>
    <comment authorId="0" ref="L177">
      <text>
        <t xml:space="preserve">High반부터 시작해서 Elite반까지 레벨업한 케이스. High반때 Cassandra선생님과 학습에 집중하여 부스팅하는 시간을 잘가진 덕분에 레벨업 하게 되어서 어머니께서 기뻐하심.
현재 Top반 커리큘럼과 비교하여 Elite과정 설명드리고, 선생님 소개, Classmates 정원 및 성별등 안내드림.
다른부분보다 역사과목에서 체감하는 레벨이 높아질거라서 단어가 어렵더라도 전체적인 맥락으로 수업전에 읽고, 수업시간에 선생님께서 배경지식등 학생들에게 필요한 점 Brainstorming후 키워드로 정리해서 숙제할때 도움될수 있도록 지도하고 있는 것 설명드리며, 숙제준비 안내드림.</t>
      </text>
    </comment>
    <comment authorId="0" ref="L178">
      <text>
        <t xml:space="preserve">마포거주, 워킹맘이시라 6시 시간 선택. 영유3년차 미교2.6까지 함.
말하기 좋아하고 활발하고 선생님 지도 잘 따르는편. 숙제, 테스트, 반이동 등에 대해 상담드림.</t>
      </text>
    </comment>
    <comment authorId="0" ref="M178">
      <text>
        <t xml:space="preserve">Date: 4/13
Who: John
지호가 불가능 4개학원이 다조정되야하기때문에, 현재는 불가능하다고 답변하심. 6개월 뒤 반이동 가능할때 반이동고려중이신것같음. 
현재 집중도 낮아지는부분등 고려해서 전화주신것 감사하다 하심.</t>
      </text>
    </comment>
    <comment authorId="0" ref="N178">
      <text>
        <t xml:space="preserve">Date: April 14th
Who: Eddie
대치에서 지호 학생이 6월 이후로 전원 하고 싶다고 하여 피드백 요청하였음. 또한 어머님이 데스크오셔서 직접 대치와 통화한 내용 관련문의주셨음. 참고로 대치에 목동 Standard 레벨이 없는 점 안내드렸고, 필요하면 인터뷰 외 필기시험 볼수있다고 안내드렸음. 대치에 현재레벨 정보와 입학성적표 보냈음.
</t>
      </text>
    </comment>
    <comment authorId="0" ref="O178">
      <text>
        <t xml:space="preserve">Date: April 18th
Who: Eddie
4/18: 어머님이 대치에 전원문의하였을때 대치에서 안내받았다고 한 교재가 기억안난다고 하셔서 대치에 연락하여 Faith 선생님에게 확인하였고, 대치에서 1E 반 Novel 리스트로 안내하였다고 하여서 해당 내용 어머님께 메일로 드렸고, 유선상으로 안내하여 시험대비 요청드림.
추가로 Session book Curiousity Training를 최대한 자세히 적는 연습을 요청드림</t>
      </text>
    </comment>
    <comment authorId="0" ref="L180">
      <text>
        <t xml:space="preserve">윤서가 쑥스러움이 많다고 하심. 다른 학원 계속 다니다가 이번에 옮긴건데 따기 걱정은 없다고 하심.</t>
      </text>
    </comment>
    <comment authorId="0" ref="O180">
      <text>
        <t xml:space="preserve">어제 이야기 잘 나누셨겠지만 Lua 학생이 트윈클을 워낙 좋아하고있고, 그 연령대 학생들이 어떤 과목을 좋아해서 욕심을 가지고 하는것만큼 시너지가 나는 부분이 없다보니 혹시라도 제가 중간에서 도와드릴 수 있는 부분이 있는지 확인차 연락드렸다고 말씀드림.
선생님과는 오늘 처음 이야기 나눴지만 선생님들 없었음 어쩔뻔했냐고 하시며 현아 선생님과 부원장님께도 죄송하고 감사하다고 꼭 전달해달라고 하심.
솔직히 말씀드리면 11월 7일날 폴리도 예약해놨는데 개인적으로 트윈클을 선택하고 싶다고하시며, 선생님을 너무 좋아해서 울고있는 애를 보니 많이 속상했다 하심. 당장 더 요청하고 싶은 부분은 없고 동생까지 믿고 보낼 수 있을 것 같다고하심.
Lua가 숙제하면서 어려움 느끼는 부분은 없는지 여쭤보니 학원에서 선생님이 지나가면서 한마디 툭 건들면 더 잘하고싶어서 집와서 책을 더 들여다볼 정도라고 대답함. 숙제하면서 1, 2문제 정도 어려워 건너띄는 경우가 있다고하심. 앞으로 지속적으로 숙제하면서 조금이라도 거부감을 느끼는 부분이 있거나, 모르는 문제를 그냥 넘겨 버리는게 습관이 되지 않도록 어머님께서도 꼭 확인하고 가정지도 부탁드린다고 말씀드리고 학생이 어려워 하는 부분에 대해서는 저희가 책임지고 지도하겠다고 말씀드림.</t>
      </text>
    </comment>
    <comment authorId="0" ref="L181">
      <text>
        <t xml:space="preserve">Date: 2/9
Who: John
선생님 피드백을 통한 상담
아이가 충분한 실력에도 불구하고, 단어준비를 제대로 하지 않았고, 수업시간에 산만하고, 방해되는행동을 함. 
어머님께 선생님께서는 송겸이 충분히 잘하는 실력임에도 수업시간에 위의 모습들이 보이니 집에서 조금더 아이가 잘 할 수 있도록 전달 주시면 좋을것 같다고 피드백 주셧다고 전달. 경고연락이 아닌 아이에 대한 선생님들이 신경쓰고 걱정되는 부분을 전달하는점이라고 안내드리고,  어머님께서는 죄송하고, 아이가 더 잘 할 수 있도록하고, 선생님들께서 엄격하게 하셔도 되니 부모님 신경쓰지말고, 아이에게 필요에 따라 엄격하게 대해달라고 요청하심 (선생님꼐 전달완료)</t>
      </text>
    </comment>
    <comment authorId="0" ref="M181">
      <text>
        <t xml:space="preserve">Date: 2/15
Who: John
2/14 채드 선생님 수업때 책에 아무것도 안적혀 있는데, 선생님한테 좋은 카카오 코멘트를 받았다고 연락주심.
신경을 잘 안써주시는건 아닌지 조심스럽게 물어보셨고, 어머님께서도 지난 코멘트들떄문에 집에서 엄청 공부시키고 혼내고 있다고 하심. 아이가 원래 집중을 잘 못하고 산만한 성격은 알고계시지만, 선생님들께서도 잘 지도 해주셨으면 좋겠다고 조심스럽게 말씀하심. 또한 겸이가 앞자리에 앉아서 좀더 집중할 수 있게 해주실수 있는지 요청주심
(2/16 3시 이후 전화주시기로 함)
채드피드백
카카오코멘트는 이전에 몇번 언급했던것이어서, 일부로 반복되는 부분은 언급안함. 아이가 책에 안적는부분은 알고 있고, 수업때 몇번이나 계속해서 하라고 말하고, 여러가지 제안도 줬지만 안한다 함. 또한 스마일포인트를 준다고 해야 늦게나마 시작하고 또 집중을 못한다함
일단 수업의 1/3 정도로 겸이에게 많이 신경 쓰는중이라 함.
자리 지정자리에 관해서는 겸이가 어딜 앉는다고 개선되는 부분은 아니라고 판단한다함</t>
      </text>
    </comment>
    <comment authorId="0" ref="N181">
      <text>
        <t xml:space="preserve">Date: 2/15
Who: John
어제 채드선생님과의 대화내용 전달드림.  선생님께서는 부정적인 피드백을 계속 반복해서 보내면 오히려 아이나 부모님께서 안좋게 받아드릴 수 있어서 고민후 보내신거라고 하였고, 어머님도 이해하심.
또한 채드선생님이 수업때 몇번이나 집중하고 책을풀어야하는 점을 말하지만 아이가 무시하고 집중을 못하는 상황을 안내드림. 선생님이 최대한 신경을 많이쓰는점 안내드렸고, 어머님께서 겸이가 잘 적응하도록 노력해보시겠다고 함.</t>
      </text>
    </comment>
    <comment authorId="0" ref="L182">
      <text>
        <t xml:space="preserve">시윤이 처음에 적응하느라 조금 삼식이?같은 (어리버리한) 면이 있다고 하심. 나중에 적응하면 괜찮아진다고 하심.
학습은 단어 공부를 꼼꼼하게 외우지 못한다고 걱정은 좀 된다고 하심. 단어시험 매 수업마다 있고 어던 형식으로 보는지 설명 드림. </t>
      </text>
    </comment>
    <comment authorId="0" ref="L183">
      <text>
        <t xml:space="preserve">두 친구 다 처음에는 수줍음 많음 shy.  2,3주는 낮가린다고 하심. 
혜원이는 친해지면 활발함. 적응시간 걸리고 처음에는 조용할거라고 하심. 
혜준이는 조용함. 학원 피드백은 참여 잘한다고 하심.
미국에 살다가 왔고 현지에서 2년동안 영어로 학교 수업 받았어서 트윈클에서 참여나 수업 잘 적응할것 같다고 하심.
***혜원. 4월에 눈수술 예정. (간헐적 사시)</t>
      </text>
    </comment>
    <comment authorId="0" ref="L184">
      <text>
        <t xml:space="preserve">두 친구 다 처음에는 수줍음 많음 shy.  2,3주는 낮가린다고 하심. 
혜원이는 친해지면 활발함. 적응시간 걸리고 처음에는 조용할거라고 하심. 
혜준이는 조용함. 학원 피드백은 참여 잘한다고 하심.
미국에 살다가 왔고 현지에서 2년동안 영어로 학교 수업 받았어서 트윈클에서 참여나 수업 잘 적응할것 같다고 하심.
***혜원. 4월에 눈수술 예정. (간헐적 사시)</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L2">
      <text>
        <t xml:space="preserve">Date: February 3rd
Who: Naomi
What kind of sangdam: New student
Color: light green</t>
      </text>
    </comment>
    <comment authorId="0" ref="L4">
      <text>
        <t xml:space="preserve">Date: February 3rd
Who: Eddie
What kind of sangdam: Happy call (1st/2nd/3rd session sangdam)
Color: yellow</t>
      </text>
    </comment>
    <comment authorId="0" ref="L5">
      <text>
        <t xml:space="preserve">Date: February 3rd
Who: Hyeona
What kind of sangdam: class change student
Color: white</t>
      </text>
    </comment>
    <comment authorId="0" ref="L6">
      <text>
        <t xml:space="preserve">Date: February 3rd
Who: John
What kind of sangdam: current student sangdam (complaints, feedback ect.)
Color: orange</t>
      </text>
    </comment>
    <comment authorId="0" ref="L7">
      <text>
        <t xml:space="preserve">Date: February 3rd
Who: Kevin
What kind of sangdam: quit student
Color: gray</t>
      </text>
    </comment>
    <comment authorId="0" ref="L12">
      <text>
        <t xml:space="preserve">트윈클 3년동안 Elite반에 다닌 Paul 유지환 동생.
어머니께서 Paul 퇴원한 이후에도 한국식수업준비할때도 좋은 피드백 및 목동지역 학부모님 니즈등을 많이 공유해주셨던 분. 트윈클 커리큘럼을 정말 좋아하심.
Paul이 4E공부했을때 작년의 커리큘럼에서 변경된 뇌과학, 사회학, 심리학에 대한 추가설명 드리니 트윈클 R&amp;D 꾸준히 개발해주셔서 너무 좋다고 말씀해주심.
Paul이 트윈클 숙제를 했을때 풀하우스를 보고 글쓰기 숙제를 하는게 있어서, 두 형제가 그것을 재미있게 시청했었을때 이번에 LA여행지에서 직접 그 집을 보고 더 큰 영감과 학습에 대한 즐거움을 느꼈다고 전해주심.
최근에 소울이가 다닌 아이오, 덕스, 폴티스 등에 대한 피드백도 공유해주셨는데, 
아이오는 트윈클과 같이 다독보다 정독을 지향하지만 한국식과 미국식이 절출된 형태라고 하셨고, 덕스도 소설 중심수업이지만 수업에 재미요소가 없어서 트윈클 커리큘럼에서 학생들이 몰입할 수 있는 질문들과 접근방식이 너무 훌륭하다고 칭찬해주심.
현재 준비중인 한국식문법리딩 수업도 대충 준비하지 않고 신경써서 준비해주시는 점에 대해 더 신뢰가 간다고 하시며 오픈되면 Paul도 꼭 보내고 싶다고 하심.
</t>
      </text>
    </comment>
    <comment authorId="0" ref="M12">
      <text>
        <t xml:space="preserve">학생이 수업은 너무 재밌게 잘듣고 있고 전체적으로 수업을 따라가는데 어려움이 없다고 하심.
다만 정확한 숙제범위와 숙제방법에 대해 혼동하시는 부분이 있어 Fiction, nonfiction session book 을 보면서 파트 및 week 별로 숙제부분 상세히 설명드림. 특히 전체적으로 숙제는 복습형으로 숙제표를 보시면 된다고 안내드렸고,  Story of the world 교재와 Novel 은 가정에서 미리 예습하는 부분이 필요하다고 추가 설명드림.
또한 이번주 session test와 history test 관련하여 설명드렸고, 학생이 아직 재원한지 얼마 안된 만큼 시험에 대한 부담보다는 경험으로 진행하면 좋겠다고 말씀드림.
기타 선생님 Dojo Comments와 행정적인 부분은 만족한다고 하셔서 언제든지 궁금한 점이나 건의사항있으면 연락요청드림</t>
      </text>
    </comment>
    <comment authorId="0" ref="L22">
      <text>
        <t xml:space="preserve">몇주째 History 숙제 완성도가 떨어져 Katie 선생님이 연락 요청하심. 히스토리에 대한 흥미도가 낮기도 하고 스스로 할 수 있도록 놔두는 편이시라고함. 학생이 숙제 잘 끝낼 수 있도록 지도하시겠지만 어머님이 보시기에도 history 교재 내용에 학생들이 흥미를 느낄 수 없을 것 같다고 말씀하심. 학생들 성향별로 도전적이고 새로운 개념에 성취감을 느끼는 친구들이 있는 반면 그렇지 않은 친구들도 있어서 선생님들이 중심 잡아 수업에서 흥미도 이끌어낼 수 있도록 하고 있다고 전달함.</t>
      </text>
    </comment>
    <comment authorId="0" ref="M22">
      <text>
        <t xml:space="preserve">몇주째 History 숙제 완성도가 떨어져 Katie 선생님이 연락 요청하심. 히스토리에 대한 흥미도가 낮기도 하고 스스로 할 수 있도록 놔두는 편이시라고함. 학생이 숙제 잘 끝낼 수 있도록 지도하시겠지만 어머님이 보시기에도 history 교재 내용에 학생들이 흥미를 느낄 수 없을 것 같다고 말씀하심. 학생들 성향별로 도전적이고 새로운 개념에 성취감을 느끼는 친구들이 있는 반면 그렇지 않은 친구들도 있어서 선생님들이 중심 잡아 수업에서 흥미도 이끌어낼 수 있도록 하고 있다고 전달함.</t>
      </text>
    </comment>
    <comment authorId="0" ref="L33">
      <text>
        <t xml:space="preserve">영국에서 2주거주 후 한국에 돌아온지 1달되었음.
한국의 학원 분위기에 잘 적응하기를 바라심. 아이들이 최근에 본 SR 점수는 5점대가 되지는 않아서 해당 소설책이나 교재들 잘 학습할수 있을지 걱정하셔서, 트윈클에서 아이들이 배우는 레벨과 체감하는 레벨이 다른 학습티칭접근방법에 대해 설명드리고, 아이들 입학시험에서 충분한 잠재력과 말하기/쓰기 실력을 보여주어서 적응하는 시간을 보내고 나면 좋은 adding이 될것이라 설명드림.
아이들이 밝은 편이라고 하셔서 해당 수업에 classmates들도 밝은 편이고 잘 어울릴분위기인점 설명드림.
각 과목별로 주요교재인, 넌픽션 뇌과학/역사/토론 그리고 픽션에서 소설과 토플리딩등 커리큘럼 설명드리니 특히 뇌과학에서 배우는 커리큘럼이 실질적으로 아이들에게 큰 영감과 도움이 될것 같다고 마음에 들어 하셨음.</t>
      </text>
    </comment>
    <comment authorId="0" ref="M33">
      <text>
        <t xml:space="preserve">세민, 세빈 학생 전부 수업은 재밌게 재밌게 잘 듣고 있다고 하셨고, 두 학생 입학시험 볼 때도 즐거운 분위기에서 시험을 봤던 것으로 기억나서 트윈클에 좋은 인상이 있다고 하심. 그리고 반 친구들과 친해져서 즐겁게 다니고 있다고 하심.
다만 Nonfiction 수업 중 Story of the world 를 배우는데 있어서 중간에 조인 하게 된 점 등을 고려하여 역사 파트의 흐름을 이해하기 좀 어려워한다 하셨지만 시간이 지나서 수업 내용에 더 익숙해지면 잘 적응할거라고 생각한다고 하셨고, 추가적인 도움이 필요한 경우 Booster 수업 등도 있다고 설명해드림.
담당 선생님들의 Dojo comments도 잘 받아보고 있다고 하셨으며 마지막으로 데스크 응대 또한 친절하고 만족스럽다고 하셔서 이 내용 감사하다고 인사드림.
</t>
      </text>
    </comment>
    <comment authorId="0" ref="L35">
      <text>
        <t xml:space="preserve">첫째 자녀 (현 5학년) 가 2-3년 전 트윈클 재학함. 고학년 커리큘럼 궁금해하셔서 설명회 안내드림. 초반에 학원이 조금 겹칠 것 같지만 최대한 빨리올 수 있도록 노력하겠다고하심.</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L2">
      <text>
        <t xml:space="preserve">Date: February 3rd
Who: Naomi
What kind of sangdam: New student
Color: light green</t>
      </text>
    </comment>
    <comment authorId="0" ref="L13">
      <text>
        <t xml:space="preserve">어머님이 금일 Rachel 수업시간중 Aiden이라는 친구와 오늘 팀활동하면서 부딪힌모양인데 남자친구가 3명이다보니 Aiden이랑 Albert가 친한편이고 Leo가 한번씩 혼자 논다고는 이야기를 하심. 최근 Aiden이랑 자꾸부딪히는건지 큰문제는 없는지 걱정이 좀 되서 연락주셨다 하심. 그리고 논픽션 시간때는 남녀 나워서 팀활동을 하고 Aiden 이 자기주장이 강한편이라 약간의 Conflicts 가 발생하는 느낌이라고 하심. 참고로 Fiction Xing 시간에는 이런일이 거의 없다고 하셨음. 이에 어머님께 현재 Rachel 선생님에게 관련내용 확인필요한 부분이기도하고, 선생님이 교체되는 시기인점 고려 요청드렸고, 어머님이 학생이 조금 민감한 부분일 수 있다하여 상황지켜보겠다 하심.</t>
      </text>
    </comment>
    <comment authorId="0" ref="L14">
      <text>
        <t xml:space="preserve">책읽는것은 좋아하는편이나, 문법지적받는것을 싫어하고 글쓰기에 도움이 필요하다고 어머니께서 말씀하심. 한영단어를 무조건 외우는것을 싫어해서 고학년이 되어 가는데 내신형태수업을 듣지 않고 트윈클을 선택하게 되심. 그런데 혹시 트윈클 학습환경이 고학년 수업을 대비에서 부족할지 걱정이 되심. 트윈클에서 그런 고학년 학부모님들의 불안이나 걱정을 함께 해결할수 있도록 한국식 문법/리딩수업을 준비하고, 학부모님들께 책임감을 가지고 준비하는만큼 선생님채용에 신경쓰며 준비하고 있는 부분 알려드림. 어머니께서 너무 좋다고 수업에 대한 희망적인 생각 전달주심. 
Tina가 입학시험 인터뷰가 너무 재밌었고 두번째 인터뷰였는데 같은 선생님이 인터뷰를 했고 Tina를 기억해줘서 인터뷰에 대한 긍정적인 기억이 있다며 어머니께서도 기대가 된다고 하심.
영유를 나오지는 않아서 생각만큼 말이 빨리 나올지 않아서 아이가 초반에 적응하는데 시간이 걸리거나, 참여를 잘하지 않는 부분을 걱정하셔서 아이들마다 적응하는 시간이 다들 있으니 걱정마시라고 안심시켜드리고 담임선생님께 전달 드리겠다고 말씀드림.</t>
      </text>
    </comment>
    <comment authorId="0" ref="M14">
      <text>
        <t xml:space="preserve">현재 서영이가 재밌게 수업 잘 듣고 있다고 하셨고, 가정에서 숙제 및 단어시험 준비를 하는데 조금 시간은 걸리지만 어려움없이 잘 하고 있다고 하심.
다만 Story of the world 를 배우는데 있어서 중간에 조인 하게 된 점 등을 고려하여 역사 파트의 흐름을 이해하기 좀 어려워한다 하셨지만 시간이 지나서 수업 내용에 더 익숙해지면 괜찮을 거 같다 하셨고, 또한 Novel 수업은 무척 재밌게 잘 듣고 있다고 하심. 
이에 학생이 수업 중 특정 part에 catch up이 어려운 경우 담당 선생님께서 Booster 수업 제안 드려 해당부분 개선이 될 수 있게끔 도와드리는 부분 설명드렸음.
두 선생님 Comment 관련하여 잘 받아보고 있고, 이해하는데 어려움이 없다고 하셨고, Dojo Comments 외에 다른 정기적인 피드백이 있는지 문의하셔서 상반기, 하반기 Report card 제공 안내 드리고, 중간중간 상세한 피드백이 궁금하면 선생님들에게 피드백 요청 후 안내드릴수 있다고 말씀드림.</t>
      </text>
    </comment>
    <comment authorId="0" ref="L15">
      <text>
        <t xml:space="preserve">폴리에서 공부했음.
적응이 빠른편이고 발표하는것도 좋은하는 편이나 폴리는 그런 환경이 아니라 트윈클로 등록하게 되심. 아이가 자유롭게 말을 하는 기회가 많았으면 좋겠다고 하시며, 기대가 크시다고 하심.</t>
      </text>
    </comment>
    <comment authorId="0" ref="M15">
      <text>
        <t xml:space="preserve">어머님이 현재 지율이가 트윈클 어려움 없이 만족하면서 잘 다닌다고 하시고 특히 두 수업 모두 재밌어서 좋다고 하심.
학생이 수업 커리큘럼, 교재 등을 이해하는데 어려움도 없다고 하시며 숙제와 단어시험도 적응잘했다고 하심.
선생님들 Comments 도 항상만족하고 있으며 데스크 응대도 친절하여 만족스럽다고 하셨음.
기타 다른 특이사항은 없다고 하셨고, 언제든지 문의나 건의사항이 있으면 연락 요청드렸음</t>
      </text>
    </comment>
    <comment authorId="0" ref="L21">
      <text>
        <t xml:space="preserve">3년동안 SLP에서 공부함
아이가 친구들과 잘 적응할수있도록 도움 반복해서 부탁하심. 기존 친구들과 어울리지 못할까 걱정하셔서 해당반 학생들 분위기와 선생님들 성향 설명드리며 안심시켜 드림. (등원 첫날 챙길 수 있도록 Hailey 실장님께 캐어 부탁드림)
채원이가 트윈클 인터뷰가 너무 재밌었다고했고, 트윈클 커리큘럼이 아이 성향에 잘 맞을것 같아서 선택하게 되셨다고 하심. 한글책은 스스로 잘 읽지만 영어책은 스스로 읽기보다 듣는것에 익숙해 있어서, 아이들이 책을 직접 읽으며 상상하고 다음 내용을 추론하는등 집중하며 얻는 장점들이 많으니 이제부터라도 조금씩 스스로 읽는 연습을 해야 한다고 설명드림. 
커리큘럼, 숙제, 정책등 어머니께서 매우 꼼꼼하신 편이라 상세한 내용은 문자로 한번 더 전달 드리며 설명드림.
</t>
      </text>
    </comment>
    <comment authorId="0" ref="M21">
      <text>
        <t xml:space="preserve">3년동안 SLP에서 공부함
아이가 친구들과 잘 적응할수있도록 도움 반복해서 부탁하심. 기존 친구들과 어울리지 못할까 걱정하셔서 해당반 학생들 분위기와 선생님들 성향 설명드리며 안심시켜 드림. (등원 첫날 챙길 수 있도록 Hailey 실장님께 캐어 부탁드림)
채원이가 트윈클 인터뷰가 너무 재밌었다고했고, 트윈클 커리큘럼이 아이 성향에 잘 맞을것 같아서 선택하게 되셨다고 하심. 한글책은 스스로 잘 읽지만 영어책은 스스로 읽기보다 듣는것에 익숙해 있어서, 아이들이 책을 직접 읽으며 상상하고 다음 내용을 추론하는등 집중하며 얻는 장점들이 많으니 이제부터라도 조금씩 스스로 읽는 연습을 해야 한다고 설명드림. 
커리큘럼, 숙제, 정책등 어머니께서 매우 꼼꼼하신 편이라 상세한 내용은 문자로 한번 더 전달 드리며 설명드림.
</t>
      </text>
    </comment>
    <comment authorId="0" ref="L22">
      <text>
        <t xml:space="preserve">미국에서 초등학교 G1-3 풀로 재학하다가 옴. 학국 학생들에 비해 라이팅 구조적인 부분 떨어질 것 같아 걱정하셨고 처음에 말이 많은편은 아니라고함. 한국에서 노는 친구들의 방식이 익숙해져야할 것 같다고 하셨고 한국 학교도 아직 시작 전이라고함. 어학원이 많지만 영어감을 유지하는게 필요할 것 같다 생각해서 트윈클 결정하였고 해외에서 리턴 학생들 트윈클, MI 로 간다고 들었다고함. </t>
      </text>
    </comment>
    <comment authorId="0" ref="M22">
      <text>
        <t xml:space="preserve">어머님이 전체적으로 주원이가 수업은 재밌게 듣고 있다고 하심.
하지만 어머님이 숙제 확인방법과 전체적인 수업에 필요한 교재 준비에 대해 모르시는 부분이 많은 것 같아서 전반적으로 설명드림.
어머님은 그 동안 따로 숙제를 안해도 되는 것으로 알고 학생 숙제를 따로 안챙겼다고 하심.(Xing ,Carly Dojo 확인 결과 숙제를 제대로 해오지 않은 것으로 확인됨)
이에 먼저 숙제는 전체적으로 복습 형태이며 각 Session book 뒤편에 보면 매주 해야할 숙제표가 나와있어서 해당주차별로 숙제 및 해당 주에 필요한 교재도 (특히 자주바뀌는 Novel) 확인 할 수 있다고 안내드렸고, Fiction, Nonfiction 수업 시간에 필요한 교재가 서로 다른 부분도 정확히 이해를 못하시는 것으로 보여 최대한 해당 수업별로 필요한 교재구성에 대해 설명 드렸음(Ex. Fiction수업은 Novel, grammar, reading textbook 등).
추가적으로 어머님이 처음 수업들으셨을때 Session book 자체교재를 링크를 통해 구매 하지 않으셔서 session book 등이 누락된채 첫 주 수업에 참석하였는데 첫 주 수업이 sub 수업이기도 하였고, 2주정도 지나서 session book 교재 구매가 필요한 점 데스크에서 전화로 연락줘서 알았다고 하셔서 관리가 약간 미흡한 느낌을 받았다고 하심.
어머님께 금일 상담한 내용은 upper management로 보고가 되며 안내가 미흡한 점이 있었다면 팔로우업 하여 추가안내드릴수 있다고 말씀드림.
또한 6월 기간은 Dojo 미발송 기간으로 Report card 관련해서도 remind 드림.
</t>
      </text>
    </comment>
    <comment authorId="0" ref="L30">
      <text>
        <t xml:space="preserve">22년 8월 2학년으로 시작해서 한달전까지 미국 거주. 퍼블릭 스쿨 재학했으며 학업에 집중한 학교는 아니라고 표현하심. 그래서 한국 학생들보다 라이팅이 많이 떨어질 것 같아 고생하셨고, 트윈클 선택한 부분은 스피킹, 라이팅 잘 잡아주고 자유로운 분위기 평이 있어서라고하심. 호기심이 많고 하고싶어하는것도 많음. 학업적 의지와 욕심있고
딱딱하거나 엄격하게는 배워본적이 없다고함. 트윈클에 대한 좋은 소문이 많아 큰 고민 없이 결정하심.</t>
      </text>
    </comment>
    <comment authorId="0" ref="M30">
      <text>
        <t xml:space="preserve">숙제는 최대한 잘 하려고 부담을 갖고 잘 해감. 단어는 한,두번 해보고 점수를 잘 받아옴. 성실히 하고 있음.
Fiction 처음에는 어려움. 이제는 재미있다.
Nonfiction 주제에 따라 어려움. 지금은 history가 어려움. Science는 좋아하고 재미있음. History는 어려워서 걱정하시어 booster class설명드림. 하지만 학업적으로 부진한 친구는 선생님이 먼저 reach out 하시니 지금은 큰 문제 없이 잘 하는것으로 보인다고 설명드림. 알겠다고 안도하심.
궁금. 다른 아이들고 테스트를 보고 들어오는데 그 친구들도 어려워하는지. 아이들마다 성향+관심도의 차이로 더 어렵거나 재미없는 과목이 다 다름을 설명드림.  
미국에서는 매일 영어 환경. 지금은 주2회만 다니는데. 영어 실력을 쌓아나가야하는데 학원에서 보내는 시간어 적음. 이대로 괜찮은지 더 시켜야하는지. 몇가지 집에서 할 수 있는거 말씀드리고 지금은 문제 없이 재밌게 다니고 있으니 과도하게 많이 시키는것보다 이대로도 괜찮다고 개인소견 말씀 드림.</t>
      </text>
    </comment>
    <comment authorId="0" ref="L31">
      <text>
        <t xml:space="preserve">레벨업으로 반이동을 하여서
3T과 달라지는 3A커리큘럼 비교해서 설명드리고, 반구성원과 선생님 안내드림.
레벨업을 할때 Alice가 편안한 분위기에서 자신감 잃지 않도록 선생님과 더 세심히 관리하겠다고 말씀드림.</t>
      </text>
    </comment>
    <comment authorId="0" ref="L32">
      <text>
        <t xml:space="preserve">폴리에서 작년 9월까지 공부하다, 최근에는 과외수업하고 있음.
초반에는 주위를 탐색하는 편이고 적극적인 성격은 아니나 수업시간에 말을 제대로 못하고 커리큘럼을 온전히 못 경험할까 걱정하심. 트윈클에서는 수업시간 학생들의 발표기회를 공정하게 주기위해 노력하며, 그럼에도 불구하고 학생성향에 따라 참여도가 저조할때는 도조코멘트 또는 추가상담으로 어머니께 알려드리고 해결책을 찾고 있는다고 설명드림.
어머니께서 굉장히 학습에 관심과 질문이 많으셨음.
단어시험, 글쓰기첨삭, 2학년3학년수업차이, 노블잘읽는방법, 선생님성향, 친구들, 숙제도움반 등에 대해 상담드림.</t>
      </text>
    </comment>
    <comment authorId="0" ref="M32">
      <text>
        <t xml:space="preserve">어머님이 리안이가 수업을 잘 듣고 있고, 어려움 없이 가정에서 숙제와 단어시험 준비를 잘 하고 있다고 하심. 처음에는 숙제시간이 조금 걸리긴 했지만 지금은 익숙해져서 숙제하는 시간이 처음보다 단축되었다고 하심. 
선생님들Comment에 대해 따로 의견이나 건의 사항은 없으셨고, 이해에 어려움은 없다 하심.
다만 일전에 언급하신 대로 학생이 적극적인 성향이 아니다보니 리안 학생의 수업 참여도가 어느정도인지와 대략적인 Academic progress 부분에 대해 궁금하다고 하셔서 곧 전달드릴 Report card 관련하여 안내드렸고, 전반적인 학생 피드백은 Andrew,  Payton이 정리하여 Report card로 보내드릴예정인 점 안내드렸고, 확인 후 추가적인 문의사항이 있으면 연락 부탁드림.
기타 데스크 응대나, 행정적인 부분에 대해서는 전반적으로 만족한다고 하셨음.</t>
      </text>
    </comment>
    <comment authorId="0" ref="L33">
      <text>
        <t xml:space="preserve">Seah &amp; Teo Siblings
They lived in Canada for about two years. Since they had no prior experience with English academies, the mother chose Twinkle because she thought it was the most similar to an English-speaking environment. The mother is very meticulous and asked a lot of questions about the curriculum, so I explained the study roadmap from Grade 3 to Grade 7 and highlighted the differences for each grade. I mentioned that starting from Grade 5, students learn subjects like philosophy and social studies, and I gave an example of how in Grade 7, students write essays in the format of a UN meeting through KakaoTalk. This example made her feel that the curriculum and teaching approach at Twinkle were as good as expected.
During a conversation with the mother, she mentioned that she wants her child to find ways to solve problems on their own, even if it takes time, rather than relying on parental help, especially when it comes to writing. and She was concerned that since the children go to bed at 9pm, they might need time to adjust to the second block of classes, so I informed the teachers in advance.
</t>
      </text>
    </comment>
    <comment authorId="0" ref="M33">
      <text>
        <t xml:space="preserve">캐나다에서 2년 정도 살았고 English-speaking environment에 가장 가까운 학원이 트윈클이라고 생각하셔서 등록했다고 하셨고, 그 분위기에 맞게 수업 잘 듣고 있다고 하심. 하지만 초반에 학생이 Nonfiction 교재를 보면서 단어 수준이 생각보다 높아서 조금 어렵게 느꼈지만 지금은 그만큼 열심히 외우고 가정에서 잘 따라가고 있다고 하심. 
그리고 캐나다 거주한 경험이 있는만큼 처음에 등원했을때 반친구들이 한국식 영어표현을 많이 사용하는게 어색하게 느껴졌다고 하였음. 이에  해외에서 생활한 학생보다는 한국에서 영어교육을 받고 생활한 학생들이 대부분인 점 설명드렸고 그 부분 어머님도 이해한다고 하심.
그 외 두 선생님의 코멘트 또한 이해 되고, 도움이 된다고 하셨고, 언제든지 수업 및 전반적인 부분에서 질문이 있거나 건의사항있으면 언제든지 연락 요청드림</t>
      </text>
    </comment>
    <comment authorId="0" ref="L34">
      <text>
        <t xml:space="preserve">자유롭게 영어를 공부해와서 학습적인 학원에 잘 적응할지 걱정하셨고, 트윈클은 조용한 선생님의 경우 3시간 수업을 아이들이 지루해한다는 점, 3학년 Elite 커리큘럼에 대한 난이도를 궁금해하셨음.
선생님 성향과 각 선생님마다의 장점 및 그동안의 학부모님 피드백 전달드리고, 성향이 반대의 페어가 필요한 이유로 설명드림.
3A의 픽션 넌픽션에서 다루는 카테고리들 설명, 올해부터 시작되는 Tool box 교재로 부터 단우학습성향에 도움이 되는 부분들 위주로 설명드림.
어머니께서 5학년 커리큘럼도 궁금하다고 하셔서 토플교재 사용되고, 그동안의 5학년 선례들 설명드리며 현재 등록여부까지 안내드리고, 단후 누나가 레벨테스트 한번 볼 수 있도록 권유드림.</t>
      </text>
    </comment>
    <comment authorId="0" ref="L39">
      <text>
        <t xml:space="preserve">미국에서 2년거주했음. elan 영어유치원 졸업하고 초등영어교육기관으로는 한국이 처음이라 가장 western접근방식으 환경인 트윈클을 주저없이 선택했다고 하심.  2nd block수업시간이 너무 늦어서 유일하게 있는 1st block을 선택하셨는데 목요일은 수업이 2:20분에 끝나서 늦을까 걱정된다고 하셔서, 수업시작하자마자 단어시험을 항상 보기 때문에 계속되는 지각은 수업에 어려움이 있다고 정확하게 말씀드리고, 일단 수업 시작해보고 지각이슈가 있을시 반이동 제안드릴예정.
</t>
      </text>
    </comment>
    <comment authorId="0" ref="M39">
      <text>
        <t xml:space="preserve">두 선생님 수업은 재밌게 듣고 있고적응도 잘하는 중이며, 숙제와 단어 시험 등 전반적으로 수업을 따라가는데 어려움은 없다고 하심.
무엇보다도 트윈클 수업을 들으면서 일전에 아원 학생이 Novel 교재 위주로 공부를 하다가 Nonfiction 교재를 공부하면서 다양한 배경지식도 공부할 수 있어서 좋다고 하심. 이에 트윈클 Nonfiction 수업에 사용하는 History, Science 교재들은 단순히 영어를 공부하기 위해서가 아닌 다양한 분야를 영어로 생각하면서 배울수 있게 도움을 준다고 추가 설명드림. 
추가적으로 Writing 숙제 관련하여 첨삭 피드백을 전달 받아서 숙제를 하고 있으나 한번의 첨삭으로 아원학생이 rewrite 하는데 어려움이 있어 이런 경우 Homework Help 를 적극적으로 활용하시는 것을 권장드림.
기타 선생님 comments 및 행정적인 부분은 만족하시며 추가적인 문의사항이나 건의사항은 언제든지 연락 요청드리며 통화종료</t>
      </text>
    </comment>
    <comment authorId="0" ref="L41">
      <text>
        <t xml:space="preserve">성적표 문의) 3,4점 좋은 점수인거 설명 드림. 선생님 코맨트 설명드림. 부족한 부분 궁굼하심. 라이팅 너무 훌륭하고 재능있다고 선생님 코맨트 언급하면서 완성도를 높이기 위해 배운 문법 적용하고 잦은 실수 줄이는거 강조드림. 
아이는 트윈클 너무 좋아하는데 이대로 그냥 좋아하는 영어 배우게 둬야할지 내신 위주로 가르쳐야할지 고민이셔서 다른 친구들도 그래서 옮기는 경우도 있다. 하지만 외고 등 특목고 진학하는 아이들은 여기서 배우는 영어가 </t>
      </text>
    </comment>
    <comment authorId="0" ref="M42">
      <text>
        <t xml:space="preserve">Essay는 많이 써보지 않았고 여기는 많이 쓰는 편이라 옮김. 구조 잡는거는 잘 모른다. 선생님이 여러번 알려주신다고. booster class설명드림. 
단어시험. 품사부분 설명 하는데 아느듯 모르는듯함. 단어테스트 점수가 잘 안나오는데 걱정하심. 품사에 맞게 사용이 잘 안되다보면 문장을 썼을때 그 뜻을 제대로 알고 쓰는지 파악이 잘 안됨. 그래서 점수가 낮은듯. 선생님께 추가 설명 부탁드릴거고 가정에서도 한국어로 설명 한번 해주시면 더욱 도움이 될것같다고 말씀 드림.
그밖에 특이사항 없음. 선생님, 학원 만족하심.
</t>
      </text>
    </comment>
    <comment authorId="0" ref="M43">
      <text>
        <t xml:space="preserve">Essay는 많이 써보지 않았고 여기는 많이 쓰는 편이라 옮김. 구조 잡는거는 잘 모른다. 선생님이 여러번 알려주신다고. booster class설명드림. 
단어시험. 품사부분 설명 하는데 아느듯 모르는듯함. 단어테스트 점수가 잘 안나오는데 걱정하심. 품사에 맞게 사용이 잘 안되다보면 문장을 썼을때 그 뜻을 제대로 알고 쓰는지 파악이 잘 안됨. 그래서 점수가 낮은듯. 선생님께 추가 설명 부탁드릴거고 가정에서도 한국어로 설명 한번 해주시면 더욱 도움이 될것같다고 말씀 드림.
그밖에 특이사항 없음. 선생님, 학원 만족하심.</t>
      </text>
    </comment>
    <comment authorId="0" ref="L44">
      <text>
        <t xml:space="preserve">잘하고싶어하는게 있고 칭찬해주면 잘하려고하는 스타일이지만 못한다싶으면 놓아버리는 스타일이라고함. 궁금증도 많고 호기심도 많음. 책읽는거 좋아하지만 소설책을 많이 좋아하지 않고 논픽션을 좋아아함. 싱가폴 2년 거주.</t>
      </text>
    </comment>
    <comment authorId="0" ref="L48">
      <text>
        <t xml:space="preserve">숙제를 예습형으로 해서 온다고 fiction선생님이 설명요청하여 전화드려서 숙제관련 안내 드림.
워낙 가정에서 서포트를 잘해주시고 영어학습에 관심이 많으시며 3년동안 꾸준히 보내주신 학부모님이라 학원피드백에 대한 상담대화 나눔. 넌픽션 선생님의 correction이 아이가 준비한 글에 비해 awesome, good정도라 아쉽다고 하셨음. 지난번에도 마킹관련하여 말씀주셨는데 크게 변화가 없는것 같다고 하셔서 트윈클에서 학생에게 제공할 수 있는 correction과 피드백에 대한 정도를 설명드리고, 앞으로 살펴보겠다고 안내드림.
더불어 2월에 학부모서베이가 있을 예정이니 잘 남겨주시면 귀기울여 듣고 참고하겠다고 설명드림.
토플성적도 궁금해하셔서 학년과 레벨대비 어느정도 선인지 설명드림. 
3학년 커리큘럼부터 추가되는 디베이트 수업방식과 기대할수있는 개선영역에 대해서 설명드림.</t>
      </text>
    </comment>
    <comment authorId="0" ref="L52">
      <text>
        <t xml:space="preserve">모르는게 있으면 숨기려고 하는편이
1학년때 트윈클 재학했다고함. 캐나다에 다녀오면서 잠시 재학 멈추었으며 반 분위기, 선생님 배정, 숙제 등에 대해 전반적으로 알고 많이 궁금하하심. </t>
      </text>
    </comment>
    <comment authorId="0" ref="L53">
      <text>
        <t xml:space="preserve">남학생이기는 하나 얌전하고 친구들과도 잘 어울리는편이라고함. 원어민 선생님들만 있는 공간이다보니 급한 상황이나 학업적으로 한국 선생님의 도움을 받을 수 있는지 물어보셨고 데스크 선생님들은 1차적으로 응급상황이나 유사시 한국어로 응대하고계시고 필요에 따라 제가 학생들 1:1로 케어하고 있다고 상세히 설명드림. 모르는 개념에 대해 한국어 도움을 받을 수 있는지 물어보셔서 완전히 다른 개념인 부분 설명드렸고 영유 다니다가 최근에 학업적인 학원으로 옮기면서 학생이 스트레스를 받고있다고하심. 트윈클에서 적응 잘해서 성장 많이할걸로 기대하신다고하심.</t>
      </text>
    </comment>
    <comment authorId="0" ref="L61">
      <text>
        <t xml:space="preserve">워낙 역사, 배경 지식, 과학 등 아는 것이 많고 관심이 많음. 논술 선생님이 자녀를 트윈클에 보내봤고 도전학생 트윈클 추천. 
활발한 성격이고 스스로 잘 아는 것과 언어적 관심이 많아 논술과 국으를 굉장히 잘하다고함. 하지만 상대적으로 영어 성장이 더딘 것 같다고 하셨으며 선생님 성향을 많이 타는 학생. 긴장을하면 텐션이 높아지며 9시까지 수업하는 것에 걱정은 있디만 트윈클에서 많이 성장 할 수 있을 것 같아 기대한다고 하심.
역사, 배경지식, 과학 아는 것
논술 선생님 딸도 보냈고</t>
      </text>
    </comment>
    <comment authorId="0" ref="L71">
      <text>
        <t xml:space="preserve">밝고 개구진 스타일이라 트윈클 학습 분위기에서 자유롭게 자신의 의사를 영어로 표현할수 있는 법을 배우길 바라심.
3학년이지만 문법 하나하나 짚고 공부하기 보다 생각을 키우는 방향의 영어학습을 원하심. 한글와 영어 모두 글쓰기를 매우 싫어하나, 한번 쓰게 되면 한페이지 정도를 쓰는 편. 글쓰기에 흥미를 붙이면 좋겠다고 하심.
키가 또래에 비해 많이 작은 편이라 놀림감이 될까봐 어머니께서 걱정된다고 하심. 이부분은 혹여 불편함 없도록 살펴보겠다고 말씀드림.</t>
      </text>
    </comment>
    <comment authorId="0" ref="L72">
      <text>
        <t xml:space="preserve">영유 1년 + 폴리 1년 다니고 1년 쉬었음. 스피킹, 리스닝 환경 어색할 수 있어서 선생님들이 질문 많이 할 수 있도록 요청하심. 토론 수업도 처음이고 과학이나 역사도 처음이라 배경지식적으로 떨어질 수 있어서 가정에서 최대한 적극적으로 지원하겠다고하심. 솔직한 피드백 요청. 트윈클 고학년 학생들이 많이 빠지는걸로 알고있는데 고학년으로 입학하는 만큼 기대와 기준이 높음.</t>
      </text>
    </comment>
    <comment authorId="0" ref="L79">
      <text>
        <t xml:space="preserve">영유로 시작한게 아니라 1학년때부터 영어를 시작했고 트윈클을 보내면서 많이늘것으로 생각된다고함. 대기하며 3번 시험봤을정도로 트윈클 입학 의지가 강하고 긍정적이심. 트윈클이 이전 학습과 많이 다르고 본인 단계보다는 높은 학원을 다니는게 도움이 될거라고 생각하지만 따라갈수있을지 우려되는 부분도 있어 잘 부탁드린다고함. 첫 주에 학생과 직접 만나 이야기 나눌 예정이며 첫주 상담시 학부모님과 학업 관련하여 자세히 상담 예정.</t>
      </text>
    </comment>
    <comment authorId="0" ref="L80">
      <text>
        <t xml:space="preserve">평촌 Dc4라는 학원에서 공부했음. 트윈클과 비슷한 성격의 학원이라 이번 목동으로 이사하며 트윈클을 주저없이 선택하셨다고 하셨음.
트윈클 커리큘럼, 학생지도에서의 학생자존감/시험의 목적등 설명드리니 트윈클이 너무 기대된다고 좋은 기운이 느껴진다고 만족함 보내주심.
대회를 출전하는게 있는 학생이라 휴원 및 보강수업에 관심이 많으셨고 현재 트윈클 재원생중 피겨스케이트 대회출전하는 학생이 사용한 홀드 예시로 설명드림.
</t>
      </text>
    </comment>
    <comment authorId="0" ref="L82">
      <text>
        <t xml:space="preserve">Yein 학생 학부모님이 전화가와서 Ryan이 쉬는 시간에 Yein를 발로차고 목을 졸랐다고 표현하심. Carly 강사에게 상황 확인 후 Ryan 학부모님께 전달드렸고 너무 죄송해하시며 Yein 학부모님께 직접 사과드리고싶어하심. Yein 학부모님은 학생들끼리 의도치 않은 상황에 이렇게까지 심각하게 생각해주셔서 감사하다고 표현하시고 직접 사과는 괜찮다고 하심. 이후 학생들과 1:1 만나 이야기 나누었고 Ryan 학생도 Yein 학생에게 직접 미안하다고 사과하고싶다고 하여 자리 마련함.</t>
      </text>
    </comment>
    <comment authorId="0" ref="B83">
      <text>
        <t xml:space="preserve">2시 30분 시간을 선호하시는 것 같았으며 2시 30분에 남기 위해 화/목 2시 반에 진행하게 될 Powerful Red Pandas 반 목표로 레벨업 요청진행하셨습니다. 되리란 보장은 없으니 어머님께도 최대한 조정 요청 드렸습니다.
24.11.06 Dave</t>
      </text>
    </comment>
    <comment authorId="0" ref="L85">
      <text>
        <t xml:space="preserve">지인이 트윈클 다니고 있어서 이미 어느정도 잘 알고있다고하심. 눈치가 빨라서 선생님 말씀도 잘 들을거고 처음엔 오히려 경직되어있을수도있지만 오히려 분위기 잡기 좋을 것 같다고하심. 평소에 말 잘 듣는데 편안해지면 1년에 한번정도 선을 넘거나 장난을 치는 경우가 있다고 표현하셨고 선생님들이 잘 잡아주실거라 말씀드림. 첫 수업 들어오기전에 숙제나 예습해갈 수 있는거 알려달라고하셔서 문자 전송 완료함.</t>
      </text>
    </comment>
    <comment authorId="0" ref="L90">
      <text>
        <t xml:space="preserve">자유롭게 영어를 공부해와서 학습적인 학원에 잘 적응할지 걱정하셨고, 트윈클은 조용한 선생님의 경우 3시간 수업을 아이들이 지루해한다는 점, 3학년 Elite 커리큘럼에 대한 난이도를 궁금해하셨음.
선생님 성향과 각 선생님마다의 장점 및 그동안의 학부모님 피드백 전달드리고, 성향이 반대의 페어가 필요한 이유로 설명드림.
3A의 픽션 넌픽션에서 다루는 카테고리들 설명, 올해부터 시작되는 Tool box 교재로 부터 단우학습성향에 도움이 되는 부분들 위주로 설명드림.
어머니께서 5학년 커리큘럼도 궁금하다고 하셔서 토플교재 사용되고, 그동안의 5학년 선례들 설명드리며 현재 등록여부까지 안내드리고, 단후 누나가 레벨테스트 한번 볼 수 있도록 권유드림.</t>
      </text>
    </comment>
    <comment authorId="0" ref="L99">
      <text>
        <t xml:space="preserve">말레이시아에서 3년거주.
가정에서 어려운 책을 읽히거나 학습적인 푸쉬를 하지 않은 상태라, 2점대정도 책을 읽고 있고 책을 그렇게 좋아하는 편은 아니라고 하심.
아이의 성향과 외국에서 공부했는점을 학부모님은 고려하셔서 트윈클로 선택하시게 되심. 커리큘럼과 3시간수업도 재미있게 학생들이 즐길수 있다고 좋은 피드백 및 입소문 들으셨다고 하심.
아이가 학습에 적응하는 기간 및 방법 설명드리고, 특히 숙제를 제일 걱정하셔서 픽션/넌픽션 숙제유형 및 숙제도움반 안내드림.</t>
      </text>
    </comment>
    <comment authorId="0" ref="M99">
      <text>
        <t xml:space="preserve">두 선생님 수업 재밌게 잘 듣고 있고 말레이시아에서 거주했던 만큼 선생님과 소통 및 수업분위기 적응에 큰 어려움이 없다고 하셨음.
다만 논픽션 교재를 이해하기 조금 어려워하고, 아직 가정에서 숙제와 단어시험 공부를 할때 초반이라 그런지  적응이 덜된 부분이 있어 시간이 조금 걸리는 부분이 있지만 적응을 하면 곧 잘 할 거같다고 하셨고, 단어시험이 조금 어렵게 나오는 거 같다고 말씀하셔서 트윈클 단어시험의 장점과 단순 단어의 뜻만 암기하는 것이 아닌 단어의 활용 등을 배우는 점이 나중에 더 도움이 될 것이라고 말씀드림.
Writing 숙제관련해서도 도움이 필요하면  Homework Plus와 Booster 수업도 소개해드림.
기타 다른 문의점이나 건의사항은 없고 다만 수업시간이 저녁시간대라 학생이 조금 졸려한다고 얘기주심.</t>
      </text>
    </comment>
    <comment authorId="0" ref="L100">
      <text>
        <t xml:space="preserve">매그넷 재학했었고 어머님은 많이 만족하셨는데 친구들이 트윈클을 너무 재밌게다녀서 Peter가 부러워했다고함 (루이스, 라파엘) 트윈클에 대한 기대도 많고 라이팅 집중적으로 봐주시길 요청하심.</t>
      </text>
    </comment>
    <comment authorId="0" ref="L101">
      <text>
        <t xml:space="preserve">박지우 학생 이전에 poly다녔고 옮기고 싶어해서 시험 봄. 사실 지난번에 한번 불합격했고 이번에 합격해서 기뻐했다고 하심.
성향: 선생님의 영향 많이 받음. 특히 초반에 선생님으로부터 싫은 소리 들으면 가기 싫다고 때쓰기도 함. 초반에는 칭찬과 격려 많이 해주는것 전달 드리기로 함.
학업: writing이랑 novel책 읽는것 좋아함. / 반면 nonfiction에서 하는 science나 history 걱정. History는 나중에 세션시험 봄. 그러기때문에 주요부분 세션북에 나오고 선생님이 스토리탤링 등 이해를 돕기 위한 설명 꾸준히 해주심. 
궁굼한것: 반에 남자만 있다고? 적응 잘 하도록 돕겠다. 언제든지 말씀 주시길. / 레벨업 등 반이동 6개월? 왜그런지 설명드림. / 추후 레벨업 원할 시 요청 주시면 선생님 피드백 받아서 전달 드림 등 절차 안내드림.
궁굼하거나 걱정되는 부분 언제든지 학원에 전화 주시고 문의 주시라고 말씀 드림.</t>
      </text>
    </comment>
    <comment authorId="0" ref="L102">
      <text>
        <t xml:space="preserve">Yein 학생 학부모님이 전화가와서 Ryan이 쉬는 시간에 Yein를 발로차고 목을 졸랐다고 표현하심. Carly 강사에게 상황 확인 후 Ryan 학부모님께 전달드렸고 너무 죄송해하시며 Yein 학부모님께 직접 사과드리고싶어하심. Yein 학부모님은 학생들끼리 의도치 않은 상황에 이렇게까지 심각하게 생각해주셔서 감사하다고 표현하시고 직접 사과는 괜찮다고 하심. 이후 학생들과 1:1 만나 이야기 나누었고 Ryan 학생도 Yein 학생에게 직접 미안하다고 사과하고싶다고 하여 자리 마련함.</t>
      </text>
    </comment>
    <comment authorId="0" ref="M102">
      <text>
        <t xml:space="preserve">내년도 시간 변동 안내 드렸는데 늦은 시간 불만. 시간 변동없는 내년도4학년 top반 하나 있어서 그반으로 이동원하시고 레벨업 요청하심.
레벨업 안됨. 통화 오래함. 결론 없음.
내년도 1session 하고 레벨업 요청 한번 도 하시는거 추천 드림.</t>
      </text>
    </comment>
    <comment authorId="0" ref="L103">
      <text>
        <t xml:space="preserve">듣기는 잘하는데 말하기는 자유롭게 못해서 토론수업이 필요할것 같고, 아직 문법이 완벽하지 않아서 글쓰기도 개선이 되었으면 좋겠다. 원래는 되게 활발한 스타일인데 투머치토커인데 영어에서는 그게 안되어서 트윈클에서 잘 배우면 좋을것 같다고 하심. 인터뷰에서 트윈클이 너무 재밌어서 4개월동안 트윈클만 기다리셨다고 하시고 기대가 된다고 하심</t>
      </text>
    </comment>
    <comment authorId="0" ref="L104">
      <text>
        <t xml:space="preserve">폴리에 다니고 있음, 4점대 중반정도 책 읽고 있음
1학년부터 폴리에서 다녔는데 학원의 피드백이 너무 없고 매너리즘이 있고, 매달 먼쓸리 시험을 보면서 반을 변경하는 것에 대한 스트레스도 있었고 특히 말하는 시간이 부족하다는 생각과 새로운 관점으로 글쓰기를 해보고 싶어서 트윈클을 선택하게 되심.</t>
      </text>
    </comment>
    <comment authorId="0" ref="L105">
      <text>
        <t xml:space="preserve">2학년까지 학원 다니다가 1년 반 정도 학원 자체를 쉼. 리딩 책 난이도, 라이팅, 디베이트 살짝 걱정된다고함. 학원 다니면서 천천히 알아가겠다고하셔서 크게 질문 많이 하지 않으심.</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L24">
      <text>
        <t xml:space="preserve">Seah &amp; Teo Siblings
They lived in Canada for about two years. Since they had no prior experience with English academies, the mother chose Twinkle because she thought it was the most similar to an English-speaking environment. The mother is very meticulous and asked a lot of questions about the curriculum, so I explained the study roadmap from Grade 3 to Grade 7 and highlighted the differences for each grade. I mentioned that starting from Grade 5, students learn subjects like philosophy and social studies, and I gave an example of how in Grade 7, students write essays in the format of a UN meeting through KakaoTalk. This example made her feel that the curriculum and teaching approach at Twinkle were as good as expected.
During a conversation with the mother, she mentioned that she wants her child to find ways to solve problems on their own, even if it takes time, rather than relying on parental help, especially when it comes to writing. and She was concerned that since the children go to bed at 9pm, they might need time to adjust to the second block of classes, so I informed the teachers in advance.
</t>
      </text>
    </comment>
    <comment authorId="0" ref="M24">
      <text>
        <t xml:space="preserve"> 태오 학생은 두 선생님 수업 처음부터 재밌게 잘 듣고 있고, 숙제, 단어시험 어려운 점 없다고 하심. 처음에 우려했지만 트윈클 5E 커리큘럼에 어려움을 느끼지 않고 잘 이해하면서 수업 듣고 있다고 하심. 또한 반 친구들도 장기재원한 학생들이고 고학년인만큼 태오학생이 느끼기에 반 친구들의 영어실력이 외국에서 공부한 친구들과 차이없이 매우 잘한다고 느껴서 더욱 만족스럽다고 하심.
세아와 마찬가지로 두 선생님의 코멘트 또한 이해 되고 만족스럽다 하셔서 추후에 궁금한 점이나 건의사항 있으면 연락 준다 하심.</t>
      </text>
    </comment>
  </commentLi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5">
      <text>
        <t xml:space="preserve">읽고있는책들이 한국어로도 어려운것들을 영어로 어느정도 이해하는지 모르겠음, 트윈클을 신뢰하고 보내주심, 토론과 내용에 대한 확인이 있었으면 좋겠음. 수업 3시간만족 (중2가 되더라도, 토론하는 수업이기 때문에) 정기적으로 학생이 하는 아웃풋을 학부모님이 확인할 수 있는 포트폴리오?가 필요할것 같음</t>
      </text>
    </comment>
  </commentList>
</comments>
</file>

<file path=xl/comments1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Original Start Date for Counter</t>
      </text>
    </comment>
    <comment authorId="0" ref="K1">
      <text>
        <t xml:space="preserve">Date: February 3rd
Who: John
What kind of sangdam: quit student
Color: gray</t>
      </text>
    </comment>
    <comment authorId="0" ref="K2">
      <text>
        <t xml:space="preserve">수연이가 즐겁게 다녀 만족하고 감사하다고 함/미국으로 2월에 출국 예정이며 다녀오면 동생 보내겠다고 함</t>
      </text>
    </comment>
    <comment authorId="0" ref="K4">
      <text>
        <t xml:space="preserve">마포 파커 영어유치원에서 공부했었음.
트윈클은 입소문으로 알게되어 입학시험을 봤는데, 시험후 아이가 트윈클에만 가고싶다고 강력하게 이야기했다고 함. 인터뷰가 너무 재밌었고 여기서는 잘할수 있을것 같다는 동기부여를 받아서 어머니께서 놀라셨다고 하심.
전반적인 트윈클 커리큘럼 들으시고 아이가 주도적인 편이라 잘 적응하기를 바라심.</t>
      </text>
    </comment>
    <comment authorId="0" ref="L4">
      <text>
        <t xml:space="preserve">선생님이 잘 이끌어주시고 재미있고 흥미있게 다녀 만족함/ 수업시간에 배운 논픽션내용을 집에 와서 설명함/단어공부는 하기 싫어함/트윈클의 커리큘럼의 장점을 설명/ 4월 돌아올 계획으로 대기 안내드림</t>
      </text>
    </comment>
    <comment authorId="0" ref="K5">
      <text>
        <t xml:space="preserve">아버님 미국 발령으로 데스크에서 인사드림/ 퇴원 상담 패쓰</t>
      </text>
    </comment>
    <comment authorId="0" ref="K7">
      <text>
        <t xml:space="preserve">아버님 미국 발령으로 데스크에서 인사드림/ 고학년 커리큘럼 설명드리고 5학년쯤 돌아올 예정/퇴원 상담 패쓰</t>
      </text>
    </comment>
    <comment authorId="0" ref="K8">
      <text>
        <t xml:space="preserve">딱히 유별난 학생은 아니고 조용한편이라고 하셨음. 3-4년 전에 형 (엄신후)이 트윈클 재학했고 그때 당시에 history 책이 너무 어려워서 2-3개월 안에 그만둔것으로 확인됨. 당시 부원장님이랑 깊은 상담 자주 했다고 하셨으며 정말 훌륭한 책인것도 알고 있지만 동생인 태후 학생도 같은 어려움 느낄까봐 걱정하셨음. 저학년 학생들에게 조금은 어렵게 느껴질 수 있으나 어머님이 말씀하신 것 처럼 그 수준까지 도달하기위해서는 분명히 필요한 단계와 교재라고 말씀드림. 어머님께서도 긍정적으로 동의하셨으며 조금 까칠하신 편이였음.</t>
      </text>
    </comment>
    <comment authorId="0" ref="L8">
      <text>
        <t xml:space="preserve">학생이 정말 정말 FM이라서 그냥 넘어가는 문제를 이해못하고 숙제에 대한 이해가 안되서 어려워했다고함. 첫 상담 당시 고민하셨던 history 를 어려워하진않는지 여쭤봤고 어머님께서 첫째 학생때 해당책을 다 읽었어서 지금 조금 수월하게 Alec 도움주고 있다고함. Hailey가 숙제관련해서 명확히 알려주는 시간 갖겠다고 말씀드렸고 감사 인사 전달하심.</t>
      </text>
    </comment>
    <comment authorId="0" ref="M8">
      <text>
        <t xml:space="preserve">화목 스케쥴 어려워 수금반 대기 남기고 퇴원 처리됨/ 다른 영어학원 다니지 않고 트윈클 기다리고 있어 빠르게 연락달라고 하심</t>
      </text>
    </comment>
    <comment authorId="0" ref="K9">
      <text>
        <t xml:space="preserve">Sassy Spider Crabs/ Tina 동생
누나의 경우 너무 소극적이고 그때는 예습형 숙제가 많아서 적응이 어려워 그만두었지만, 트윈클 커리큘럼과 학습분위기가 좋아서 동생은 다시 시도하기로 하심.
준서도 낯을 많이 가리는 편이나 말하는것을 좋아해서 트윈클에서 많은 경험을 하길 바라심. 
변경된 숙제, 부스터클래스, 보강수업 등 그사이 목동에서 변화된것을 들으시고 어머니께서 트윈클 더 좋아졌다고 좋은 피드백과 기대감 전달주심.</t>
      </text>
    </comment>
    <comment authorId="0" ref="L9">
      <text>
        <t xml:space="preserve">학생이 성향적으로 까부는편은 아니라 크게 문제는 없을것같은데 수업참여도는 어떤지 물어보심. 수업 분위기 자체가 좋아 서로에게긍정적인 영향으로 성장하고 있는 부분 말씀드림. 혼자 숙제하는데 어려움이 보여서 숙제도움반 참여할지 물어보셨고 숙제도움반 활용하는 방법이나 예약방법 안내드림. </t>
      </text>
    </comment>
    <comment authorId="0" ref="K15">
      <text>
        <t xml:space="preserve">여행을 가게되어 1월 내내 휴원예정이고 2월부터 첫 등원 가능하다고 하셔서 휴원비 안내드림.
친구가 트윈클 재원중인데 노블이 어렵다고 따라갈 수 있을지 고민하시며 하다하다 안되면 레벨다운이 가능하냐고 여쭤보심.
레벨 다운은 권해드리고 있지 않고 어려움에서 도전의식을 갖고 재미를 느끼는 학생도 있다고 안심시켜드림.
숙제양에 대해 여쭤보셔서 트윈클의 숙제는 복습개념이라고 안내드림.
곧 여행을 떠날 예정인데 미리 노블을 읽히고 싶으시다고 링크를 빨리 보내주셨으면 하셨고 일단 제일 처음 나가는 진도의 노블 James and the Giant Peach 알려드림.</t>
      </text>
    </comment>
    <comment authorId="0" ref="K16">
      <text>
        <t xml:space="preserve">대치점에서 잘 다니는지 안부 확인.현재 인터뷰를 아직 진행하지 못해 기다리는 중이라고 함/ 목동에서 즐겁게 잘 다니고 선생님도 좋고 만족/ 성비가 안 맞는 점은 아쉽다고 함/ 연락주셔 감사하다고 함</t>
      </text>
    </comment>
    <comment authorId="0" ref="K17">
      <text>
        <t xml:space="preserve">트윈클 리테스트 보고 Top반 레벨 받아서 어머니께서 아주 기뻐하심. Franca는 내성적인 성향이나 트윈클에서 자주 말하는 기회를 가져보고 환경에 노출하여 해당 성향을 극복하시길 바라며 트윈클 선택하심.
사촌과 친구들이 트윈클에 많이 재원하는데 창의적 글쓰기나 학생들의 생각을 넓히는 커리큘럼을 좋아하셔서 트윈클 등록하게 되어 아주 기대된다고 하심.
아이의 성향은 선생님에게 따로 전달해 잘 적응할수있도록 관리하겠다고 안내드림.
her mother said that she enrolled her in the Twinkle educational environment, which offers many opportunities to overcome her introverted nature. So, her mother said quite actively that although it might take some time for her to adapt initially, they would provide active support for her at home. Her mother expressed that she hopes she will settle in well, but if there are any difficulties, she should let us know.</t>
      </text>
    </comment>
    <comment authorId="0" ref="K18">
      <text>
        <t xml:space="preserve">학생이 굉장히 밝고 말하는걸 좋아한다고함. FM 스타일은 아니고 활달해서 혹시 선생님들께 무례하게 굴진 않을까 걱정한다고 하셔서 학생이 정확하게 알고 배워가야하는 부분에 대해서 지도하겠다고 말씀드림. Entrance Test 코멘트에도 little bit rude, 라고 적혀있음. 2/1 결석으로 둘째주 방학 이후 Homework + 안내드렸으며 Arthur 선생님에게 학습한 숙제 없으니 전반적으로 중요한 부분 포인트 집어 학습할 수 있도록 전달함. 
학생이 선생님 말을 정확하게 경청하고 대답할 수 있도록 무례한 행동에 대해서는 정확히 지도 요청하심.</t>
      </text>
    </comment>
    <comment authorId="0" ref="L18">
      <text>
        <t xml:space="preserve">mi 로 옮김/트윈클 다니면서 에세이 향상되지 않는 점이 아쉽다고 함/mi 레벨테스트 결과가 제일 낮은반으로 나와 의아했다고 함/mi 인터뷰는 책을 읽고 선생님과 토론을 나누는 형식인데 요점을 파악 못해 결과가 안 좋은 거 같다고 함/트윈클 그리워하면 돌아오라고 함/3개월 레벨 유지 안내</t>
      </text>
    </comment>
    <comment authorId="0" ref="K20">
      <text>
        <t xml:space="preserve">지안이는 너무 트윈클에서 잘 배움.집에서 가까운 학원으로 옮겼지만 트윈클로 돌아올 수 있다고 함/트윈클에서 폭풍성장시기가 있었고 숙제가 줄어든 점이 아쉽다고 함/mi가 수업료 인상했다고 말씀해주 심/대부분의 어머님이 트윈클의 숙제가 많은 점으로 이야기가 많은데 좋은 의견 감사하다고 함</t>
      </text>
    </comment>
    <comment authorId="0" ref="K23">
      <text>
        <t xml:space="preserve">엘라는 트윈클 다닌지 1개월이 됐다. 한달동안 숙제와 역사수업을 너무 어려워해 퇴원을 결정했다. 부스터 클래스, 숙제 도움 등 여러번 엘라가 적응할 수 있도록 도와주겠다고 제안을 했지만 안타깝게도 퇴원을 결정했다</t>
      </text>
    </comment>
    <comment authorId="0" ref="K24">
      <text>
        <t xml:space="preserve">벤은 휴식을 취하기 위해 퇴원을 결정했다. 긴시간 벤을 트윈클에 보내주셔 감사인사를 했고 어머님도 감사하다고 했다. 벤이 트윈클을 그리워하면 언제든지 돌아와달라고 했고 레벨 유지기간을 안내했다</t>
      </text>
    </comment>
    <comment authorId="0" ref="K25">
      <text>
        <t xml:space="preserve">외국에서 살았어서 말하기는 비교적 쉽게 하지만 학습적인 부분의 정리가 필요한 상황이지만, 아이가 미국적인 수업환경에서 수업을 했으면 하셔서 트윈클 선택하게 되심.
특히 글쓰기를 할때 단락에 맞춰서 에세이를 쓰는것이 개선되었으면 하셔서, 트윈클 글쓰기에서 한가지 주제별로 글쓰기skill 배운는점, cretive writing 주제들로 설명드림.
아이가 예민한 편이고 여자선생님을 좋아해서, 담임선생님의 부드러운 성향들 좋은 피드백 어머니께 공유드리고, 그래도 아이가 여자선생님을 선호한다면 보강수업으로 여자선생님 수업을 경험해보고 6개월 이후 반이동 가능한점 제안드림.</t>
      </text>
    </comment>
    <comment authorId="0" ref="L25">
      <text>
        <t xml:space="preserve">친구들이 그만두거나 반이동하고 선생님도 바뀌게 되어 퇴원 결정/ 다른 학원 고려중이고 현재는 쉬고 있다고 함/가장 큰 퇴원사유는 시간이 늦다고 함/ 불편한 점은 엘리베이터라고 함</t>
      </text>
    </comment>
    <comment authorId="0" ref="K27">
      <text>
        <t xml:space="preserve">학원 전반적인 사항에 모두 궁금해하심, 숙제 단어시험, 선생님 경력사항, 반의 남녀성비 등등.
천천히 설명드렸고 나연학생은 처음에는 낯을 많이 가려서 조용하게 지낼 수 있으나 말을 많이 걸어주거나 칭찬을 해주면
더 열심히 하려고 노력하는 아이라고 하심.</t>
      </text>
    </comment>
    <comment authorId="0" ref="M27">
      <text>
        <t xml:space="preserve">해외로 내일 연락다시 달라고 함 2/20</t>
      </text>
    </comment>
    <comment authorId="0" ref="K28">
      <text>
        <t xml:space="preserve">교실 들어갈때 우는 문제로 아빠 삼촌 가족들이 힘들어했다고 함/ 트윈클 커리큘럼 너무 좋았는데 아쉽다고 함/ 조금 더 커서 보내겠다고 했고 대기는 삭제요청했고 재시험 보겠다고 함/감사했다고 하심</t>
      </text>
    </comment>
    <comment authorId="0" ref="K29">
      <text>
        <t xml:space="preserve">승부욕이 많고 욕심이 많아 열심히 스스로 하는편이라고함. 처음에는 부끄러움이 있어서 잘 이끌어주시길 부탁하셨고 잘하고싶고 실수하기 싫어한다고함. 학생이 스스로 목동에서 잘하는데로 옮기고싶었다고함 MI, Twinkle 엄마가 추천했고 시험 보고 본인이 트윈클 옮겨달라고 선택함. 칭찬받으면 더 열심히하는 경향이 있어 기대가 크다고함.</t>
      </text>
    </comment>
    <comment authorId="0" ref="L29">
      <text>
        <t xml:space="preserve">학교 스케쥴로 퇴원함/ 어머님께 저녁반 대기 잘 되어 있고 자리나면 연락드린다고 함/ 라이딩중이라 나중에 연락주신다고 함</t>
      </text>
    </comment>
    <comment authorId="0" ref="K30">
      <text>
        <t xml:space="preserve">수학학원 스케쥴로 청담으로 이동하겠다고 함. 그동안 너무 감사했다고 하셨고 연우가 아이리스 선생님 너무 좋아했다고 하시면서 선생님 변경되서 연우가 아쉬워했다고 함/ 6시20분 수업시간이 너무 늦는것도 이야기함/청담은 4시에 시작한다고 함/레벨 유지 기간 3개월 안내했고 트윈클 그리워하면 언제든 돌아오라고 함/어머님께서 거듭 감사하다고 함</t>
      </text>
    </comment>
    <comment authorId="0" ref="K32">
      <text>
        <t xml:space="preserve">레벨테스트 영역별 결과에 관심이 많으셔서 그부분 중점적으로 설명드리고, 다른 부분에 대해서는 쿨하게 들으시는 타입. 질문이 거의 없으셨음.
하진이가  적극적이고 말이 아주 많은 성향이라 트윈클 토론수업에서 학습을 즐기길 바란다고 하셨고, 글쓸때 옆에서 도와주지 않으면 브레 러프하게 쓰는 경향이 있어서 그 부분이 개선되길 바라심.
글을 쓰기전에 아아이의 생각을 풍부하게 하는 브레인스토밍과정과 배경지식등 준비하는 시간이 잘 형성되면 글쓰기의 질은 나아지는 부분 설명드리고, 트윈클에서 한가지 주제에 몰입하여 생각하는 시간을 많이 가지고 학습적인 부부을 더하면 개선이 될것이라 설명드림.</t>
      </text>
    </comment>
    <comment authorId="0" ref="L32">
      <text>
        <t xml:space="preserve">두수업 모두 재밌어하고, 숙제양이 많다고 생각들지 않고 단어시험준비도 천천히 적응하고 있다고 하심. 다른 친구들은 단어시험 보통 몇점 받는지 궁금해하셔서, 매 주차마다 배우는 내용에 따라서 아이들이 체감하는 난이도가 다르긴하나 적응하는 1달이상 되면 보통 80점이상을 목표로 하고 90점이상 학생들이 수업의 반이상은 된다고 전달드림.</t>
      </text>
    </comment>
    <comment authorId="0" ref="K34">
      <text>
        <t xml:space="preserve">트윈클 프랩반학생. 늦은시간이라 걱정이 되시지만 트윈클에서 공부하고 싶어서 시도해보기로 하심. 커리큘럼, 테스트, 레벨업, 정책등에 대해 알려드림.</t>
      </text>
    </comment>
    <comment authorId="0" ref="L34">
      <text>
        <t xml:space="preserve">단어시험준비부족
시도하지 않는 모습이 있어서 가정의 지도 부탁드림
반이동후 아이가 잘 적응할수 있도록 선생님도 아이들과 관계에 더 노력하고 있으며, 학습지도에 힘쓰겠다고 전달드림
아이가 단어시험을 가정에서 철저하게 준비하는 타입이 아니고, 수업에서 영어를 스트레스 받지 않는 선에서 지도하고 하고 싶으셨다고 하심. 남자선생님들이랑 공부하다가 여자선생님이랑 하고, 선생님이 엄하시니 조금더 어려웠던것 같다고 하셔서, 선생님께서도 다른 회유책으로 아이들과 관계를 먼저 노력하시고 용기를 북돋아서 수업진해하실거니 2학년 준비를 위해서라도 경표가 기본적인 단어시험 준비와 수업에 대한 진지함을 길러서 성취감도 얻기를 바란다고 설명드림.</t>
      </text>
    </comment>
    <comment authorId="0" ref="N34">
      <text>
        <t xml:space="preserve">수업에 집중하기 어려워하며 선생님이 정답을 불러주는 상황이 오지 않으면 스스로 하기 어려워한다고 함. 어머님께 전화드렸고 자신의 관심사에만 집중하는 모습을 보인다고하며 기복이 있는 학생이라고하셨음. 다른생각이 많고 꾸준함이 덜하지만 오늘은 오랜만에 아빠를 만나는 날이라 더 신나서 그랬던 것 같다고 말씀하심. 지난 10월 Naomi 부원장님과 통화한 내용처럼 학습관련해서 너무 몰아붙이고싶지는 않다고 하셨으며 다른 친구들에게 방해되지만 않는다면 자신의 페이스대로 갈 수 있도록 나이스하게 요청하심. 과학을 좋아해서 Non-Fiction 수업을 좋아하며 트윈클을 너무 좋아한다고 함. 다음주에 학생과 만나서 트윈클 웹사이트의 코딩 관련 보여주고 흥미 유도할 예정.
기복이 약간있음
꾸준함이 덜함
다른 생각 많이하고
아빠가 온다그래서 신나함
안듣는것 같은데 들음
영어를 배우는 것 자체를 
픽션을 좀 싫어함
싫어할까봐 푸쉬는 하지 않음
흥미있는거에 하루종일 미쳐서 코딩
과학을 너무 좋아해서 Non-fiction 을 좋아함</t>
      </text>
    </comment>
    <comment authorId="0" ref="O34">
      <text>
        <t xml:space="preserve">수업 시간 참여 저조. 의욕 없음. 
숙제 몇주간 미흡. 
어머님께 상황 설명 드리고 지금 몇번 이런 이슈가 있엇고 이전 선생님들뿐만 아니라 이번년도에 바뀐 선생님도 같은 부분 걱정. 어머님께 마지막 경고임을 확실 말슴 드리고 나아지지 않으면 다음번에는 yellow card 언급 드림. 
어머님 같이 신경써서 숙제 도와주시기로 하셨고 아이와도 진지하게 이야기 나누기를 부탁드림.</t>
      </text>
    </comment>
    <comment authorId="0" ref="P34">
      <text>
        <t xml:space="preserve">지난번 상담 드렸듯이 숙제 및 수업 참여도와 학업 의지에 대한 발전이 보이지 않고 여전히 숙제나 수업 참여가 저조하여 선생님께서 yellow card를 다시 말슴 주셨고 원장님게서 컨펌 하신 점 안내드림. 
어머님께 경표와 먼저 이야기 나누시고 열시히 노력하고 지도받은 부분 잘 따라 갈 수 있을 기회라고 말씀 드림. 어머님 경표와 이야기 나누시기로 함. 다음주에 발급 예정. 
어머님 다시 전화 오셔서 2월말까지 수업하고 퇴원 말씀 하심. 경표에게 더 맞는 학원을 찾아 보고 싶다고 하심. yellow card는 주지 않았으면 좋겟다고 부탁하심. 경표에게 따로 얘기는 안하기로 함.</t>
      </text>
    </comment>
    <comment authorId="0" ref="K35">
      <text>
        <t xml:space="preserve">나쁘게 말하면 산만하다고 표현하셨고 학업이나, 성향적으로 크게 전달사항이나 궁금한것은 없으셨음. 바쁘신지 급하게 전화 끊으셨고 트윈클에 대한 이미지가 좋아 큰 걱정 없어보이심.</t>
      </text>
    </comment>
    <comment authorId="0" ref="K36">
      <text>
        <t xml:space="preserve">트윈클U에서 2주공부하고 목동 오프라인수업으로 전원
어머니께서 매우 꼼꼼하시고 트윈클에 관심이 많으셨음.
학원다닐때 마다 숙제관리가 안되는 부분에 대한 경험이 있으셔서 숙제가 안될경우 가정으로 알려주거나 어려움에 대한 학원의 서포트를 기대하셨고, 4점대로 소설수준이 점프업 되다보니 학생이 잘 적응할수 있을지도 걱정하셔서 한달뒤에 전체적인 적응도 업데이트 드리는 상담 진행하기도 설명드림.
테스트를 볼때마다 글쓰기의 생각이 어리다고 받아서, 트윈클에서 생각이 자라길 바라셨고, 영어유치원에서는 노출시간이 많아서 말하기를 곧 잘했는데 초등학교부터 말하기 시간이 줄어드니 말하기 능력도 낮아져서 말하는 기회가 자연스럽고 많은 트윈클로 선택하게 되셨다고 하심.</t>
      </text>
    </comment>
    <comment authorId="0" ref="L36">
      <text>
        <t xml:space="preserve">학생이 두 선생님 수업 너무 재밌게 잘 듣고 있고, Twinkleu에서 이미 수업을 듣고 온 만큼 오프라인 수업에서도 수업 내용과 커리큘럼 등에 적응 등에 문제는 없다고 하심.
다만 숙제 관련하여 아윤이가 숙제를 하는데 오래 걸리고 아직까진 100프로 익숙해지지 않은 거 같다하심. 이에 Twinkleu에서 숙제방식에 대해 여쭤보니 사실 TwinkleU 등원시에도 타학원 스케줄 문제로 숙제를 거의 제대로 하지 못했다고 하셨고, 어머님께선 곧 있으면 익숙해질거같다고 하셔서 큰 걱정은 안 한다고 하셨으나 현재 이런 학생들을 대상으로Homework Help 반 개설되어있고 참여 권유해드리고 홈페이지 통해 예약하는 법도 설명해드림. 
</t>
      </text>
    </comment>
    <comment authorId="0" ref="E71">
      <text>
        <t xml:space="preserve">RC 95 학생으로 SLP 1년차임에도 불구하고 1년내에 AR 5점대 도달함. 언어적 습득이 빠른 학생일 것으로 고려. 
학생의 부족한 부분에 대해서 긍정적인 영향 받을 수 있는 레벨의 학생들로 구성된 반임을 안내드렸고 트윈클에서 수업 진행하며 레벨업이 필요하다고 판단되면 선제적으로 연락드리겠다고함.</t>
      </text>
    </comment>
  </commentList>
</comments>
</file>

<file path=xl/comments1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9">
      <text>
        <t xml:space="preserve">[Hailey] Return check: No return planned.</t>
      </text>
    </comment>
  </commentList>
</comments>
</file>

<file path=xl/sharedStrings.xml><?xml version="1.0" encoding="utf-8"?>
<sst xmlns="http://schemas.openxmlformats.org/spreadsheetml/2006/main" count="4532" uniqueCount="2581">
  <si>
    <t xml:space="preserve"> 2025 MONDAY &amp; FRIDAY</t>
  </si>
  <si>
    <t>Class</t>
  </si>
  <si>
    <r>
      <rPr>
        <rFont val="Arial"/>
        <b/>
        <color theme="1"/>
        <sz val="10.0"/>
      </rPr>
      <t xml:space="preserve">1E
Bananas
</t>
    </r>
    <r>
      <rPr>
        <rFont val="Arial"/>
        <b/>
        <color rgb="FFFF0000"/>
        <sz val="10.0"/>
      </rPr>
      <t>(Feb.28 2025)</t>
    </r>
  </si>
  <si>
    <t>1A
Fiery Dragons
(Jan.2025)</t>
  </si>
  <si>
    <r>
      <rPr>
        <rFont val="Arial"/>
        <b/>
        <color theme="1"/>
        <sz val="10.0"/>
      </rPr>
      <t xml:space="preserve">1E
Apples
</t>
    </r>
    <r>
      <rPr>
        <rFont val="Arial"/>
        <b/>
        <color rgb="FFFF0000"/>
        <sz val="10.0"/>
      </rPr>
      <t>(Feb.28 2025)</t>
    </r>
  </si>
  <si>
    <t>1E
Wild Whiskers
(Jan.2025)</t>
  </si>
  <si>
    <t>1E
Curious Caterpillars
(Jan.2025)</t>
  </si>
  <si>
    <t>1T
Sunny Skies
(Jan.2025)</t>
  </si>
  <si>
    <t>1A
Joyful Jellyfish
(Jan.2025)</t>
  </si>
  <si>
    <t>2E
Sugar Sprinkles
(Jan.2024)</t>
  </si>
  <si>
    <t>2T
Gummy Bears
(April 2024)</t>
  </si>
  <si>
    <t>3A
Savvy Sea Otters
(Jan. 2023)</t>
  </si>
  <si>
    <t>3T
Silver Cobras
(Jan. 2023)</t>
  </si>
  <si>
    <t>3H
Smiling Green Apples
(Mar. 2023)</t>
  </si>
  <si>
    <t>4A
United Hamsters
(Jan. 2022)</t>
  </si>
  <si>
    <t>5E
Magical Blue Dragons
(Mar. 2021)</t>
  </si>
  <si>
    <t>5A
Starlight Screamers
(Mar. 2021)</t>
  </si>
  <si>
    <t>6E
Magnificent
Tigers
(Jan. 2020)</t>
  </si>
  <si>
    <t>6A
Luminous Whales
(Mar. 2020)</t>
  </si>
  <si>
    <t>8E
Twinkling Stars
(Jan. 2020)</t>
  </si>
  <si>
    <t>Time</t>
  </si>
  <si>
    <t>M/F 2:30-5:30</t>
  </si>
  <si>
    <t>M/F 2:40-5:40</t>
  </si>
  <si>
    <t>M 2:40-5:40
F 2:30-5:30</t>
  </si>
  <si>
    <t>M/F 2:50~5:50</t>
  </si>
  <si>
    <t>M/F 2:40~5:40</t>
  </si>
  <si>
    <t>M/F 6:10~9:10</t>
  </si>
  <si>
    <t>M/F 6:00~9:00</t>
  </si>
  <si>
    <t>M/F 6:10-9:10</t>
  </si>
  <si>
    <t>M/F 6:00-9:00</t>
  </si>
  <si>
    <t>ONLY F 6:30-8:30</t>
  </si>
  <si>
    <t>Teacher</t>
  </si>
  <si>
    <t>Aaisha(F)/
Konstantinos</t>
  </si>
  <si>
    <t>Dorothy/Dylan(F)</t>
  </si>
  <si>
    <t>Konstantinos/Xing(F)</t>
  </si>
  <si>
    <t>Mimi/Aaisha(F)</t>
  </si>
  <si>
    <t>Xing(F)/Mimi</t>
  </si>
  <si>
    <t>James(F)/Yunah</t>
  </si>
  <si>
    <t>Dylan(F)/Dorothy</t>
  </si>
  <si>
    <t>Laura (F/NF)</t>
  </si>
  <si>
    <t>Payton(F)/Andrew</t>
  </si>
  <si>
    <t>Payton(F)/Yunah</t>
  </si>
  <si>
    <t>Dylan(F)/Mimi</t>
  </si>
  <si>
    <t>Aaisha(F)/Andrew</t>
  </si>
  <si>
    <t>Mimi/James(F)</t>
  </si>
  <si>
    <t>Xing(F)/Konstantinos</t>
  </si>
  <si>
    <t>Arthur/Gregory(F)</t>
  </si>
  <si>
    <t>Jayson/Aaisha(F)</t>
  </si>
  <si>
    <t>Marco/Erin(F)</t>
  </si>
  <si>
    <t>Jayson (NF)</t>
  </si>
  <si>
    <t>Blair 유현서</t>
  </si>
  <si>
    <t>Olivia 이슬비</t>
  </si>
  <si>
    <t>Joon 임준우</t>
  </si>
  <si>
    <t>Jun 홍아준</t>
  </si>
  <si>
    <t>Jane 김재인</t>
  </si>
  <si>
    <t>Leo 목시훈</t>
  </si>
  <si>
    <t>Thomas 정원석</t>
  </si>
  <si>
    <t>Claire 전보미</t>
  </si>
  <si>
    <t>Elena 나여원</t>
  </si>
  <si>
    <t>Leo 오진헌</t>
  </si>
  <si>
    <t>Stella 박하윤</t>
  </si>
  <si>
    <t>Leo 김서중</t>
  </si>
  <si>
    <t>Raphael 정지호</t>
  </si>
  <si>
    <t>Irene 이윤민</t>
  </si>
  <si>
    <t>Hamin 장하민</t>
  </si>
  <si>
    <t>Kevin 강경빈</t>
  </si>
  <si>
    <t>Minseo 김민서</t>
  </si>
  <si>
    <t>Theodore 김준수</t>
  </si>
  <si>
    <t>Zayn 이제인</t>
  </si>
  <si>
    <t>Speed 박정우</t>
  </si>
  <si>
    <t>Joe 이지호</t>
  </si>
  <si>
    <t>Lily 박윤하</t>
  </si>
  <si>
    <t>Jun 권준</t>
  </si>
  <si>
    <t>Alice 윤보하</t>
  </si>
  <si>
    <t>Lauren 송주윤</t>
  </si>
  <si>
    <t xml:space="preserve">Jea 백제아 </t>
  </si>
  <si>
    <t>Euan 한유안</t>
  </si>
  <si>
    <t>Jaeseong 김재성</t>
  </si>
  <si>
    <t>Julie 김하윤</t>
  </si>
  <si>
    <t>Ellie 장서연</t>
  </si>
  <si>
    <t>Daniel 김호윤</t>
  </si>
  <si>
    <t>Ellie 김도담</t>
  </si>
  <si>
    <t>Alexander 추현석</t>
  </si>
  <si>
    <t>Alvin 이준우</t>
  </si>
  <si>
    <t>Lisa 민소현</t>
  </si>
  <si>
    <t>Junghoon 윤정훈</t>
  </si>
  <si>
    <t>Jayden 정시우</t>
  </si>
  <si>
    <t>Dojin 김도진</t>
  </si>
  <si>
    <t>Ellie 윤서원</t>
  </si>
  <si>
    <t>Berry 이지은</t>
  </si>
  <si>
    <t>Juwon 최주원</t>
  </si>
  <si>
    <t>Henry 이현승</t>
  </si>
  <si>
    <t>Selina  유서원</t>
  </si>
  <si>
    <t>Lucy 성채은</t>
  </si>
  <si>
    <t>Sooah 이수아</t>
  </si>
  <si>
    <t>Yejune 조예준</t>
  </si>
  <si>
    <t>Irene 권재린</t>
  </si>
  <si>
    <t>Ryan 김이한</t>
  </si>
  <si>
    <t>Jayden 연지한</t>
  </si>
  <si>
    <t>Soul 유소울</t>
  </si>
  <si>
    <t>Daniel 김단우</t>
  </si>
  <si>
    <t xml:space="preserve"> Bella 이시우</t>
  </si>
  <si>
    <t>Rina 정서현</t>
  </si>
  <si>
    <t>Sean 이시현</t>
  </si>
  <si>
    <r>
      <rPr>
        <rFont val="Arial"/>
        <color theme="1"/>
        <sz val="10.0"/>
      </rPr>
      <t xml:space="preserve">Daniel 김도율
</t>
    </r>
    <r>
      <rPr>
        <rFont val="Arial"/>
        <color rgb="FFFF0000"/>
        <sz val="10.0"/>
      </rPr>
      <t>3/3부터</t>
    </r>
  </si>
  <si>
    <t>Doris 이하늘 F</t>
  </si>
  <si>
    <t>Alice 김세아</t>
  </si>
  <si>
    <t>June 유한준</t>
  </si>
  <si>
    <r>
      <rPr>
        <rFont val="Arial"/>
        <color theme="1"/>
        <sz val="10.0"/>
      </rPr>
      <t xml:space="preserve">Arin 성아린
</t>
    </r>
    <r>
      <rPr>
        <rFont val="Arial"/>
        <color rgb="FFFF0000"/>
        <sz val="10.0"/>
      </rPr>
      <t>Hold 2/3 ~ 2/28</t>
    </r>
  </si>
  <si>
    <t>Shelly 전상리</t>
  </si>
  <si>
    <r>
      <rPr>
        <rFont val="Arial"/>
        <color theme="1"/>
        <sz val="10.0"/>
      </rPr>
      <t xml:space="preserve">Daisy 최아현 
</t>
    </r>
    <r>
      <rPr>
        <rFont val="Arial"/>
        <color rgb="FFFF0000"/>
        <sz val="10.0"/>
      </rPr>
      <t>Hold 2/10 ~ 2/28</t>
    </r>
  </si>
  <si>
    <t xml:space="preserve">Emma 유영현 </t>
  </si>
  <si>
    <r>
      <rPr>
        <rFont val="Arial"/>
        <color rgb="FF000000"/>
      </rPr>
      <t xml:space="preserve">Seonjune 박선준
</t>
    </r>
    <r>
      <rPr>
        <rFont val="Arial"/>
        <color rgb="FFFF0000"/>
      </rPr>
      <t>Hold 2/3~2/28</t>
    </r>
  </si>
  <si>
    <t>Eric 김승환</t>
  </si>
  <si>
    <t>Mason 홍승우</t>
  </si>
  <si>
    <t>Elena 정채원</t>
  </si>
  <si>
    <t>Lily 홍은수</t>
  </si>
  <si>
    <r>
      <rPr>
        <rFont val="Arial"/>
        <color rgb="FF000000"/>
        <sz val="10.0"/>
      </rPr>
      <t xml:space="preserve">Jane 이보경
</t>
    </r>
    <r>
      <rPr>
        <rFont val="Arial"/>
        <color rgb="FFFF0000"/>
        <sz val="10.0"/>
      </rPr>
      <t>2/3부터 컴백</t>
    </r>
  </si>
  <si>
    <t>Jin 이진현</t>
  </si>
  <si>
    <t>Alex 조윤재</t>
  </si>
  <si>
    <t>Woojin 강우진</t>
  </si>
  <si>
    <t>Noah 이시우</t>
  </si>
  <si>
    <t>Charlotte 박수민</t>
  </si>
  <si>
    <t>Jennie 허연아</t>
  </si>
  <si>
    <t>Lincoln 김유건</t>
  </si>
  <si>
    <t>Sophia 문지유</t>
  </si>
  <si>
    <t>Eric 유주원</t>
  </si>
  <si>
    <t>Hain 정하인</t>
  </si>
  <si>
    <t>Yuan 이유안 F</t>
  </si>
  <si>
    <t>Kai 이공현</t>
  </si>
  <si>
    <t>Ella 안서빈</t>
  </si>
  <si>
    <t>Lauren 전채은</t>
  </si>
  <si>
    <t>Elena 김지민</t>
  </si>
  <si>
    <t>Henry 정윤호</t>
  </si>
  <si>
    <t>Doyun 이도윤</t>
  </si>
  <si>
    <t>Joy 신현준</t>
  </si>
  <si>
    <t>Jayden 오주원</t>
  </si>
  <si>
    <t xml:space="preserve">Claire 신서현 </t>
  </si>
  <si>
    <t>Dylan 박동균</t>
  </si>
  <si>
    <t>Sua 권수아</t>
  </si>
  <si>
    <t>Roy 김태하</t>
  </si>
  <si>
    <t>Olivia 조서영</t>
  </si>
  <si>
    <t>Eric 강유준</t>
  </si>
  <si>
    <t>Sophia 윤다현</t>
  </si>
  <si>
    <t>Sandy 조예진</t>
  </si>
  <si>
    <t>Carrie 신무연</t>
  </si>
  <si>
    <r>
      <rPr>
        <rFont val="Arial"/>
        <color theme="1"/>
        <sz val="10.0"/>
      </rPr>
      <t xml:space="preserve">Jane 권재인
</t>
    </r>
    <r>
      <rPr>
        <rFont val="Arial"/>
        <color rgb="FFFF0000"/>
        <sz val="10.0"/>
      </rPr>
      <t>Hold 2/17~2/28</t>
    </r>
  </si>
  <si>
    <t>Jenny 임유정</t>
  </si>
  <si>
    <t xml:space="preserve">Jia 유지아 </t>
  </si>
  <si>
    <t>Junwoo 이준우</t>
  </si>
  <si>
    <t>Jenny 장서연</t>
  </si>
  <si>
    <t>Leo 전은호</t>
  </si>
  <si>
    <t>Emily 김태은</t>
  </si>
  <si>
    <t>Envy 김안비</t>
  </si>
  <si>
    <t>Ayla 임재이</t>
  </si>
  <si>
    <r>
      <rPr>
        <rFont val="Arial"/>
        <color theme="1"/>
      </rPr>
      <t xml:space="preserve">Rijae 윤이재
</t>
    </r>
    <r>
      <rPr>
        <rFont val="Arial"/>
        <color rgb="FFFF0000"/>
      </rPr>
      <t>Hold 2/24~3/23</t>
    </r>
  </si>
  <si>
    <r>
      <rPr>
        <rFont val="Arial"/>
        <color rgb="FF000000"/>
        <sz val="10.0"/>
      </rPr>
      <t xml:space="preserve">Roy 김규민 
</t>
    </r>
    <r>
      <rPr>
        <rFont val="Arial"/>
        <color rgb="FF0000FF"/>
        <sz val="10.0"/>
      </rPr>
      <t>KDG 2/28</t>
    </r>
  </si>
  <si>
    <t>Emelia 추윤서</t>
  </si>
  <si>
    <t>Soobin 김수빈</t>
  </si>
  <si>
    <t>Hailey 소서연</t>
  </si>
  <si>
    <t>Daniel 정시원</t>
  </si>
  <si>
    <t>Grace 조서우</t>
  </si>
  <si>
    <t>Ian 신이안</t>
  </si>
  <si>
    <t>Hailey 장하연</t>
  </si>
  <si>
    <r>
      <rPr>
        <rFont val="Arial"/>
        <color rgb="FF000000"/>
      </rPr>
      <t xml:space="preserve">Tina 양서영
</t>
    </r>
    <r>
      <rPr>
        <rFont val="Arial"/>
        <color rgb="FFFF0000"/>
      </rPr>
      <t>2/3부터 반이동</t>
    </r>
  </si>
  <si>
    <t>Henry 송유현</t>
  </si>
  <si>
    <t>James 박준민</t>
  </si>
  <si>
    <t>Rhyme 김운율
 2/28까지</t>
  </si>
  <si>
    <t>Joy 박시연</t>
  </si>
  <si>
    <t>Anna 이주하</t>
  </si>
  <si>
    <r>
      <rPr>
        <rFont val="Arial"/>
        <color rgb="FF000000"/>
        <sz val="10.0"/>
      </rPr>
      <t xml:space="preserve">Flynn 박도균
</t>
    </r>
    <r>
      <rPr>
        <rFont val="Arial"/>
        <color rgb="FFFF0000"/>
        <sz val="10.0"/>
      </rPr>
      <t>2/3 부터</t>
    </r>
  </si>
  <si>
    <r>
      <rPr>
        <rFont val="Arial"/>
        <color rgb="FFFFFFFF"/>
      </rPr>
      <t xml:space="preserve">David 이준서
</t>
    </r>
    <r>
      <rPr>
        <rFont val="Arial"/>
        <color rgb="FFFF0000"/>
      </rPr>
      <t>3/3부터 반이동</t>
    </r>
  </si>
  <si>
    <r>
      <rPr>
        <rFont val="Arial"/>
        <color rgb="FF000000"/>
        <sz val="10.0"/>
      </rPr>
      <t xml:space="preserve">Irene 이아린
</t>
    </r>
    <r>
      <rPr>
        <rFont val="Arial"/>
        <color rgb="FFFF0000"/>
        <sz val="10.0"/>
      </rPr>
      <t>2/24부터 반이동</t>
    </r>
  </si>
  <si>
    <t>Lily 김서은</t>
  </si>
  <si>
    <r>
      <rPr>
        <rFont val="Arial"/>
        <color rgb="FF000000"/>
        <sz val="10.0"/>
      </rPr>
      <t xml:space="preserve">Jennie 최지율
</t>
    </r>
    <r>
      <rPr>
        <rFont val="Arial"/>
        <color rgb="FFFF0000"/>
        <sz val="10.0"/>
      </rPr>
      <t>2/3부터 반이동</t>
    </r>
  </si>
  <si>
    <t>Makeup
Class</t>
  </si>
  <si>
    <t>3/7
Bella 김다니
Delightful Dinos</t>
  </si>
  <si>
    <t>2/28
Hooni 윤상후
Radiant Rockets</t>
  </si>
  <si>
    <t>2/28
Ian 이이안
Mystical Gerbils</t>
  </si>
  <si>
    <r>
      <rPr>
        <rFont val="Inconsolata"/>
        <b/>
        <color rgb="FF000000"/>
        <sz val="9.0"/>
      </rPr>
      <t xml:space="preserve">2/28
Amy </t>
    </r>
    <r>
      <rPr>
        <rFont val="Inconsolata"/>
        <b val="0"/>
        <color rgb="FF000000"/>
        <sz val="9.0"/>
      </rPr>
      <t>김예지</t>
    </r>
    <r>
      <rPr>
        <rFont val="Inconsolata"/>
        <b/>
        <color rgb="FF000000"/>
        <sz val="9.0"/>
      </rPr>
      <t xml:space="preserve">
Astonishing Owls</t>
    </r>
  </si>
  <si>
    <t>2/28
Ian 정아윤
Whimsical Willows</t>
  </si>
  <si>
    <t>감사합니다.</t>
  </si>
  <si>
    <t>Total</t>
  </si>
  <si>
    <t>대기자파일로 관리</t>
  </si>
  <si>
    <t>Lynn 백수린
11/19</t>
  </si>
  <si>
    <t>Joy 조은혜
2/13</t>
  </si>
  <si>
    <t>Yejun 장예준
12/27</t>
  </si>
  <si>
    <t>Level up student</t>
  </si>
  <si>
    <t>Level Issue</t>
  </si>
  <si>
    <t>Stella 김서윤
11/19</t>
  </si>
  <si>
    <t>Jiyeon 최지연
2/4</t>
  </si>
  <si>
    <t>Before sending new student email</t>
  </si>
  <si>
    <t>Double marking due to class change</t>
  </si>
  <si>
    <t>Dana 유다경
9/3</t>
  </si>
  <si>
    <t>Luna 오나연
1/15</t>
  </si>
  <si>
    <t>Dan 변도윤
2/5</t>
  </si>
  <si>
    <t>Total:</t>
  </si>
  <si>
    <t>Ted 정승우
2/6</t>
  </si>
  <si>
    <t>Jenny 박예솔 
1/22</t>
  </si>
  <si>
    <t>All days total:</t>
  </si>
  <si>
    <r>
      <rPr>
        <rFont val="Arial"/>
        <color rgb="FF000000"/>
        <sz val="10.0"/>
      </rPr>
      <t xml:space="preserve">Chloe 김시은
</t>
    </r>
    <r>
      <rPr>
        <rFont val="Arial"/>
        <color rgb="FF434343"/>
        <sz val="10.0"/>
      </rPr>
      <t>1/14</t>
    </r>
  </si>
  <si>
    <t>Sam 이승빈
2/11</t>
  </si>
  <si>
    <t>Dohyun 이도현
11/8
재시험 문자 발송</t>
  </si>
  <si>
    <t xml:space="preserve"> </t>
  </si>
  <si>
    <t>2025 MONDAY &amp; WEDNESDAY</t>
  </si>
  <si>
    <r>
      <rPr>
        <rFont val="Arial"/>
        <b/>
        <color theme="1"/>
        <sz val="10.0"/>
      </rPr>
      <t xml:space="preserve">1T
Delightful Dinos
</t>
    </r>
    <r>
      <rPr>
        <rFont val="Arial"/>
        <b/>
        <color rgb="FFFF0000"/>
        <sz val="10.0"/>
      </rPr>
      <t>(Feb.3 2025)</t>
    </r>
  </si>
  <si>
    <t>2E
Glowing Golden Starlights
(Feb.28 2024)</t>
  </si>
  <si>
    <t>2A
Radiant Rockets
(Jan.2024)</t>
  </si>
  <si>
    <t>2T
Marvelous Meerkats 
(Jan.2024)</t>
  </si>
  <si>
    <t>2T
Mystical Gerbils
(April 2024)</t>
  </si>
  <si>
    <t>3E
 Astonishing Owls
(Feb.2023)</t>
  </si>
  <si>
    <t>3E
Brilliant Bishops
(Feb.2023)</t>
  </si>
  <si>
    <t>3A
Special Diamonds
(May 27 2024)</t>
  </si>
  <si>
    <t>3T
Cheerful Crocodiles
(Jan. 2023)</t>
  </si>
  <si>
    <t>4A
Dazzling Galaxies
(Jan. 2022)</t>
  </si>
  <si>
    <t>M/W 2:30~5:30</t>
  </si>
  <si>
    <t>M 2:30~5:30
W 2:40~5:40</t>
  </si>
  <si>
    <t>M/W 2:50~5:50</t>
  </si>
  <si>
    <t>M/W 2:40~5:40</t>
  </si>
  <si>
    <t>M 6:10~9:10
W 6:00~9:00</t>
  </si>
  <si>
    <t>M/W 6:20-9:20</t>
  </si>
  <si>
    <t>M/W 6:00~9:00</t>
  </si>
  <si>
    <t>M/W 6:00-9:00</t>
  </si>
  <si>
    <t>Yunah/Xing(F)</t>
  </si>
  <si>
    <t>Erin(F)/Arthur</t>
  </si>
  <si>
    <t>Marco/James(F)</t>
  </si>
  <si>
    <t>Gregory(F)/Marco</t>
  </si>
  <si>
    <t>Andrew/Payton(F)</t>
  </si>
  <si>
    <t>Jayson/Erin(F)</t>
  </si>
  <si>
    <t>James(F)/Dorothy</t>
  </si>
  <si>
    <t>Gregory(F)/
Konstantinos</t>
  </si>
  <si>
    <t>Annie 장하율</t>
  </si>
  <si>
    <t>Daniel 김하윤</t>
  </si>
  <si>
    <t>Yujin 장유진</t>
  </si>
  <si>
    <t>Daniel 강찬양</t>
  </si>
  <si>
    <t>Ian 이이안</t>
  </si>
  <si>
    <t>Amy 김예지</t>
  </si>
  <si>
    <t>Ella 이시연</t>
  </si>
  <si>
    <t>Evan 류예성</t>
  </si>
  <si>
    <t>Alice 김서우</t>
  </si>
  <si>
    <t>Louise 황재이</t>
  </si>
  <si>
    <t>Lily 김가윤</t>
  </si>
  <si>
    <t>Sofia 하연서</t>
  </si>
  <si>
    <t>Sophia 최시은</t>
  </si>
  <si>
    <t>Joohyun 이주현</t>
  </si>
  <si>
    <r>
      <rPr>
        <rFont val="Arial"/>
        <color theme="1"/>
        <sz val="10.0"/>
      </rPr>
      <t xml:space="preserve">Colin 이승표
</t>
    </r>
    <r>
      <rPr>
        <rFont val="Arial"/>
        <color rgb="FFFF0000"/>
        <sz val="10.0"/>
      </rPr>
      <t>Hold 2/3 ~ 2/26</t>
    </r>
  </si>
  <si>
    <t>Ryan 강민찬</t>
  </si>
  <si>
    <t>Yuju 김유주</t>
  </si>
  <si>
    <t>Ryeowon 박려원</t>
  </si>
  <si>
    <t>Pyo 이경표
~2/26 까지</t>
  </si>
  <si>
    <t>Leo 백선우</t>
  </si>
  <si>
    <t>Yisoo 문이수</t>
  </si>
  <si>
    <t>Jayden 박준하</t>
  </si>
  <si>
    <t>Alynn 권아린</t>
  </si>
  <si>
    <t>Eesom 조이솜</t>
  </si>
  <si>
    <t>Sally 문소은</t>
  </si>
  <si>
    <t>Sean 진서준</t>
  </si>
  <si>
    <t>Suzie 백지원</t>
  </si>
  <si>
    <t>Jenny 강지원</t>
  </si>
  <si>
    <t>Jeremy 김재일</t>
  </si>
  <si>
    <t>Jaewoo 서재우</t>
  </si>
  <si>
    <t>Lily 정하린</t>
  </si>
  <si>
    <t>Ryn 문채린</t>
  </si>
  <si>
    <t>James 김시완</t>
  </si>
  <si>
    <t>Jenny 차해인</t>
  </si>
  <si>
    <t>Channie 방채원</t>
  </si>
  <si>
    <t>Ethan 진이준</t>
  </si>
  <si>
    <t>Sophia 한지원</t>
  </si>
  <si>
    <t>Rian 김리안</t>
  </si>
  <si>
    <t>Joshua 김준일</t>
  </si>
  <si>
    <t>Jaden 황정현</t>
  </si>
  <si>
    <t>Volt 이로운</t>
  </si>
  <si>
    <r>
      <rPr>
        <rFont val="Arial"/>
        <color rgb="FF000000"/>
      </rPr>
      <t xml:space="preserve">Hael 김하엘
</t>
    </r>
    <r>
      <rPr>
        <rFont val="Arial"/>
        <color rgb="FFFF0000"/>
      </rPr>
      <t>2/3부터</t>
    </r>
  </si>
  <si>
    <t>Hooni 윤상후</t>
  </si>
  <si>
    <t>Henry 석지후</t>
  </si>
  <si>
    <t>Luna 황시은</t>
  </si>
  <si>
    <t>Crystal 성유진</t>
  </si>
  <si>
    <t>Tommy 정재우</t>
  </si>
  <si>
    <r>
      <rPr>
        <rFont val="Arial"/>
        <color theme="1"/>
      </rPr>
      <t xml:space="preserve">Ria 김리아
</t>
    </r>
    <r>
      <rPr>
        <rFont val="Arial"/>
        <color rgb="FFFF0000"/>
      </rPr>
      <t>Hold 3/19~3/31</t>
    </r>
  </si>
  <si>
    <t>Logan 이건우</t>
  </si>
  <si>
    <t>Lily 김태이</t>
  </si>
  <si>
    <t>Justin 윤우영</t>
  </si>
  <si>
    <r>
      <rPr>
        <rFont val="Arial"/>
        <color rgb="FF000000"/>
      </rPr>
      <t xml:space="preserve">Emily 이태라
</t>
    </r>
    <r>
      <rPr>
        <rFont val="Arial"/>
        <color rgb="FFFF0000"/>
      </rPr>
      <t>3/3부터 반이동</t>
    </r>
  </si>
  <si>
    <t>Rachael 김나윤</t>
  </si>
  <si>
    <t>Chae been 김채빈</t>
  </si>
  <si>
    <t>Sonny 강명호</t>
  </si>
  <si>
    <t>Yijae 권이재</t>
  </si>
  <si>
    <r>
      <rPr>
        <rFont val="Arial"/>
        <color rgb="FF000000"/>
      </rPr>
      <t xml:space="preserve">Lynn 백수린
</t>
    </r>
    <r>
      <rPr>
        <rFont val="Arial"/>
        <color rgb="FFFF0000"/>
      </rPr>
      <t>Hold 2/3~2/26</t>
    </r>
  </si>
  <si>
    <t>Sienna 김시은</t>
  </si>
  <si>
    <t>Zoe 이자윤</t>
  </si>
  <si>
    <t>Bella 김다니</t>
  </si>
  <si>
    <r>
      <rPr>
        <rFont val="Arial"/>
        <color rgb="FF000000"/>
        <sz val="10.0"/>
      </rPr>
      <t xml:space="preserve">Bella 안소민
</t>
    </r>
    <r>
      <rPr>
        <rFont val="Arial"/>
        <color rgb="FFFF0000"/>
        <sz val="10.0"/>
      </rPr>
      <t>Hold 2/3 ~ 2/26</t>
    </r>
  </si>
  <si>
    <t>Seewon 김시원</t>
  </si>
  <si>
    <t>Sophie 김나연</t>
  </si>
  <si>
    <t>Yuna 차유나</t>
  </si>
  <si>
    <t>Benjamin 이유한</t>
  </si>
  <si>
    <t>Andy 인정우</t>
  </si>
  <si>
    <t>Yuna 이윤아</t>
  </si>
  <si>
    <r>
      <rPr>
        <rFont val="Arial"/>
        <color rgb="FF000000"/>
        <sz val="10.0"/>
      </rPr>
      <t>Justin 윤준석</t>
    </r>
    <r>
      <rPr>
        <rFont val="Arial"/>
        <color rgb="FFFFFFFF"/>
        <sz val="10.0"/>
      </rPr>
      <t xml:space="preserve">
</t>
    </r>
    <r>
      <rPr>
        <rFont val="Arial"/>
        <color rgb="FFFF0000"/>
        <sz val="10.0"/>
      </rPr>
      <t>2/17부터</t>
    </r>
  </si>
  <si>
    <t>Joy 허주희</t>
  </si>
  <si>
    <t>Jenny 정재나</t>
  </si>
  <si>
    <t>Mason 김은수</t>
  </si>
  <si>
    <t>Grace 오주은</t>
  </si>
  <si>
    <t>Olivia 신지유</t>
  </si>
  <si>
    <r>
      <rPr>
        <rFont val="Arial"/>
        <color rgb="FF000000"/>
        <sz val="10.0"/>
      </rPr>
      <t xml:space="preserve">Elly 정서윤
</t>
    </r>
    <r>
      <rPr>
        <rFont val="Arial"/>
        <color rgb="FFFF0000"/>
        <sz val="10.0"/>
      </rPr>
      <t>2/17 부터</t>
    </r>
  </si>
  <si>
    <r>
      <rPr>
        <rFont val="Arial"/>
        <color rgb="FF000000"/>
        <sz val="10.0"/>
      </rPr>
      <t xml:space="preserve">Jayden 기범주
</t>
    </r>
    <r>
      <rPr>
        <rFont val="Arial"/>
        <color rgb="FFFF0000"/>
        <sz val="10.0"/>
      </rPr>
      <t xml:space="preserve"> 2/10 부터 컴백</t>
    </r>
  </si>
  <si>
    <t>Makeup
Class</t>
  </si>
  <si>
    <t>2/26
Serena 김소예
Fantastic
Flying Squirrels</t>
  </si>
  <si>
    <t>2/26
Sooah 이수아
Gummy Bears</t>
  </si>
  <si>
    <t xml:space="preserve">2/26
Ayaan 전상현
Sonic Hedgehogs
</t>
  </si>
  <si>
    <t>2/26
Hailey 소서연
Sugar Sprinkles</t>
  </si>
  <si>
    <t>2/26
Amelia 정하윤
Hungry Chickens</t>
  </si>
  <si>
    <t>3/5
Claire 전보미
Sugar Sprinkles</t>
  </si>
  <si>
    <t>3/3
Ivy 조유민
Shimmering Sharks</t>
  </si>
  <si>
    <t xml:space="preserve">Total: </t>
  </si>
  <si>
    <t>Yeji 김예지
12/13</t>
  </si>
  <si>
    <t>Rose 박지수
2/3</t>
  </si>
  <si>
    <t>Tony 강지한
2/7</t>
  </si>
  <si>
    <t>Leah 정재아
2/3</t>
  </si>
  <si>
    <t>Aaron 이상민
9/25</t>
  </si>
  <si>
    <t>Emma 정재희
2/3</t>
  </si>
  <si>
    <t>Irene 정이현
2/21</t>
  </si>
  <si>
    <t>Iji 이이지
2/11</t>
  </si>
  <si>
    <t>Eden 최이든
2/4</t>
  </si>
  <si>
    <t>Chloe 김규리
5/21</t>
  </si>
  <si>
    <t>Benjamin 이유한
11/22</t>
  </si>
  <si>
    <t>Arin 오아린
1/7</t>
  </si>
  <si>
    <t xml:space="preserve">  </t>
  </si>
  <si>
    <t>Helena 권혜원
3/4</t>
  </si>
  <si>
    <t>Hailey 권혜준
3/4</t>
  </si>
  <si>
    <t>Lua 김루아
10/30
재시험 문자 발송 완료</t>
  </si>
  <si>
    <t xml:space="preserve"> 2025  TUESDAY &amp;  THURSDAY</t>
  </si>
  <si>
    <t>1A
Electric Eels
(Jan.2025)</t>
  </si>
  <si>
    <t>1E
Loyal Sheepdogs
(Jan.2025)</t>
  </si>
  <si>
    <r>
      <rPr>
        <rFont val="Arial"/>
        <b/>
        <color theme="1"/>
        <sz val="10.0"/>
      </rPr>
      <t xml:space="preserve">1E
Cats
</t>
    </r>
    <r>
      <rPr>
        <rFont val="Arial"/>
        <b/>
        <color rgb="FFFF0000"/>
        <sz val="10.0"/>
      </rPr>
      <t>(Feb.27 2025)</t>
    </r>
  </si>
  <si>
    <t>2E
Wacky Wombats
(Feb.29 2024)</t>
  </si>
  <si>
    <t>2E
Fantastic Flying Squirrels
(Jan.2024)</t>
  </si>
  <si>
    <t>2A
Shimmering Sharks
(Jan.2024)</t>
  </si>
  <si>
    <t>2A
Fantastic Foxes
(April 2024)</t>
  </si>
  <si>
    <t>2T
Shiny Penguins
(Feb.29 2024)</t>
  </si>
  <si>
    <t>2H
Cinnamon Rolls
(April 2024)</t>
  </si>
  <si>
    <t>1H 
Avocados
(Mar.2025)</t>
  </si>
  <si>
    <t>3E
Hungry Chickens
(Feb.2023)</t>
  </si>
  <si>
    <t>3E
Sonic Hedgehogs
(Jan.2023)</t>
  </si>
  <si>
    <t>3T
Heroic Jaguars
(Jan.2023)</t>
  </si>
  <si>
    <t>3H
Dancing Donuts
(Mar.2023)</t>
  </si>
  <si>
    <t>3E
Cherries
(Mar.2025)</t>
  </si>
  <si>
    <t>3T
Keen Kakapos
(Jan.2023)</t>
  </si>
  <si>
    <t>3A
The Ruby Raindrops
(Jan.2024)</t>
  </si>
  <si>
    <t>3A
Hot Dogs
(April 2024)</t>
  </si>
  <si>
    <t>4A
Powerful Red Pandas
(Mar. 2022)</t>
  </si>
  <si>
    <t>4E
Crystal Phoenixes
(Jan. 2022)</t>
  </si>
  <si>
    <t>4A
Electric Woodpeckers
(Jan. 2022)</t>
  </si>
  <si>
    <t>4A
Mysterious Sandwiches
(April 2024)</t>
  </si>
  <si>
    <t>4T
Lovely Roses
(Jan. 2022)</t>
  </si>
  <si>
    <t>4T
Hot Coffees 
(Jan. 2022)</t>
  </si>
  <si>
    <t>4H
Rich Kittens
(May 2023)</t>
  </si>
  <si>
    <t>6E
Whimsical Willows
(Sep. 2020)</t>
  </si>
  <si>
    <t>T/TH 2:40-5:40</t>
  </si>
  <si>
    <t>T/TH 2:30-5:30</t>
  </si>
  <si>
    <t>T/TH 2:40~5:40</t>
  </si>
  <si>
    <t>T/TH 2:50~5:50</t>
  </si>
  <si>
    <t>T 2:30~5:30
TH 2:40~5:40</t>
  </si>
  <si>
    <t>T/TH 2:30~5:30</t>
  </si>
  <si>
    <t>T 2:40~5:40
TH 2:30~5:30</t>
  </si>
  <si>
    <t>T/TH 6:00~9:00</t>
  </si>
  <si>
    <t>T/TH 6:10~9:10</t>
  </si>
  <si>
    <t>T 6:10~9:10
TH 6:00~9:00</t>
  </si>
  <si>
    <t>T/TH 6:20~9:20</t>
  </si>
  <si>
    <t>Dorothy/Xing(F)</t>
  </si>
  <si>
    <t>Greg(F)/Yunah</t>
  </si>
  <si>
    <t>Marco/Gregory(F)</t>
  </si>
  <si>
    <t>Konstantinos/Erin(F)</t>
  </si>
  <si>
    <t>Dylan(F)/Marco</t>
  </si>
  <si>
    <t>Yunah/James(F)</t>
  </si>
  <si>
    <t>Erin(F)/Konstantinos</t>
  </si>
  <si>
    <t>Xing(F)/Dorothy</t>
  </si>
  <si>
    <t>Aaisha(F)/Mimi</t>
  </si>
  <si>
    <t>James(F)/Arthur</t>
  </si>
  <si>
    <t>Mimi/Dylan(F)</t>
  </si>
  <si>
    <t>Yunah/Greg(F)</t>
  </si>
  <si>
    <t>Xing(F)/Yunah</t>
  </si>
  <si>
    <t>Arthur/Aaisha(F)</t>
  </si>
  <si>
    <t>Eunsoo 하은수</t>
  </si>
  <si>
    <t>Ethan 최하성</t>
  </si>
  <si>
    <t>Jia 이지아</t>
  </si>
  <si>
    <t>Bella 정로하</t>
  </si>
  <si>
    <r>
      <rPr>
        <rFont val="Arial"/>
        <color theme="1"/>
        <sz val="10.0"/>
      </rPr>
      <t xml:space="preserve">Jio 김지오
</t>
    </r>
    <r>
      <rPr>
        <rFont val="Arial"/>
        <color rgb="FFFF0000"/>
        <sz val="10.0"/>
      </rPr>
      <t>Hold 2/4~2/27</t>
    </r>
  </si>
  <si>
    <t xml:space="preserve">Ivy 조유민 </t>
  </si>
  <si>
    <t>Jiwoo 전지우</t>
  </si>
  <si>
    <t>Ella 임효주</t>
  </si>
  <si>
    <t>Ryan 엄지웅</t>
  </si>
  <si>
    <t>Victoria 김하은</t>
  </si>
  <si>
    <t>Ryan 이윤오</t>
  </si>
  <si>
    <r>
      <rPr>
        <rFont val="Arial"/>
        <color theme="1"/>
      </rPr>
      <t xml:space="preserve">Joshua 송겸
</t>
    </r>
    <r>
      <rPr>
        <rFont val="Arial"/>
        <color rgb="FFFF0000"/>
      </rPr>
      <t>2/27까지</t>
    </r>
  </si>
  <si>
    <t>Joy 문제희</t>
  </si>
  <si>
    <t>Jihee 강지희</t>
  </si>
  <si>
    <t>Jinseo 김진서</t>
  </si>
  <si>
    <r>
      <rPr>
        <rFont val="Arial"/>
        <color theme="1"/>
      </rPr>
      <t xml:space="preserve">Dale 위주원
</t>
    </r>
    <r>
      <rPr>
        <rFont val="Arial"/>
        <color rgb="FFFF0000"/>
      </rPr>
      <t>Hold 2/4~2/27</t>
    </r>
  </si>
  <si>
    <t>Sia 안다현</t>
  </si>
  <si>
    <t>Daniel 정은수</t>
  </si>
  <si>
    <t>Chloe 정효주</t>
  </si>
  <si>
    <t>Junseong 문준성</t>
  </si>
  <si>
    <t>Anna 윤소민</t>
  </si>
  <si>
    <t>James 신민재</t>
  </si>
  <si>
    <t>Gaon 김가온</t>
  </si>
  <si>
    <t>Jun 홍이준</t>
  </si>
  <si>
    <t>Claire 김지원</t>
  </si>
  <si>
    <t>Lily 신채윤</t>
  </si>
  <si>
    <t>Andrew 김유현</t>
  </si>
  <si>
    <t>Esther 원은서</t>
  </si>
  <si>
    <t>Summer 이서하</t>
  </si>
  <si>
    <t>Olivia 이유진</t>
  </si>
  <si>
    <t>Theo 김태오</t>
  </si>
  <si>
    <t>Mason 문도윤</t>
  </si>
  <si>
    <t>Joey 전이준</t>
  </si>
  <si>
    <t>Lea 이나윤</t>
  </si>
  <si>
    <t>Olivia 김소율</t>
  </si>
  <si>
    <r>
      <rPr>
        <rFont val="Arial"/>
        <color rgb="FF000000"/>
      </rPr>
      <t xml:space="preserve">David 이준서
</t>
    </r>
    <r>
      <rPr>
        <rFont val="Arial"/>
        <color rgb="FFFF0000"/>
      </rPr>
      <t>2/27까지</t>
    </r>
  </si>
  <si>
    <t>Sarah 김소현</t>
  </si>
  <si>
    <t>Chloe 차수아</t>
  </si>
  <si>
    <t>Leo 송준오</t>
  </si>
  <si>
    <t>Jiho 박지호</t>
  </si>
  <si>
    <t>Rex 이윤상</t>
  </si>
  <si>
    <t>Emily 김도현</t>
  </si>
  <si>
    <t>William 김연호</t>
  </si>
  <si>
    <t>Ahwon 신아원</t>
  </si>
  <si>
    <t>Aiden 김도현</t>
  </si>
  <si>
    <t>Lily 민서아</t>
  </si>
  <si>
    <t>Jay 김재윤</t>
  </si>
  <si>
    <t>Tiana 김태이</t>
  </si>
  <si>
    <t>Tony 이찬</t>
  </si>
  <si>
    <t>Irene 김지후</t>
  </si>
  <si>
    <t>Jennie 구예진</t>
  </si>
  <si>
    <t>Clara 한예진</t>
  </si>
  <si>
    <t>Innah 최이나</t>
  </si>
  <si>
    <t>Ellie 김채연</t>
  </si>
  <si>
    <t xml:space="preserve">Serena 김소예 </t>
  </si>
  <si>
    <t>Aaron 박현준</t>
  </si>
  <si>
    <t>Soul 이소을</t>
  </si>
  <si>
    <t>Kevin 원준서</t>
  </si>
  <si>
    <t>Hazel 이하연</t>
  </si>
  <si>
    <t>Jayden 김지헌</t>
  </si>
  <si>
    <t>Sophie 박수인</t>
  </si>
  <si>
    <t>Ethan 김민준</t>
  </si>
  <si>
    <t>Jenny 곽서윤</t>
  </si>
  <si>
    <t>Leo 최지혁</t>
  </si>
  <si>
    <t>Joy 이지원</t>
  </si>
  <si>
    <t>Daniel 원율</t>
  </si>
  <si>
    <t>Junghu 박정후</t>
  </si>
  <si>
    <t>Hany 김지한</t>
  </si>
  <si>
    <t>Jason 이준서</t>
  </si>
  <si>
    <t>Chaeone 홍채원</t>
  </si>
  <si>
    <t>Hayun 이하윤</t>
  </si>
  <si>
    <t>Elsa 이서현</t>
  </si>
  <si>
    <t>Michelle 양효민</t>
  </si>
  <si>
    <t>Peter 서은호</t>
  </si>
  <si>
    <t>Ian 정아윤</t>
  </si>
  <si>
    <r>
      <rPr>
        <rFont val="Arial"/>
        <color rgb="FF000000"/>
      </rPr>
      <t xml:space="preserve">Luna 김소율
</t>
    </r>
    <r>
      <rPr>
        <rFont val="Arial"/>
        <color rgb="FFFF0000"/>
      </rPr>
      <t>Hold 2/13 ~ 3/4</t>
    </r>
  </si>
  <si>
    <t>Ian 최이안</t>
  </si>
  <si>
    <t>Hajin 류하진</t>
  </si>
  <si>
    <t>Olivia 김민지</t>
  </si>
  <si>
    <t xml:space="preserve">Dawon 박다원 </t>
  </si>
  <si>
    <t>Emma 문하윤</t>
  </si>
  <si>
    <t>Amy 김소예</t>
  </si>
  <si>
    <t>Ariel 박서현</t>
  </si>
  <si>
    <t>Irene 이하린</t>
  </si>
  <si>
    <t>Henry 정우진</t>
  </si>
  <si>
    <r>
      <rPr>
        <rFont val="Arial"/>
        <color rgb="FF000000"/>
      </rPr>
      <t xml:space="preserve">Jinseo 김진서
</t>
    </r>
    <r>
      <rPr>
        <rFont val="Arial"/>
        <color rgb="FFFF0000"/>
      </rPr>
      <t>2/27까지</t>
    </r>
  </si>
  <si>
    <t>Ayaan 전상현</t>
  </si>
  <si>
    <t>Ina 최인아</t>
  </si>
  <si>
    <t>Dana 유다경</t>
  </si>
  <si>
    <t>Leah 기윤서</t>
  </si>
  <si>
    <t>Jun 최여준</t>
  </si>
  <si>
    <t>Thomas 김형우</t>
  </si>
  <si>
    <t>Yuna 정다윤</t>
  </si>
  <si>
    <t>Alice 이다현</t>
  </si>
  <si>
    <r>
      <rPr>
        <rFont val="Arial"/>
        <color rgb="FF000000"/>
      </rPr>
      <t xml:space="preserve">Alice 김세림
</t>
    </r>
    <r>
      <rPr>
        <rFont val="Arial"/>
        <color rgb="FFFF0000"/>
      </rPr>
      <t>2/18 반이동</t>
    </r>
  </si>
  <si>
    <t>Chloe 장하윤</t>
  </si>
  <si>
    <t>Wony 이채원</t>
  </si>
  <si>
    <t>Luther 곽도준</t>
  </si>
  <si>
    <t>Joy 박지우</t>
  </si>
  <si>
    <t>Leah 김리아</t>
  </si>
  <si>
    <t>Jacob 최보검</t>
  </si>
  <si>
    <t>Ellie 김나은</t>
  </si>
  <si>
    <t>Aileen 곽지유</t>
  </si>
  <si>
    <t>Chloe 고윤솔</t>
  </si>
  <si>
    <r>
      <rPr>
        <rFont val="Arial"/>
        <color rgb="FF000000"/>
        <sz val="10.0"/>
      </rPr>
      <t xml:space="preserve">Emily 이태라
</t>
    </r>
    <r>
      <rPr>
        <rFont val="Arial"/>
        <color rgb="FFFF0000"/>
        <sz val="10.0"/>
      </rPr>
      <t>2/27까지</t>
    </r>
  </si>
  <si>
    <t>Onew 박온유</t>
  </si>
  <si>
    <t>Riah 정리아</t>
  </si>
  <si>
    <t>Terry 김태리</t>
  </si>
  <si>
    <t>Tae Hyeon 김태현</t>
  </si>
  <si>
    <t>Teo 곽태호</t>
  </si>
  <si>
    <t>Amelia 정하윤</t>
  </si>
  <si>
    <r>
      <rPr>
        <rFont val="Arial"/>
        <color rgb="FF000000"/>
      </rPr>
      <t xml:space="preserve">Jiho 박지호
</t>
    </r>
    <r>
      <rPr>
        <rFont val="Arial"/>
        <color rgb="FFFF0000"/>
      </rPr>
      <t>2/27까지</t>
    </r>
  </si>
  <si>
    <t>Joshua 곽주원</t>
  </si>
  <si>
    <t>Aileen 백예서</t>
  </si>
  <si>
    <t>Joshua 송겸</t>
  </si>
  <si>
    <t>Lilly 원채아</t>
  </si>
  <si>
    <t>Lucy 최지율</t>
  </si>
  <si>
    <t>Ellie 권수아</t>
  </si>
  <si>
    <t>Lucas 전준희</t>
  </si>
  <si>
    <r>
      <rPr>
        <rFont val="Arial"/>
        <color rgb="FF000000"/>
        <sz val="10.0"/>
      </rPr>
      <t xml:space="preserve">Ri Ahn 이리안
</t>
    </r>
    <r>
      <rPr>
        <rFont val="Arial"/>
        <color rgb="FFFF0000"/>
        <sz val="10.0"/>
      </rPr>
      <t>2/18 반이동</t>
    </r>
  </si>
  <si>
    <t>Sangjin 윤상진</t>
  </si>
  <si>
    <t>Juwon 김주원</t>
  </si>
  <si>
    <t>Maria 이지윤</t>
  </si>
  <si>
    <t>Jason 이재용</t>
  </si>
  <si>
    <t>Teo 장태오</t>
  </si>
  <si>
    <t>Sian 최시안</t>
  </si>
  <si>
    <t>Alex 권승후</t>
  </si>
  <si>
    <t>Kai 김백한</t>
  </si>
  <si>
    <t>Sion 김시온</t>
  </si>
  <si>
    <t>Jayden 심채민</t>
  </si>
  <si>
    <t>Jake 윤서영</t>
  </si>
  <si>
    <t>Chloe 감제린</t>
  </si>
  <si>
    <t>Jennie 안제윤</t>
  </si>
  <si>
    <r>
      <rPr>
        <rFont val="Arial"/>
        <color rgb="FF000000"/>
      </rPr>
      <t xml:space="preserve">Sophia 전소윤
</t>
    </r>
    <r>
      <rPr>
        <rFont val="Arial"/>
        <color rgb="FFFF0000"/>
      </rPr>
      <t>Hold 2/6~2/27</t>
    </r>
  </si>
  <si>
    <t>Elly 이서빈</t>
  </si>
  <si>
    <r>
      <rPr>
        <rFont val="Arial"/>
        <color rgb="FF000000"/>
      </rPr>
      <t xml:space="preserve">Joy 이지원
</t>
    </r>
    <r>
      <rPr>
        <rFont val="Arial"/>
        <color rgb="FFFF0000"/>
      </rPr>
      <t>2/27까지</t>
    </r>
  </si>
  <si>
    <r>
      <rPr>
        <rFont val="Arial"/>
        <color rgb="FF000000"/>
      </rPr>
      <t xml:space="preserve">Helena 권혜원
</t>
    </r>
    <r>
      <rPr>
        <rFont val="Arial"/>
        <color rgb="FFFF0000"/>
      </rPr>
      <t>2/4부터
2/27까지</t>
    </r>
  </si>
  <si>
    <r>
      <rPr>
        <rFont val="Arial"/>
        <color rgb="FF000000"/>
        <sz val="10.0"/>
      </rPr>
      <t xml:space="preserve">Ella 하지우
</t>
    </r>
    <r>
      <rPr>
        <rFont val="Arial"/>
        <color rgb="FFFF0000"/>
        <sz val="10.0"/>
      </rPr>
      <t>2/4부터 반이동</t>
    </r>
  </si>
  <si>
    <t>Henry 김리한</t>
  </si>
  <si>
    <t>Jason 이시윤</t>
  </si>
  <si>
    <r>
      <rPr>
        <rFont val="Arial"/>
        <color rgb="FF000000"/>
      </rPr>
      <t xml:space="preserve">Kevin 조규빈
</t>
    </r>
    <r>
      <rPr>
        <rFont val="Arial"/>
        <color rgb="FFFF0000"/>
      </rPr>
      <t xml:space="preserve">Hold 2/18~2/27 </t>
    </r>
  </si>
  <si>
    <t>Stella 김서윤</t>
  </si>
  <si>
    <t>Yui 나유이</t>
  </si>
  <si>
    <t>Leo 전준영</t>
  </si>
  <si>
    <r>
      <rPr>
        <rFont val="Arial"/>
        <color rgb="FF000000"/>
        <sz val="10.0"/>
      </rPr>
      <t xml:space="preserve">Seah 장세아
</t>
    </r>
    <r>
      <rPr>
        <rFont val="Arial"/>
        <color rgb="FFFF0000"/>
        <sz val="10.0"/>
      </rPr>
      <t>2/18 반이동</t>
    </r>
  </si>
  <si>
    <r>
      <rPr>
        <rFont val="Arial"/>
        <color rgb="FF000000"/>
      </rPr>
      <t xml:space="preserve">Liam 이세현
</t>
    </r>
    <r>
      <rPr>
        <rFont val="Arial"/>
        <color rgb="FFFF0000"/>
      </rPr>
      <t xml:space="preserve">Hold  2/4~2/27 </t>
    </r>
  </si>
  <si>
    <t>Dean 양기현</t>
  </si>
  <si>
    <t>Brianna 최서진</t>
  </si>
  <si>
    <t>Daniel 김민석</t>
  </si>
  <si>
    <t>Claire 김서현</t>
  </si>
  <si>
    <t>Joy 박자인
Quit 2/27까지</t>
  </si>
  <si>
    <t>Jayden 김정윤</t>
  </si>
  <si>
    <t>Jiyul 허지율</t>
  </si>
  <si>
    <t>Sean 곽시안</t>
  </si>
  <si>
    <r>
      <rPr>
        <rFont val="Arial"/>
        <color rgb="FF000000"/>
        <sz val="10.0"/>
      </rPr>
      <t xml:space="preserve">Ian 김이안
</t>
    </r>
    <r>
      <rPr>
        <rFont val="Arial"/>
        <color rgb="FFFF0000"/>
        <sz val="10.0"/>
      </rPr>
      <t>2/4 부터</t>
    </r>
  </si>
  <si>
    <t>Jennie 강시우</t>
  </si>
  <si>
    <t>Dana 김단아</t>
  </si>
  <si>
    <t>Jiwoo 박지우</t>
  </si>
  <si>
    <t>Jayden 윤준우</t>
  </si>
  <si>
    <r>
      <rPr>
        <rFont val="Arial"/>
        <color rgb="FF000000"/>
        <sz val="10.0"/>
      </rPr>
      <t xml:space="preserve">Leah 기윤서
</t>
    </r>
    <r>
      <rPr>
        <rFont val="Arial"/>
        <color rgb="FFFF0000"/>
        <sz val="10.0"/>
      </rPr>
      <t>2/27까지</t>
    </r>
  </si>
  <si>
    <r>
      <rPr>
        <rFont val="Arial"/>
        <color rgb="FF000000"/>
      </rPr>
      <t xml:space="preserve">Hailey 권혜준
</t>
    </r>
    <r>
      <rPr>
        <rFont val="Arial"/>
        <color rgb="FFFF0000"/>
      </rPr>
      <t>2/4부터</t>
    </r>
    <r>
      <rPr>
        <rFont val="Arial"/>
        <color rgb="FF434343"/>
      </rPr>
      <t xml:space="preserve">
</t>
    </r>
    <r>
      <rPr>
        <rFont val="Arial"/>
        <color rgb="FFFF0000"/>
      </rPr>
      <t>2/27까지</t>
    </r>
  </si>
  <si>
    <r>
      <rPr>
        <rFont val="Arial"/>
        <color rgb="FF000000"/>
        <sz val="10.0"/>
      </rPr>
      <t xml:space="preserve">Grace 박하은
</t>
    </r>
    <r>
      <rPr>
        <rFont val="Arial"/>
        <color rgb="FFFF0000"/>
        <sz val="10.0"/>
      </rPr>
      <t>2/13부터 반이동</t>
    </r>
  </si>
  <si>
    <t>Jennie 이채원</t>
  </si>
  <si>
    <t>Helena 권혜원</t>
  </si>
  <si>
    <t>Yul 박건률</t>
  </si>
  <si>
    <t>Arin 오아린</t>
  </si>
  <si>
    <t>Elena 박다원</t>
  </si>
  <si>
    <r>
      <rPr>
        <rFont val="Arial"/>
        <color rgb="FF000000"/>
      </rPr>
      <t xml:space="preserve">Yunwoo 김윤우
</t>
    </r>
    <r>
      <rPr>
        <rFont val="Arial"/>
        <color rgb="FFFF0000"/>
      </rPr>
      <t xml:space="preserve">2/11 부터 </t>
    </r>
  </si>
  <si>
    <r>
      <rPr>
        <rFont val="Arial"/>
        <color rgb="FFFFFFFF"/>
        <sz val="10.0"/>
      </rPr>
      <t>Aiden 장윤우</t>
    </r>
    <r>
      <rPr>
        <rFont val="Arial"/>
        <color rgb="FF000000"/>
        <sz val="10.0"/>
      </rPr>
      <t xml:space="preserve">
</t>
    </r>
    <r>
      <rPr>
        <rFont val="Arial"/>
        <color rgb="FFFF0000"/>
        <sz val="10.0"/>
      </rPr>
      <t>3/4 반이동</t>
    </r>
  </si>
  <si>
    <t>Sua 송수아</t>
  </si>
  <si>
    <t>Jason 이현우</t>
  </si>
  <si>
    <t>Joseph 정요셉</t>
  </si>
  <si>
    <t>Yein 박예인</t>
  </si>
  <si>
    <r>
      <rPr>
        <rFont val="Arial"/>
        <color rgb="FF000000"/>
      </rPr>
      <t xml:space="preserve">Ariel 임채아
</t>
    </r>
    <r>
      <rPr>
        <rFont val="Arial"/>
        <color rgb="FFFF0000"/>
      </rPr>
      <t>2/13 부터</t>
    </r>
  </si>
  <si>
    <t>Juha 김주하</t>
  </si>
  <si>
    <r>
      <rPr>
        <rFont val="Arial"/>
        <color theme="1"/>
      </rPr>
      <t xml:space="preserve">Yeonwoo 고연우
</t>
    </r>
    <r>
      <rPr>
        <rFont val="Arial"/>
        <color rgb="FFFF0000"/>
      </rPr>
      <t>2/27부터</t>
    </r>
  </si>
  <si>
    <r>
      <rPr>
        <rFont val="Arial"/>
        <color rgb="FF000000"/>
      </rPr>
      <t xml:space="preserve">Seungan 김승안
</t>
    </r>
    <r>
      <rPr>
        <rFont val="Arial"/>
        <color rgb="FFFF0000"/>
      </rPr>
      <t>2/11부터 반이동</t>
    </r>
  </si>
  <si>
    <t>Juahn 민주안</t>
  </si>
  <si>
    <t>Ian 서은재</t>
  </si>
  <si>
    <t>Yujun 정유준</t>
  </si>
  <si>
    <t>Hailey 변하율</t>
  </si>
  <si>
    <t>Irene 남다온</t>
  </si>
  <si>
    <t>Jay 윤주원</t>
  </si>
  <si>
    <r>
      <rPr>
        <rFont val="Arial"/>
        <color rgb="FF000000"/>
      </rPr>
      <t xml:space="preserve">Jason 이시윤
</t>
    </r>
    <r>
      <rPr>
        <rFont val="Arial"/>
        <color rgb="FFFF0000"/>
      </rPr>
      <t>2/6 부터
2/27까지</t>
    </r>
  </si>
  <si>
    <r>
      <rPr>
        <rFont val="Arial"/>
        <color rgb="FF000000"/>
      </rPr>
      <t xml:space="preserve">Lala 김유주
</t>
    </r>
    <r>
      <rPr>
        <rFont val="Arial"/>
        <color rgb="FFFF0000"/>
      </rPr>
      <t>2/13 부터</t>
    </r>
  </si>
  <si>
    <r>
      <rPr>
        <rFont val="Arial"/>
        <color rgb="FF000000"/>
        <sz val="10.0"/>
      </rPr>
      <t xml:space="preserve">Leo 박도윤
</t>
    </r>
    <r>
      <rPr>
        <rFont val="Arial"/>
        <color rgb="FFFF0000"/>
        <sz val="10.0"/>
      </rPr>
      <t>3/4부터</t>
    </r>
  </si>
  <si>
    <t>Hailey 권혜준</t>
  </si>
  <si>
    <r>
      <rPr>
        <rFont val="Arial"/>
        <color rgb="FF000000"/>
        <sz val="10.0"/>
      </rPr>
      <t xml:space="preserve">Jenny 김가은
</t>
    </r>
    <r>
      <rPr>
        <rFont val="Arial"/>
        <color rgb="FFFF0000"/>
        <sz val="10.0"/>
      </rPr>
      <t>2/4부터 반이동</t>
    </r>
  </si>
  <si>
    <t>Thomas 장성현</t>
  </si>
  <si>
    <t>Chloe 김규리</t>
  </si>
  <si>
    <t>Ray 유준서</t>
  </si>
  <si>
    <t>Leon 우승학</t>
  </si>
  <si>
    <r>
      <rPr>
        <rFont val="Arial"/>
        <color rgb="FF000000"/>
      </rPr>
      <t xml:space="preserve">Lily 곽민서
</t>
    </r>
    <r>
      <rPr>
        <rFont val="Arial"/>
        <color rgb="FFFF0000"/>
      </rPr>
      <t>2/11부터</t>
    </r>
  </si>
  <si>
    <t>2/27
Eric 유주원
Curious Caterpillars</t>
  </si>
  <si>
    <t>2/27
Joy 허주희
Radiant Rockets</t>
  </si>
  <si>
    <t>3/4 
Yuna 차유나
Astonishing Owls</t>
  </si>
  <si>
    <t>2/25
Stella 박하윤
Silver Cobras</t>
  </si>
  <si>
    <t>3/6
Ethan 김민준
Sonic Hedgehogs</t>
  </si>
  <si>
    <t>3/6
Sarah 김소현
Sonic Hedgehogs</t>
  </si>
  <si>
    <t>2/26
Ryan 백라현
Legendary Bees</t>
  </si>
  <si>
    <t xml:space="preserve">3/4 
Charlotte 박수민
Bananas </t>
  </si>
  <si>
    <t>3/13
Ethan 김민준
Sonic Hedgehogs</t>
  </si>
  <si>
    <t>3/13
Sarah 김소현
Sonic Hedgehogs</t>
  </si>
  <si>
    <t xml:space="preserve">     </t>
  </si>
  <si>
    <t xml:space="preserve"> 2/27
 Jinseo 김진서
Hungry Chickens</t>
  </si>
  <si>
    <t>Ellie 신수현
3/3 부터 반이동</t>
  </si>
  <si>
    <t>대기자 파일 관리</t>
  </si>
  <si>
    <t>Grace 이세은
2/10</t>
  </si>
  <si>
    <t>Dale 위주원</t>
  </si>
  <si>
    <t>Jenny 장서연
1/10</t>
  </si>
  <si>
    <t>Tiana 이하린
2/11</t>
  </si>
  <si>
    <t>Jia 유지아
1/6</t>
  </si>
  <si>
    <t>Amy 김다빈</t>
  </si>
  <si>
    <t>Ryan 정래헌
12/19</t>
  </si>
  <si>
    <t>Henry 정수현
12/2
재시험 문자 발송 완료</t>
  </si>
  <si>
    <t>Jessica 김서영
2/3</t>
  </si>
  <si>
    <t>Zoe 이자윤
11/18</t>
  </si>
  <si>
    <t>Sia 양시아
12/9</t>
  </si>
  <si>
    <t>Victoria 박하민
12/17</t>
  </si>
  <si>
    <t>Loha 박로하
12/16</t>
  </si>
  <si>
    <t>Sua 정수아
2/17</t>
  </si>
  <si>
    <t>Liam 김시윤</t>
  </si>
  <si>
    <t>Eddie 박민찬
11/26
재시험 문자 발송</t>
  </si>
  <si>
    <t>Lina 박시후
2/7</t>
  </si>
  <si>
    <t>Doyu 김도유
1/17</t>
  </si>
  <si>
    <t>Jason 안준서
12/11</t>
  </si>
  <si>
    <t>Kevin 김찬유
12/26</t>
  </si>
  <si>
    <t>EJ 임의진
2/3</t>
  </si>
  <si>
    <t>Daisy 이가을
1/22</t>
  </si>
  <si>
    <t>Ryan 백라현
10/23</t>
  </si>
  <si>
    <t>Yul 박건률
1/14</t>
  </si>
  <si>
    <r>
      <rPr>
        <rFont val="Arial"/>
        <color rgb="FF000000"/>
      </rPr>
      <t xml:space="preserve">Kevin 조규빈
</t>
    </r>
    <r>
      <rPr>
        <rFont val="Arial"/>
        <color rgb="FF000000"/>
      </rPr>
      <t>1/14</t>
    </r>
  </si>
  <si>
    <t>Jinseo 김진서
1/7</t>
  </si>
  <si>
    <t>Jay 박정우</t>
  </si>
  <si>
    <t>Ria 김리아
12/26</t>
  </si>
  <si>
    <t>Amy 장예원
11/5
재시험 문자 발송</t>
  </si>
  <si>
    <t>Nana 강유나
11/13
재시험 문자 발송</t>
  </si>
  <si>
    <t>f</t>
  </si>
  <si>
    <t>2025 WEDNESDAY &amp; FRIDAY</t>
  </si>
  <si>
    <t>2E
Fancy Chameleons
(Jan.2024)</t>
  </si>
  <si>
    <t>2A
Ambitious Ants
(Jan.2024)</t>
  </si>
  <si>
    <t>2H
Squishy Octopi
(Jan.2024)</t>
  </si>
  <si>
    <t>2R
Master Anacondas
(April 2024)</t>
  </si>
  <si>
    <t>3A
Mirthful Manta Rays
(Jan.2023)</t>
  </si>
  <si>
    <t>4T
Legendary Bees
(Jan.2022)</t>
  </si>
  <si>
    <t>3T
Heavenly Hyenas
(Jan.2023)</t>
  </si>
  <si>
    <t>4A
Supersonic Bananas
(Mar.2022)</t>
  </si>
  <si>
    <t>5E
Active Coconuts
(Sep.2020)</t>
  </si>
  <si>
    <t>W 2:30~5:30
F 2:40~5:40</t>
  </si>
  <si>
    <t>W/F 2:30~5:30</t>
  </si>
  <si>
    <t>W/F 2:50~5:50</t>
  </si>
  <si>
    <t>W/F 6:00~9:00</t>
  </si>
  <si>
    <t>W/F 6:10-9:10</t>
  </si>
  <si>
    <t>Konstantinos
/James(F)</t>
  </si>
  <si>
    <t>Mimi/Gregory(F)</t>
  </si>
  <si>
    <t>Yunah/Erin(F)</t>
  </si>
  <si>
    <t>Dylan(F)/Arthur</t>
  </si>
  <si>
    <t>Aaisha(F)/Dorothy</t>
  </si>
  <si>
    <t>Yunah/Dylan(F)</t>
  </si>
  <si>
    <t>Xing(F)/Arthur</t>
  </si>
  <si>
    <t>Riley 최아진</t>
  </si>
  <si>
    <t>Harry 김시윤</t>
  </si>
  <si>
    <t>Andy 성하율</t>
  </si>
  <si>
    <t>Joon 김태준</t>
  </si>
  <si>
    <t>Yeonu 정연우</t>
  </si>
  <si>
    <t>Jenny 강소희</t>
  </si>
  <si>
    <t>Isabelle 이승아</t>
  </si>
  <si>
    <t>Henry 차연준</t>
  </si>
  <si>
    <t>Emma 이유정</t>
  </si>
  <si>
    <t>Henry 김지안</t>
  </si>
  <si>
    <t>Sophia 배서윤</t>
  </si>
  <si>
    <r>
      <rPr>
        <rFont val="Arial"/>
        <color theme="1"/>
        <sz val="10.0"/>
      </rPr>
      <t xml:space="preserve">Evan 이지호
</t>
    </r>
    <r>
      <rPr>
        <rFont val="Arial"/>
        <color rgb="FFFF0000"/>
        <sz val="10.0"/>
      </rPr>
      <t>Hold 2/5 ~ 2/28</t>
    </r>
  </si>
  <si>
    <t>Yulia 전다연</t>
  </si>
  <si>
    <t>Chloe 이시연</t>
  </si>
  <si>
    <t>Jay 최민제</t>
  </si>
  <si>
    <t>Alice 박윤서</t>
  </si>
  <si>
    <t>Chloe 곽규린</t>
  </si>
  <si>
    <t>Emily 강서영</t>
  </si>
  <si>
    <t>Leo 김시우</t>
  </si>
  <si>
    <t>Doi 공도이</t>
  </si>
  <si>
    <t>Chaewoon 강채운</t>
  </si>
  <si>
    <r>
      <rPr>
        <rFont val="Arial"/>
        <color rgb="FF000000"/>
      </rPr>
      <t xml:space="preserve">Aiden 이채현
</t>
    </r>
    <r>
      <rPr>
        <rFont val="Arial"/>
        <color rgb="FFFF0000"/>
      </rPr>
      <t>Hold 2/14 ~ 2/26</t>
    </r>
  </si>
  <si>
    <r>
      <rPr>
        <rFont val="Arial"/>
        <color theme="1"/>
      </rPr>
      <t xml:space="preserve">Aiden 장윤우
</t>
    </r>
    <r>
      <rPr>
        <rFont val="Arial"/>
        <color rgb="FFFF0000"/>
      </rPr>
      <t>2/28까지</t>
    </r>
  </si>
  <si>
    <t>Olivia 이유주</t>
  </si>
  <si>
    <t>Yeda 이예다</t>
  </si>
  <si>
    <t>Nana 김서우</t>
  </si>
  <si>
    <t>Alex 강범수</t>
  </si>
  <si>
    <t>Dohyung 공도형</t>
  </si>
  <si>
    <r>
      <rPr>
        <rFont val="Arial"/>
        <color rgb="FF000000"/>
      </rPr>
      <t xml:space="preserve">Ellie 신수현
</t>
    </r>
    <r>
      <rPr>
        <rFont val="Arial"/>
        <color rgb="FFFF0000"/>
      </rPr>
      <t>2/28까지</t>
    </r>
  </si>
  <si>
    <t>Jayden 탄지훈</t>
  </si>
  <si>
    <t>Dani 전다은</t>
  </si>
  <si>
    <t>Mini 이채민</t>
  </si>
  <si>
    <t>Jimmy 안준민
Quit  2/28 까지</t>
  </si>
  <si>
    <t xml:space="preserve">Dana 김단아
Quit ~2/28까지 </t>
  </si>
  <si>
    <t>Jennie 권예원</t>
  </si>
  <si>
    <t>Summer 황서하</t>
  </si>
  <si>
    <t>Jay 황제희</t>
  </si>
  <si>
    <t>Alyssa 임세리</t>
  </si>
  <si>
    <t>Ryan 백라현</t>
  </si>
  <si>
    <t>Angela 이혜온</t>
  </si>
  <si>
    <t>Ina 최이나</t>
  </si>
  <si>
    <t>Sharon 조승아</t>
  </si>
  <si>
    <t>Teena 이나윤</t>
  </si>
  <si>
    <t>Wyatt 이상원</t>
  </si>
  <si>
    <t>Olivia 심가온</t>
  </si>
  <si>
    <t>Joy 이시현</t>
  </si>
  <si>
    <t>Aaron 이상민</t>
  </si>
  <si>
    <t>Anna 정예원</t>
  </si>
  <si>
    <t>Daisy 이가을</t>
  </si>
  <si>
    <t>Sebin 진세빈</t>
  </si>
  <si>
    <t>Joy 이주연</t>
  </si>
  <si>
    <t>Juone 유주원</t>
  </si>
  <si>
    <t>Joy 이라온</t>
  </si>
  <si>
    <t>Yuri 장유리</t>
  </si>
  <si>
    <t>Jason 안준서</t>
  </si>
  <si>
    <r>
      <rPr>
        <rFont val="Arial"/>
        <color rgb="FF000000"/>
      </rPr>
      <t>Yunha 성윤하</t>
    </r>
    <r>
      <rPr>
        <rFont val="Arial"/>
        <color rgb="FFFF0000"/>
      </rPr>
      <t xml:space="preserve">
Hold 2/5 ~ 2/28</t>
    </r>
  </si>
  <si>
    <r>
      <rPr>
        <rFont val="Arial"/>
        <color rgb="FF000000"/>
      </rPr>
      <t xml:space="preserve">Jennie 최예린
</t>
    </r>
    <r>
      <rPr>
        <rFont val="Arial"/>
        <color rgb="FFFF0000"/>
      </rPr>
      <t>2/5부터 반 이동</t>
    </r>
  </si>
  <si>
    <t>Semin 진세민</t>
  </si>
  <si>
    <t>Alice 임정연</t>
  </si>
  <si>
    <t>Mary 김시은</t>
  </si>
  <si>
    <t>Lucas 박시후</t>
  </si>
  <si>
    <t>Leo 김평재</t>
  </si>
  <si>
    <r>
      <rPr>
        <rFont val="Arial"/>
        <color rgb="FF000000"/>
      </rPr>
      <t xml:space="preserve">Luna 김루나
</t>
    </r>
    <r>
      <rPr>
        <rFont val="Arial"/>
        <color rgb="FFFF0000"/>
      </rPr>
      <t>2/14부터 반이동</t>
    </r>
  </si>
  <si>
    <t>Nicole 이나연</t>
  </si>
  <si>
    <t>ㅀㅀ</t>
  </si>
  <si>
    <r>
      <t xml:space="preserve">
</t>
    </r>
    <r>
      <rPr>
        <rFont val="Inconsolata"/>
        <b/>
        <color rgb="FF000000"/>
        <sz val="9.0"/>
      </rPr>
      <t>2/28
Soul 이소을
Fantastic Foxes</t>
    </r>
    <r>
      <rPr>
        <rFont val="Inconsolata"/>
        <b/>
        <color rgb="FF0000FF"/>
        <sz val="9.0"/>
      </rPr>
      <t xml:space="preserve">
</t>
    </r>
  </si>
  <si>
    <t>2/26
Cinnamon Rolls
Tae Hyeon 김태현</t>
  </si>
  <si>
    <t>Alec 엄태후
3/5 부터 컴백</t>
  </si>
  <si>
    <t>Jinny 김하진
2/28</t>
  </si>
  <si>
    <t>Maria 이지윤
9/3</t>
  </si>
  <si>
    <t>James 최준영
11/27
재시험 문자 발송</t>
  </si>
  <si>
    <t>Chloe 최보현
1/8</t>
  </si>
  <si>
    <t>Jion 최지온
1/8</t>
  </si>
  <si>
    <t>Zion 양시온
2/14</t>
  </si>
  <si>
    <t>Jimmy 안준민
2/25</t>
  </si>
  <si>
    <t>Joshua 송겸
3/4</t>
  </si>
  <si>
    <t>2025 Kindy</t>
  </si>
  <si>
    <t>Grade</t>
  </si>
  <si>
    <t>2025</t>
  </si>
  <si>
    <t>Child Name</t>
  </si>
  <si>
    <t>Phone</t>
  </si>
  <si>
    <t>email</t>
  </si>
  <si>
    <t>K7
E</t>
  </si>
  <si>
    <t>K7
A</t>
  </si>
  <si>
    <t>K7
B</t>
  </si>
  <si>
    <t xml:space="preserve">K6 
</t>
  </si>
  <si>
    <t xml:space="preserve">K7
E
</t>
  </si>
  <si>
    <t>David 송서준</t>
  </si>
  <si>
    <t>01088881089</t>
  </si>
  <si>
    <t>tweety0710@naver.com</t>
  </si>
  <si>
    <t>A-Jin 김아진</t>
  </si>
  <si>
    <t>010-4786-7213</t>
  </si>
  <si>
    <t>tini72@naver.com</t>
  </si>
  <si>
    <t>9:00-2:30</t>
  </si>
  <si>
    <t>Lucia 여예서</t>
  </si>
  <si>
    <t>010-8899-9933</t>
  </si>
  <si>
    <t>thinkjy@hotmail.com</t>
  </si>
  <si>
    <t>Henry 이용민</t>
  </si>
  <si>
    <t>010-5191-9110</t>
  </si>
  <si>
    <t>rosakim302@naver.com</t>
  </si>
  <si>
    <t>Keri</t>
  </si>
  <si>
    <t>Marisa</t>
  </si>
  <si>
    <t>Aanchal</t>
  </si>
  <si>
    <t>Rachel</t>
  </si>
  <si>
    <t>Leo 정인성</t>
  </si>
  <si>
    <t>010-5378-3641</t>
  </si>
  <si>
    <t>monicajy@naver.com</t>
  </si>
  <si>
    <t>Lucas 최현</t>
  </si>
  <si>
    <t>010-3577-9513</t>
  </si>
  <si>
    <t>mussoyj@naver.com</t>
  </si>
  <si>
    <t>1</t>
  </si>
  <si>
    <t>Raina 임서하</t>
  </si>
  <si>
    <t>Yerin 고예린</t>
  </si>
  <si>
    <t>Noah 이채빈</t>
  </si>
  <si>
    <t>010-8970-4669</t>
  </si>
  <si>
    <t>meh1196@naver.com</t>
  </si>
  <si>
    <t>Gloria 김다은</t>
  </si>
  <si>
    <t>010-6750-3215</t>
  </si>
  <si>
    <t>lsj00617@naver.com</t>
  </si>
  <si>
    <t>2</t>
  </si>
  <si>
    <t>Lily 조하윤</t>
  </si>
  <si>
    <t>Jasmin 김지유</t>
  </si>
  <si>
    <t>YoungJin 이영진</t>
  </si>
  <si>
    <t>010-9855-0819</t>
  </si>
  <si>
    <t>ioui0819@naver.com</t>
  </si>
  <si>
    <t>Daniel 김서준</t>
  </si>
  <si>
    <t>3</t>
  </si>
  <si>
    <t>Jenna 김나은</t>
  </si>
  <si>
    <t>Jelly 장준우</t>
  </si>
  <si>
    <t>010-6515-0117</t>
  </si>
  <si>
    <t>bewave0306@gmail.com</t>
  </si>
  <si>
    <t>4</t>
  </si>
  <si>
    <t>Sean 최승연</t>
  </si>
  <si>
    <t>010-9142-0505</t>
  </si>
  <si>
    <t>justwnstn@naver.com</t>
  </si>
  <si>
    <t>5</t>
  </si>
  <si>
    <t>Chloe 이서아</t>
  </si>
  <si>
    <t>010-9175-3719</t>
  </si>
  <si>
    <t>ssy1219@naver.com</t>
  </si>
  <si>
    <t>6</t>
  </si>
  <si>
    <t>7</t>
  </si>
  <si>
    <t xml:space="preserve">K7
</t>
  </si>
  <si>
    <t>010-5638-4486</t>
  </si>
  <si>
    <t>friend027979@naver.com</t>
  </si>
  <si>
    <t>8</t>
  </si>
  <si>
    <t>010-7388-0225</t>
  </si>
  <si>
    <t>jungunh@naver.com</t>
  </si>
  <si>
    <t>9</t>
  </si>
  <si>
    <t>10</t>
  </si>
  <si>
    <t>11</t>
  </si>
  <si>
    <t>12</t>
  </si>
  <si>
    <t>010-5712-2575</t>
  </si>
  <si>
    <t>glistering@naver.com</t>
  </si>
  <si>
    <t>010-7211-5239</t>
  </si>
  <si>
    <t>crosh100@naver.com</t>
  </si>
  <si>
    <t>010-8330-3554</t>
  </si>
  <si>
    <t>yeoringirl@naver.com</t>
  </si>
  <si>
    <t>Drop</t>
  </si>
  <si>
    <t>Name</t>
  </si>
  <si>
    <t>Phone number</t>
  </si>
  <si>
    <t>Email</t>
  </si>
  <si>
    <t>12/3</t>
  </si>
  <si>
    <t>Emma 전지솔</t>
  </si>
  <si>
    <t>010-3413-1410</t>
  </si>
  <si>
    <t>ych4432@naver.com</t>
  </si>
  <si>
    <t>1/13</t>
  </si>
  <si>
    <t>Ederlyn 김민정</t>
  </si>
  <si>
    <t>010-6612-2819</t>
  </si>
  <si>
    <t>epunisy@naver.com</t>
  </si>
  <si>
    <t>1/17</t>
  </si>
  <si>
    <t>Brian 이건희</t>
  </si>
  <si>
    <t>010-5212-5439</t>
  </si>
  <si>
    <t>myhoicar@naver.com</t>
  </si>
  <si>
    <t>2/3</t>
  </si>
  <si>
    <t>Min 이솔민</t>
  </si>
  <si>
    <t>010-8080-2108</t>
  </si>
  <si>
    <t>eyebreak@naver.com</t>
  </si>
  <si>
    <t>2/10</t>
  </si>
  <si>
    <t>Hyeonji 전현지</t>
  </si>
  <si>
    <t>010-3110-9414</t>
  </si>
  <si>
    <t>ilmare0704@naver.com</t>
  </si>
  <si>
    <t>2/11</t>
  </si>
  <si>
    <t>William 전채호</t>
  </si>
  <si>
    <t>010-3166-7197</t>
  </si>
  <si>
    <t>hyejineey@gmail.com</t>
  </si>
  <si>
    <t>2/14</t>
  </si>
  <si>
    <t>Sua 노수아</t>
  </si>
  <si>
    <t>010-7116-0296</t>
  </si>
  <si>
    <t>minjung_29@naver.com</t>
  </si>
  <si>
    <t>Class/Level/Time</t>
  </si>
  <si>
    <t xml:space="preserve">Name </t>
  </si>
  <si>
    <t>Consent</t>
  </si>
  <si>
    <t>Hold</t>
  </si>
  <si>
    <t>Feedback
1-5</t>
  </si>
  <si>
    <t>Feedback
7-11</t>
  </si>
  <si>
    <t xml:space="preserve">Phone number </t>
  </si>
  <si>
    <t>Start Date
COUNTER
월/일 or 월-일
ONLY</t>
  </si>
  <si>
    <t>Other Details
(lvl up, class transfer, etc.)</t>
  </si>
  <si>
    <t>상담 내용
Date/상담Type/Staff</t>
  </si>
  <si>
    <t>Example</t>
  </si>
  <si>
    <t>2/3) N 신규상담</t>
  </si>
  <si>
    <t>2/3) N 첫주상담</t>
  </si>
  <si>
    <t>2/3) E 해피콜상담</t>
  </si>
  <si>
    <t>2/3) H 반이동상담</t>
  </si>
  <si>
    <t>2/3) J 재원생상담</t>
  </si>
  <si>
    <t>2/3) K 퇴원상담</t>
  </si>
  <si>
    <t>1E
Bananas
(Feb.28 2025)
M/F 2:30-5:30
Aaisha(F)/Konstantinos</t>
  </si>
  <si>
    <t xml:space="preserve">Blair 유현서
</t>
  </si>
  <si>
    <t>O</t>
  </si>
  <si>
    <t>010-3893-0904</t>
  </si>
  <si>
    <t>gomdori0904@naver.com</t>
  </si>
  <si>
    <t>010-7102-0677</t>
  </si>
  <si>
    <t>park_jeeyoun@naver.com</t>
  </si>
  <si>
    <t>010-8990-1211</t>
  </si>
  <si>
    <t>heeeun23@hanmail.net</t>
  </si>
  <si>
    <t>Daniel 김도율</t>
  </si>
  <si>
    <t>010-9991-6836</t>
  </si>
  <si>
    <t>rfuj119@naver.com</t>
  </si>
  <si>
    <t>X</t>
  </si>
  <si>
    <t>010-2043-3572</t>
  </si>
  <si>
    <t>ssuk363@naver.com</t>
  </si>
  <si>
    <t>010-3686-3206</t>
  </si>
  <si>
    <t>ay86@naver.com</t>
  </si>
  <si>
    <t>2/25) Claire</t>
  </si>
  <si>
    <t>1A
Fiery Dragons
(Jan.2025)
M/F 2:30-5:30
Dorothy/Dylan(F)</t>
  </si>
  <si>
    <t>Olivia 이슬비 F</t>
  </si>
  <si>
    <t>010-5259-7354</t>
  </si>
  <si>
    <t>tjfdk109@naver.com</t>
  </si>
  <si>
    <t>010-4343-0091</t>
  </si>
  <si>
    <t>nnnmuz@naver.com</t>
  </si>
  <si>
    <t>010-2062-6002</t>
  </si>
  <si>
    <t>theseeage@hotmail.com</t>
  </si>
  <si>
    <t>010-6462-1129</t>
  </si>
  <si>
    <t>spring4haze@naver.com</t>
  </si>
  <si>
    <t>Jennie 허연아 F</t>
  </si>
  <si>
    <t>010-9750-9318</t>
  </si>
  <si>
    <t>dreamof2012@gmail.com</t>
  </si>
  <si>
    <t>010-6749-0219</t>
  </si>
  <si>
    <t>geniecom@naver.com</t>
  </si>
  <si>
    <t>010-4805-2028</t>
  </si>
  <si>
    <t>1225miae@naver.com</t>
  </si>
  <si>
    <t>010-2102-5400</t>
  </si>
  <si>
    <t>akacia41@naver.com</t>
  </si>
  <si>
    <t>1E
Apples
(Feb.28 2025)
M/F 2:30-5:30
Konstantinos/Xing(F)</t>
  </si>
  <si>
    <t>010-3318-9967</t>
  </si>
  <si>
    <t>celim82@naver.com</t>
  </si>
  <si>
    <t>010-8846-8353</t>
  </si>
  <si>
    <t>minu_chu@naver.com</t>
  </si>
  <si>
    <t>010-9918-4938</t>
  </si>
  <si>
    <t>sujinuhu@naver.com</t>
  </si>
  <si>
    <t>010-9272-9616</t>
  </si>
  <si>
    <t>haneul2mail@gmail.com</t>
  </si>
  <si>
    <t>010-3542-5214</t>
  </si>
  <si>
    <t>coexrkdud@naver.com</t>
  </si>
  <si>
    <t>010-8796-3775</t>
  </si>
  <si>
    <t>cns3775@gmail.com</t>
  </si>
  <si>
    <t>010-3871-5318</t>
  </si>
  <si>
    <t>nadia5318@naver.com</t>
  </si>
  <si>
    <t>KDG 출신 2/28 조인</t>
  </si>
  <si>
    <t>1E
Wild Whiskers
(Jan.2025)
M/F 2:40-5:40
Mimi/Aaisha(F)</t>
  </si>
  <si>
    <t>010-4187-3192</t>
  </si>
  <si>
    <t>juhye8787@naver.com</t>
  </si>
  <si>
    <t>2/3~2/7</t>
  </si>
  <si>
    <t>010-8706-6842</t>
  </si>
  <si>
    <t>tweety100477@naver.com</t>
  </si>
  <si>
    <t>010-4445-6694</t>
  </si>
  <si>
    <t>ggeggi21@naver.com</t>
  </si>
  <si>
    <t xml:space="preserve">010-9400-3744        </t>
  </si>
  <si>
    <t>startac2263@naver.com</t>
  </si>
  <si>
    <t>Sophia  문지유</t>
  </si>
  <si>
    <t>010-2770-4916(모)
010-8613-3911(부)</t>
  </si>
  <si>
    <t>dyjiu@naver.com</t>
  </si>
  <si>
    <t>010-6626-3500</t>
  </si>
  <si>
    <t>chosa5@naver.com</t>
  </si>
  <si>
    <t>Rijae 윤이재</t>
  </si>
  <si>
    <t>2/24~3/23</t>
  </si>
  <si>
    <t>010-3386-1983</t>
  </si>
  <si>
    <t>gojack83@naver.com</t>
  </si>
  <si>
    <t>2/13 Dave</t>
  </si>
  <si>
    <t>1E
Curious Caterpillars
(Jan.2025)
M/F 2:30-5:30
Xing(F)/Mimi</t>
  </si>
  <si>
    <t>010-4946-2539</t>
  </si>
  <si>
    <t>imnarae85@naver.com</t>
  </si>
  <si>
    <t>010-8840-6978</t>
  </si>
  <si>
    <t>sky09150@naver.com</t>
  </si>
  <si>
    <t>010-8775-1120</t>
  </si>
  <si>
    <t>petite-sk@hanmail.net</t>
  </si>
  <si>
    <t>Arin 성아린</t>
  </si>
  <si>
    <t>2/3 ~ 2/28</t>
  </si>
  <si>
    <t>010-5313-1835</t>
  </si>
  <si>
    <t>ruddl0310@naver.com</t>
  </si>
  <si>
    <t>010-4406-0042</t>
  </si>
  <si>
    <t>llkjh19800930@gmail.com</t>
  </si>
  <si>
    <t>010-3160-7761</t>
  </si>
  <si>
    <t>dmsgml1495@naver.com</t>
  </si>
  <si>
    <t xml:space="preserve">Roy 김규민 </t>
  </si>
  <si>
    <t>010-2291-6190</t>
  </si>
  <si>
    <t>mihee8307@naver.com</t>
  </si>
  <si>
    <t>1T
Sunny Skies
(Jan.2025)
M/F
James(F)/Yunah</t>
  </si>
  <si>
    <t>010-9284-4146</t>
  </si>
  <si>
    <t>ssaang77@naver.com</t>
  </si>
  <si>
    <t>010-3721-9056</t>
  </si>
  <si>
    <t>rkgp27@naver.com</t>
  </si>
  <si>
    <t>010-2770-6783</t>
  </si>
  <si>
    <t>snowflake00@naver.com</t>
  </si>
  <si>
    <t>010-2742-5759</t>
  </si>
  <si>
    <t>lmk08200@naver.com</t>
  </si>
  <si>
    <t>010-3637-8730</t>
  </si>
  <si>
    <t>jyz8980@naver.com</t>
  </si>
  <si>
    <t>010-8913-3521</t>
  </si>
  <si>
    <t>lesleyha@naver.com</t>
  </si>
  <si>
    <t>010-3773-9831</t>
  </si>
  <si>
    <t>hanssem_08@naver.com</t>
  </si>
  <si>
    <t>Rhyme 김운율</t>
  </si>
  <si>
    <t>010-3811-4064</t>
  </si>
  <si>
    <t>shim_jungsuk@naver.com</t>
  </si>
  <si>
    <t>1A
Joyful Jellyfish
(Jan.2025)
M/F
Dylan(F)/Dorothy</t>
  </si>
  <si>
    <t>010-9475-7709</t>
  </si>
  <si>
    <t>kkong2sy@naver.com</t>
  </si>
  <si>
    <t>010-9504-1710</t>
  </si>
  <si>
    <t>gcmijin@nate.com</t>
  </si>
  <si>
    <t>010-9732-7268</t>
  </si>
  <si>
    <t>woopla@naver.com</t>
  </si>
  <si>
    <t>Daisy 최아현</t>
  </si>
  <si>
    <t>2/10~2/28</t>
  </si>
  <si>
    <t>010-4635-9040</t>
  </si>
  <si>
    <t>tmdans25@naver.com</t>
  </si>
  <si>
    <t>Yuan 이유안</t>
  </si>
  <si>
    <t>010-9114-7366</t>
  </si>
  <si>
    <t>disneyb@gmail.com</t>
  </si>
  <si>
    <t>010-4399-6024</t>
  </si>
  <si>
    <t>baehj8317@naver.com</t>
  </si>
  <si>
    <t>2/7) Claire</t>
  </si>
  <si>
    <t xml:space="preserve"> 010-3854-5484</t>
  </si>
  <si>
    <t>chaoyun@naver.com</t>
  </si>
  <si>
    <t>1/10) Claire</t>
  </si>
  <si>
    <t>010-6267-2703</t>
  </si>
  <si>
    <t>dbstnwls1221@naver.com</t>
  </si>
  <si>
    <t>1A
Electric Eels
(Jan.2025)
T/TH 2:40-5:40
Dorothy/Xing(F)</t>
  </si>
  <si>
    <t>010-4859-6055</t>
  </si>
  <si>
    <t>haleez@naver.com</t>
  </si>
  <si>
    <t>010-2633-2704</t>
  </si>
  <si>
    <t>yunaii@naver.com</t>
  </si>
  <si>
    <t>010-8754-1541</t>
  </si>
  <si>
    <t>rose_x@naver.com</t>
  </si>
  <si>
    <t>Luna 김소율</t>
  </si>
  <si>
    <t>2/13~ 3/4</t>
  </si>
  <si>
    <t>010-9275-7170</t>
  </si>
  <si>
    <t>pinkmooneye@naver.com</t>
  </si>
  <si>
    <t>010-5100-0127</t>
  </si>
  <si>
    <t>dhsdj84@gmail.com</t>
  </si>
  <si>
    <t>010-7157-7773</t>
  </si>
  <si>
    <t>kimky7373@gmail.com</t>
  </si>
  <si>
    <t>010-7518-3547</t>
  </si>
  <si>
    <t>pikapu777@hanmail.net</t>
  </si>
  <si>
    <t>복도 학생 방해 저지 부탁</t>
  </si>
  <si>
    <t>Ariel 임채아</t>
  </si>
  <si>
    <t>010-7139-3638</t>
  </si>
  <si>
    <t>m9yhswj@gmail.com</t>
  </si>
  <si>
    <t>1E
Loyal Sheepdogs
(Jan.2025)
T/TH
Greg(F)/Yunah</t>
  </si>
  <si>
    <t>010-4138-1120</t>
  </si>
  <si>
    <t>cjy_1226@hanmail.net</t>
  </si>
  <si>
    <t>010-7525-8237</t>
  </si>
  <si>
    <t>jetaimeyeo@naver.com</t>
  </si>
  <si>
    <t>010-2245-0526</t>
  </si>
  <si>
    <t>mystyle0924@naver.com</t>
  </si>
  <si>
    <t>010-2531-7850</t>
  </si>
  <si>
    <t>dvvb1018@naver.com</t>
  </si>
  <si>
    <t>010-3331-2645</t>
  </si>
  <si>
    <t>camomile317@naver.com</t>
  </si>
  <si>
    <t xml:space="preserve">010-2558-8313      </t>
  </si>
  <si>
    <t xml:space="preserve">  helloabc@naver.com</t>
  </si>
  <si>
    <t>Joy 박자인</t>
  </si>
  <si>
    <t>010-3864-2429</t>
  </si>
  <si>
    <t>wjddk0735@gmail.com</t>
  </si>
  <si>
    <t>010-2490-8501</t>
  </si>
  <si>
    <t>ballal85@naver.com</t>
  </si>
  <si>
    <t>1E
Cats
(Feb.27 2025)
T/TH 2:40-5:40
Marco/Gregory(F)</t>
  </si>
  <si>
    <t>010-2705-6621</t>
  </si>
  <si>
    <t>hyunjooyaa@naver.com</t>
  </si>
  <si>
    <t>010-8707-0661</t>
  </si>
  <si>
    <t>eunhye1217@naver.com</t>
  </si>
  <si>
    <t>010-3387-5939</t>
  </si>
  <si>
    <t>styleco05@naver.com</t>
  </si>
  <si>
    <t>010-8713-8043</t>
  </si>
  <si>
    <t>koo3522@nate.com</t>
  </si>
  <si>
    <t>010-3935-7793</t>
  </si>
  <si>
    <t>pppp1024@gmail.com</t>
  </si>
  <si>
    <t>010-4949-7231</t>
  </si>
  <si>
    <t>durish90@gmail.com</t>
  </si>
  <si>
    <t>010-7414-7312</t>
  </si>
  <si>
    <t>pos97130@naver.com</t>
  </si>
  <si>
    <t>2/18) Claire</t>
  </si>
  <si>
    <t>Yeonwoo 고연우</t>
  </si>
  <si>
    <t>010-8312-0226</t>
  </si>
  <si>
    <t>ssongs55@naver.com</t>
  </si>
  <si>
    <t>2/26) Claire</t>
  </si>
  <si>
    <t>1T
Delightful Dinos
(Feb.3 2025)
M/W 2:30-5:30
Yunah/Xing(F)</t>
  </si>
  <si>
    <t>010-7509-8719</t>
  </si>
  <si>
    <t>eunkshin09@gmail.com</t>
  </si>
  <si>
    <t>010-8905-7902</t>
  </si>
  <si>
    <t>junse7979@naver.com</t>
  </si>
  <si>
    <t>010-3305-6226</t>
  </si>
  <si>
    <t>dollyseony@gmail.com</t>
  </si>
  <si>
    <t>010-8882-4240</t>
  </si>
  <si>
    <t>neverend03@naver.com</t>
  </si>
  <si>
    <t>010-5455-2503</t>
  </si>
  <si>
    <t>sjsjsjkk@naver.com</t>
  </si>
  <si>
    <t>010-2700-1906</t>
  </si>
  <si>
    <t>gksrkwhr5@naver.com</t>
  </si>
  <si>
    <t>010-7731-7717</t>
  </si>
  <si>
    <t>wj8830@naver.com</t>
  </si>
  <si>
    <t>Justin 윤준석</t>
  </si>
  <si>
    <t>010-5310-7229</t>
  </si>
  <si>
    <t>cofla23@naver.com</t>
  </si>
  <si>
    <t>2/13) Claire</t>
  </si>
  <si>
    <t>1H
Avocados
(Mar. 4 2025)
T/TH 2:30~5:30
Mimi/Aaisha(F)</t>
  </si>
  <si>
    <t>010-6344-7675</t>
  </si>
  <si>
    <t>eggjoo06@naver.com</t>
  </si>
  <si>
    <t>010-9597-0915</t>
  </si>
  <si>
    <t>jy9656134@naver.com</t>
  </si>
  <si>
    <t>010-3245-0844</t>
  </si>
  <si>
    <t>insun.bang@lotte.net</t>
  </si>
  <si>
    <t>010-8563-5383</t>
  </si>
  <si>
    <t>minyoung.md@gmail.com</t>
  </si>
  <si>
    <t>010-2518-9280</t>
  </si>
  <si>
    <t>sumin928@gmail.com</t>
  </si>
  <si>
    <t>010-7161-2951</t>
  </si>
  <si>
    <t>pluskeep@gmail.com</t>
  </si>
  <si>
    <t>010-8704-5116</t>
  </si>
  <si>
    <t>tess5116@naver.com</t>
  </si>
  <si>
    <t>010-7278-3286</t>
  </si>
  <si>
    <t>1
Bananas
(Jan.2025)</t>
  </si>
  <si>
    <t>1
Elephants
(Jan.2025)</t>
  </si>
  <si>
    <t>1
Apples
(Jan.2025)</t>
  </si>
  <si>
    <t>1
Gophers
(Jan.2025)</t>
  </si>
  <si>
    <t>1
Hedgehogs
(Jan.2025)</t>
  </si>
  <si>
    <t>1
Dogs
(Jan.2025)</t>
  </si>
  <si>
    <t>1
Frogs
(Jan.2025)</t>
  </si>
  <si>
    <t>M/F</t>
  </si>
  <si>
    <t>James/Yunah(F)</t>
  </si>
  <si>
    <t>1
Iguanas
(Jan.2025)</t>
  </si>
  <si>
    <t>1
Cats
(Jan.2025)</t>
  </si>
  <si>
    <t>2E
Sugar Sprinkles
M/F 2:50~5:50
Laura (F/NF)</t>
  </si>
  <si>
    <t>010-9143-2012</t>
  </si>
  <si>
    <t>pinklish@naver.com</t>
  </si>
  <si>
    <t>1/22) Hailey</t>
  </si>
  <si>
    <t>010-4322-9050</t>
  </si>
  <si>
    <t>taeeun0819@gmail.com</t>
  </si>
  <si>
    <t>010-9464-7171</t>
  </si>
  <si>
    <t>alsk077@naver.com</t>
  </si>
  <si>
    <t>2/13) Hailey</t>
  </si>
  <si>
    <t>Emma 유영현</t>
  </si>
  <si>
    <t>1/7 ~ 1/23</t>
  </si>
  <si>
    <t>010-4190-7671</t>
  </si>
  <si>
    <t>anders0n@hanmail.net</t>
  </si>
  <si>
    <t>010-7195-1002</t>
  </si>
  <si>
    <t>ayeongjo@gmail.com</t>
  </si>
  <si>
    <t>Jane 권재인</t>
  </si>
  <si>
    <t>010-3801-3388</t>
  </si>
  <si>
    <t>qp0803@naver.com</t>
  </si>
  <si>
    <t>2/27) Hailey</t>
  </si>
  <si>
    <t>010-7122-0265</t>
  </si>
  <si>
    <t>ssyy0818@naver.com</t>
  </si>
  <si>
    <t>010-8911-5450</t>
  </si>
  <si>
    <t>geniussu1@naver.com</t>
  </si>
  <si>
    <t>1/9) Claire</t>
  </si>
  <si>
    <t>New</t>
  </si>
  <si>
    <t>2E
Glowing Golden Starlights
(Feb.28 2024)
M/W 2:30~5:30
Erin(F)/Arthur</t>
  </si>
  <si>
    <t>010-6269-8013</t>
  </si>
  <si>
    <t>drama55phy@gmail.com</t>
  </si>
  <si>
    <t>3/13) Desk</t>
  </si>
  <si>
    <t>010-6266-0704</t>
  </si>
  <si>
    <t>hello8877@gmail.com</t>
  </si>
  <si>
    <t>6/7) Naomi</t>
  </si>
  <si>
    <t>010-8866-2651</t>
  </si>
  <si>
    <t>hyp823@naver.com</t>
  </si>
  <si>
    <t>12/24) Diane</t>
  </si>
  <si>
    <t>010-3212-4488</t>
  </si>
  <si>
    <t>omisssco@gmail.com</t>
  </si>
  <si>
    <t>7/17) Naomi</t>
  </si>
  <si>
    <t>8/13) Eddie</t>
  </si>
  <si>
    <t>Hael 김하엘</t>
  </si>
  <si>
    <t>010-6306-6887</t>
  </si>
  <si>
    <t>ibk850929@gmail.com</t>
  </si>
  <si>
    <t>2/3) Claire</t>
  </si>
  <si>
    <t>2A
Radiant Rockets
(Jan.2024)
M 2:30~5:30
W 2:40~5:40
Marco/James(F)</t>
  </si>
  <si>
    <t>YuJin 장유진</t>
  </si>
  <si>
    <t>010-7207-0503</t>
  </si>
  <si>
    <t>baby_sso@naver.com</t>
  </si>
  <si>
    <t>G5 Tom 장서진 동생</t>
  </si>
  <si>
    <t>010-3808-8706</t>
  </si>
  <si>
    <t>hapy2667@naver.com</t>
  </si>
  <si>
    <t>010-7117-0710</t>
  </si>
  <si>
    <t>jsy8502@gmail.com</t>
  </si>
  <si>
    <t xml:space="preserve">James 김시완
</t>
  </si>
  <si>
    <t>010-2514-6825</t>
  </si>
  <si>
    <t>dnq4881@naver.com</t>
  </si>
  <si>
    <t>3/7) Hailey</t>
  </si>
  <si>
    <t>010-8631-3773</t>
  </si>
  <si>
    <t>bluesys83@naver.com</t>
  </si>
  <si>
    <t>Sangjin윤상진 동생</t>
  </si>
  <si>
    <t>5/9) Naomi</t>
  </si>
  <si>
    <t>6/5) Eddie</t>
  </si>
  <si>
    <t>010-2814-4805</t>
  </si>
  <si>
    <t>crystal856@naver.com</t>
  </si>
  <si>
    <t>8/15) Naomi</t>
  </si>
  <si>
    <t>9/12) Eddie</t>
  </si>
  <si>
    <t>Bella 안소민</t>
  </si>
  <si>
    <t>2/3 ~ 2/26</t>
  </si>
  <si>
    <t>010-7134-0119</t>
  </si>
  <si>
    <t>hna0119@naver.com</t>
  </si>
  <si>
    <t>3/19) Hailey</t>
  </si>
  <si>
    <t>010-2961-1851</t>
  </si>
  <si>
    <t>sunghuh0227@gmail.com</t>
  </si>
  <si>
    <t>2T
Marvelous Meerkats
(Jan.2024)
M/W 2:30~5:30
Gregory(F)/Marco</t>
  </si>
  <si>
    <t xml:space="preserve">Daniel 강찬양 </t>
  </si>
  <si>
    <t>010-5340-4648</t>
  </si>
  <si>
    <t>ysshin09@gmail.com</t>
  </si>
  <si>
    <t>010-7148-8057</t>
  </si>
  <si>
    <t>haeyounglee2010@gmail.com</t>
  </si>
  <si>
    <t>G4 Jin 이진현 동생</t>
  </si>
  <si>
    <t>2/15) Hailey</t>
  </si>
  <si>
    <t>010-7767-0939</t>
  </si>
  <si>
    <t>minjkart@gmail.com</t>
  </si>
  <si>
    <t>2/14) Hailey</t>
  </si>
  <si>
    <t xml:space="preserve">Jenny 차해인
</t>
  </si>
  <si>
    <t>010-7276-6825</t>
  </si>
  <si>
    <t>tjtpdms014@hanmail.net</t>
  </si>
  <si>
    <t>3/8) Hailey</t>
  </si>
  <si>
    <t>Lauren</t>
  </si>
  <si>
    <t>010-9034-2552</t>
  </si>
  <si>
    <t>winter011@hanmail.net</t>
  </si>
  <si>
    <t>3/20) Hailey</t>
  </si>
  <si>
    <t>4/17) Hailey</t>
  </si>
  <si>
    <t>010-5206-8316</t>
  </si>
  <si>
    <t>hswhslv42@naver.com</t>
  </si>
  <si>
    <t>3/21) Hailey</t>
  </si>
  <si>
    <t>010-3318-2860</t>
  </si>
  <si>
    <t>landyonel@gmail.com</t>
  </si>
  <si>
    <t>8/12) Naomi</t>
  </si>
  <si>
    <t>8/30) Eddie</t>
  </si>
  <si>
    <t>Jenna 정재나</t>
  </si>
  <si>
    <t>010-5048-1658</t>
  </si>
  <si>
    <t>ssunlikeit@naver.com</t>
  </si>
  <si>
    <t>2E
Wacky Wombats
(Feb.29 2024)
T/TH 2:40~5:40
Kon/Erin(F)</t>
  </si>
  <si>
    <t>010-4244-6052</t>
  </si>
  <si>
    <t>divaeple@nate.com</t>
  </si>
  <si>
    <t>010-2784-0443</t>
  </si>
  <si>
    <t>jiae870122@naver.com</t>
  </si>
  <si>
    <t>010-2385-7834</t>
  </si>
  <si>
    <t>dlrkgp19@naver.com</t>
  </si>
  <si>
    <t>010-8904-4941</t>
  </si>
  <si>
    <t>sjp3014@hotmail.com</t>
  </si>
  <si>
    <t>010-9121-4567</t>
  </si>
  <si>
    <t>ssoneunhee@gmail.com</t>
  </si>
  <si>
    <t>From 4/2 반이동</t>
  </si>
  <si>
    <t>010-9061-8885</t>
  </si>
  <si>
    <t>misun0308@hanmail.net</t>
  </si>
  <si>
    <t>2/28) Naomi</t>
  </si>
  <si>
    <t>2/28) Hailey</t>
  </si>
  <si>
    <t>010-2665-6981</t>
  </si>
  <si>
    <t>jm830124@naver.com</t>
  </si>
  <si>
    <t>3/25) Hailey</t>
  </si>
  <si>
    <t>Seungan 김승안</t>
  </si>
  <si>
    <t>010-6603-2159</t>
  </si>
  <si>
    <t>psh123a@hanmail.net</t>
  </si>
  <si>
    <t>3/12) Hailey</t>
  </si>
  <si>
    <t>5/7) Naomi</t>
  </si>
  <si>
    <t>2E
Fantastic Flying Squirrels
(Jan.2024)
T/TH 2:50~5:50
Dylan(F)/Marco</t>
  </si>
  <si>
    <t>Jio 김지오</t>
  </si>
  <si>
    <t>2/4~2/27</t>
  </si>
  <si>
    <t>010-2236-2934</t>
  </si>
  <si>
    <t>kyung0613@gmail.com</t>
  </si>
  <si>
    <t>ioui0819@hanmail.net</t>
  </si>
  <si>
    <t>G4 Emma 이유정 동생</t>
  </si>
  <si>
    <t>010-8997-0212</t>
  </si>
  <si>
    <t>zinnia21@naver.com</t>
  </si>
  <si>
    <t>Dawon 박다원</t>
  </si>
  <si>
    <t>010-6279-7954</t>
  </si>
  <si>
    <t>sbkstyle@naver.com</t>
  </si>
  <si>
    <t>1/25) Naomi</t>
  </si>
  <si>
    <t>3/4) Hailey</t>
  </si>
  <si>
    <t>Emily 이태라</t>
  </si>
  <si>
    <t>1/23~2/6</t>
  </si>
  <si>
    <t>010-9496-4196</t>
  </si>
  <si>
    <t>aha7910@naver.com</t>
  </si>
  <si>
    <t>010-6701-9413</t>
  </si>
  <si>
    <t>filmbuff@naver.com</t>
  </si>
  <si>
    <t>From 5/7 반이동</t>
  </si>
  <si>
    <t>010-7112-4990</t>
  </si>
  <si>
    <t>sports0234@naver.com</t>
  </si>
  <si>
    <t>From 7/16</t>
  </si>
  <si>
    <t>lvl up, class transfer</t>
  </si>
  <si>
    <t>010-3552-0506</t>
  </si>
  <si>
    <t>susuparty@gmail.com</t>
  </si>
  <si>
    <t>10/7) Hailey</t>
  </si>
  <si>
    <t>10/24) Claire</t>
  </si>
  <si>
    <t>2A
Shimmering Sharks
(Jan.2024)
T 2:30~5:30
TH 2:40~5:40
Yunah/James(F)</t>
  </si>
  <si>
    <t>010-3537-0255</t>
  </si>
  <si>
    <t>sweetsong77@naver.com</t>
  </si>
  <si>
    <t>3월 동생출산</t>
  </si>
  <si>
    <t>4/11) Eddie</t>
  </si>
  <si>
    <t>010-4069-1006</t>
  </si>
  <si>
    <t>jej21c@naver.com</t>
  </si>
  <si>
    <t>G3 Ian 김이안 동생</t>
  </si>
  <si>
    <t>010-6855-9566</t>
  </si>
  <si>
    <t>rew1210@gmail.com</t>
  </si>
  <si>
    <t>Lv 1/23</t>
  </si>
  <si>
    <t>010-4749-2599</t>
  </si>
  <si>
    <t>sara2599@naver.com</t>
  </si>
  <si>
    <t>G1 Mason 문도윤 Twins</t>
  </si>
  <si>
    <t>2/16) Hailey</t>
  </si>
  <si>
    <t>010-9984-4918</t>
  </si>
  <si>
    <t>dew2500@naver.com</t>
  </si>
  <si>
    <t>12/17) Diane</t>
  </si>
  <si>
    <t>Ian 김이안</t>
  </si>
  <si>
    <t>010-9126-0117</t>
  </si>
  <si>
    <t>ella0117@icloud.com</t>
  </si>
  <si>
    <t>12/18) Diane</t>
  </si>
  <si>
    <t>010-2559-8679</t>
  </si>
  <si>
    <t>rayara@naver.com</t>
  </si>
  <si>
    <t>1/15) Claire</t>
  </si>
  <si>
    <t>2T
Shiny Penguins
(Feb.29 2024)
T/TH 2:30-5:30
Erin(F)/Kon</t>
  </si>
  <si>
    <t>010-4730-5383</t>
  </si>
  <si>
    <t>cej1304@naver.com</t>
  </si>
  <si>
    <t>1/25) Hailey</t>
  </si>
  <si>
    <t>010-2036-6931</t>
  </si>
  <si>
    <t>coldrain0216@nate.com</t>
  </si>
  <si>
    <t>G3 Leo 전은호 동생</t>
  </si>
  <si>
    <t>4/16) Eddie</t>
  </si>
  <si>
    <t>010-7117-7958</t>
  </si>
  <si>
    <t>cude81@naver.com</t>
  </si>
  <si>
    <t>010-2343-2451</t>
  </si>
  <si>
    <t>ariels2mom@daum.net</t>
  </si>
  <si>
    <t xml:space="preserve">Terry 김태리
</t>
  </si>
  <si>
    <t>010-7912-3221</t>
  </si>
  <si>
    <t>dpfflfjq@naver.com</t>
  </si>
  <si>
    <t>010-4755-7752</t>
  </si>
  <si>
    <t>kdcat@naver.com</t>
  </si>
  <si>
    <t>From 8/6</t>
  </si>
  <si>
    <t>Sia 안다현 동생</t>
  </si>
  <si>
    <t>4/25) Naomi</t>
  </si>
  <si>
    <t>4/18) Hailey</t>
  </si>
  <si>
    <t>010-5042-4812</t>
  </si>
  <si>
    <t>pokaria@naver.com</t>
  </si>
  <si>
    <t>9/11) Claire</t>
  </si>
  <si>
    <t>010-9041-2380</t>
  </si>
  <si>
    <t>minah712@naver.com</t>
  </si>
  <si>
    <t>11/7) Hailey</t>
  </si>
  <si>
    <t>2/5) Claire</t>
  </si>
  <si>
    <t>2E
Fancy Chameleons
(Jan.2024)
W 2:30~5:30
F 2:40~5:40
Kon/James(F)</t>
  </si>
  <si>
    <t>010-4764-4912</t>
  </si>
  <si>
    <t>yks_love@hanmail.net</t>
  </si>
  <si>
    <t>010-8883-2179</t>
  </si>
  <si>
    <t>hellosyes@naver.com</t>
  </si>
  <si>
    <t>010-2720-2078</t>
  </si>
  <si>
    <t>sookae79@hanmail.net</t>
  </si>
  <si>
    <t>1/8 ~ 1/24</t>
  </si>
  <si>
    <t>010-9223-7502</t>
  </si>
  <si>
    <t>incipit7502@naver.com</t>
  </si>
  <si>
    <t>2/2) Naomi</t>
  </si>
  <si>
    <t>010-6409-1995</t>
  </si>
  <si>
    <t>enoch95y@gmail.com</t>
  </si>
  <si>
    <t>010-3677-9328</t>
  </si>
  <si>
    <t>wow585@naver.com</t>
  </si>
  <si>
    <t>3/5) Hailey</t>
  </si>
  <si>
    <t>010-9914-4857</t>
  </si>
  <si>
    <t>minji1215@naver.com</t>
  </si>
  <si>
    <t>2A
Ambitious Ants
(Jan.2024)
W/F 2:30~5:30
Mimi/Gregory(F)</t>
  </si>
  <si>
    <t>010-3173-5116</t>
  </si>
  <si>
    <t>huhuhu5116@naver.com</t>
  </si>
  <si>
    <t>010-2405-0331</t>
  </si>
  <si>
    <t>nodeulsum@naver.com</t>
  </si>
  <si>
    <t>5/6) Naomi</t>
  </si>
  <si>
    <t>010-3021-1138</t>
  </si>
  <si>
    <t>cuteselly403@naver.com</t>
  </si>
  <si>
    <t>28/5/2024</t>
  </si>
  <si>
    <t>1H Alex 강범수 Twins</t>
  </si>
  <si>
    <t>5/22) Naomi</t>
  </si>
  <si>
    <t>6/12) Eddie</t>
  </si>
  <si>
    <t>010-5505-3381</t>
  </si>
  <si>
    <t>yhchoi0920@kakao.com</t>
  </si>
  <si>
    <t>9/30) Hailey</t>
  </si>
  <si>
    <t>010-6811-0113</t>
  </si>
  <si>
    <t>choijh113@naver.com</t>
  </si>
  <si>
    <t>10/22) Hailey</t>
  </si>
  <si>
    <t>010-9630-6550</t>
  </si>
  <si>
    <t>wby86@naver.com</t>
  </si>
  <si>
    <t>010-6554-2301</t>
  </si>
  <si>
    <t>twinkling23@naver.com</t>
  </si>
  <si>
    <t>1/14) Alice</t>
  </si>
  <si>
    <t>2H
Squishy Octopi
(Jan.2024)
W/F 2:30~5:30
Gregory(F)/Marco</t>
  </si>
  <si>
    <t>010-7474-4098</t>
  </si>
  <si>
    <t>wldnjss0@naver.com</t>
  </si>
  <si>
    <t>010-7680-4445</t>
  </si>
  <si>
    <t>ababc227@naver.com</t>
  </si>
  <si>
    <t>010-7108-7463</t>
  </si>
  <si>
    <t>helena@hmktcoms.com</t>
  </si>
  <si>
    <t>3/27) Naomi</t>
  </si>
  <si>
    <t>010-9083-3714</t>
  </si>
  <si>
    <t>jwseo01@gmail.com</t>
  </si>
  <si>
    <t>From 4/24 반이동</t>
  </si>
  <si>
    <t>4/9) Hailey</t>
  </si>
  <si>
    <t>4/10) Diane</t>
  </si>
  <si>
    <r>
      <rPr>
        <rFont val="Arial"/>
        <color rgb="FF000000"/>
      </rPr>
      <t>010-5333-5334</t>
    </r>
  </si>
  <si>
    <t>helasy@naver.com</t>
  </si>
  <si>
    <t>5/14) Naomi</t>
  </si>
  <si>
    <t>6/17) Eddie</t>
  </si>
  <si>
    <t>010-7162-7771</t>
  </si>
  <si>
    <t>amurostj@naver.com</t>
  </si>
  <si>
    <t>9/9) Hailey</t>
  </si>
  <si>
    <t>010-3822-4486</t>
  </si>
  <si>
    <t>ssu4486@naver.com</t>
  </si>
  <si>
    <t>4/19) Naomi</t>
  </si>
  <si>
    <t>5/24) Eddie</t>
  </si>
  <si>
    <t>2T
Gummy Bears
(April 2024)
Payton(F)/Andrew
M/F 2:40~5:40</t>
  </si>
  <si>
    <t>010-8227-7098</t>
  </si>
  <si>
    <t>at_atln@naver.com</t>
  </si>
  <si>
    <t>010-4204-3322</t>
  </si>
  <si>
    <t>lollol0322@naver.com</t>
  </si>
  <si>
    <t>010-3955-3943</t>
  </si>
  <si>
    <t>vivajinny@naver.com</t>
  </si>
  <si>
    <t>from 5/6</t>
  </si>
  <si>
    <t>5/2) Naomi</t>
  </si>
  <si>
    <t>Seonjune 박선준</t>
  </si>
  <si>
    <t>2/3~2/28</t>
  </si>
  <si>
    <t>010-9266-7876</t>
  </si>
  <si>
    <t>jihyun84@gmail.com</t>
  </si>
  <si>
    <t>9/4) Hailey</t>
  </si>
  <si>
    <t>010-3169-7371</t>
  </si>
  <si>
    <t>kyungah11@naver.com</t>
  </si>
  <si>
    <t>복귀</t>
  </si>
  <si>
    <t>010-6392-0648</t>
  </si>
  <si>
    <t>qjeiadl@naver.com</t>
  </si>
  <si>
    <t>10/30) Hailey</t>
  </si>
  <si>
    <t>1/24) Claire</t>
  </si>
  <si>
    <t>010-9002-4815</t>
  </si>
  <si>
    <t>speedwel82@naver.com</t>
  </si>
  <si>
    <t>Flynn 박도균</t>
  </si>
  <si>
    <t>010-5205-7499</t>
  </si>
  <si>
    <t>lajoie@nate.com</t>
  </si>
  <si>
    <t>1/20) Hailey</t>
  </si>
  <si>
    <t>2T
Mystical Gerbils
(April 2024)
Andrew/Payton(F)
M/W 2:50~5:50</t>
  </si>
  <si>
    <t>010-8876-1538</t>
  </si>
  <si>
    <t>longerlove@hanmail.net</t>
  </si>
  <si>
    <t>Colin 이승표</t>
  </si>
  <si>
    <t>010-2963-6766</t>
  </si>
  <si>
    <t>psy6766@naver.com</t>
  </si>
  <si>
    <t>G5 Michael 사촌동생</t>
  </si>
  <si>
    <t>5/1) Hailey</t>
  </si>
  <si>
    <t>010-6367-9003</t>
  </si>
  <si>
    <t>daize89@gmail.com</t>
  </si>
  <si>
    <t>5/2) Hailey</t>
  </si>
  <si>
    <t>010-8503-1023</t>
  </si>
  <si>
    <t>baragi0120@naver.com</t>
  </si>
  <si>
    <t>7/1) Naomi</t>
  </si>
  <si>
    <t>7/12) Eddie</t>
  </si>
  <si>
    <t xml:space="preserve">010-2040-7139	</t>
  </si>
  <si>
    <t>inseon87@naver.com</t>
  </si>
  <si>
    <t>010-4929-0735</t>
  </si>
  <si>
    <t>andktldus@naver.com</t>
  </si>
  <si>
    <t>10/30/0204</t>
  </si>
  <si>
    <t>10/23) Hailey</t>
  </si>
  <si>
    <t>010-4621-2423</t>
  </si>
  <si>
    <t>dldudwls0617@naver.com</t>
  </si>
  <si>
    <t>010-2848-4764</t>
  </si>
  <si>
    <t>kkm0904@gmail.com</t>
  </si>
  <si>
    <t>1/13) Claire</t>
  </si>
  <si>
    <t>2A
Fantastic Foxes
(April 2024)
Andrew/Payton(F)
T/TH 2:40~5:40</t>
  </si>
  <si>
    <t>010-4146-8913</t>
  </si>
  <si>
    <t>sweetlove96@hanmail.net</t>
  </si>
  <si>
    <t>G1 Emma 문하윤 Twins</t>
  </si>
  <si>
    <t xml:space="preserve">5/2) Naomi </t>
  </si>
  <si>
    <t>1/14 ~ 2/13</t>
  </si>
  <si>
    <t>010-7155-5694</t>
  </si>
  <si>
    <t>betty9092@naver.com</t>
  </si>
  <si>
    <t>010-2844-1098</t>
  </si>
  <si>
    <t>aki847@naver.com</t>
  </si>
  <si>
    <t>010-4880-0407</t>
  </si>
  <si>
    <t>freetobejenny@gmail.com</t>
  </si>
  <si>
    <t>9/29) Hailey</t>
  </si>
  <si>
    <t>010-4559-6989</t>
  </si>
  <si>
    <t>goodanna104@naver.com</t>
  </si>
  <si>
    <t>11/8) Hailey</t>
  </si>
  <si>
    <t>010-7519-3210</t>
  </si>
  <si>
    <t>0192157499@naver.com</t>
  </si>
  <si>
    <t xml:space="preserve">Yujun 정유준 </t>
  </si>
  <si>
    <t>010-7724-7473</t>
  </si>
  <si>
    <t>hannaaa1208@gmail.com</t>
  </si>
  <si>
    <t>1/17) Claire</t>
  </si>
  <si>
    <t>2R
Master Anacondas
(April 2024)
Andrew/Payton(F)
W/F 2:50~5:50</t>
  </si>
  <si>
    <t>010-3109-5747</t>
  </si>
  <si>
    <t>ilovegs0089@gmail.com</t>
  </si>
  <si>
    <t>4/29) Naomi 부재중 문자</t>
  </si>
  <si>
    <t>12/27) Hyeona</t>
  </si>
  <si>
    <t>Evan 이지호</t>
  </si>
  <si>
    <t>2/5 ~ 2/28</t>
  </si>
  <si>
    <t>010-9649-1998</t>
  </si>
  <si>
    <t>junycoll@naver.com</t>
  </si>
  <si>
    <t>4/29) Naomi</t>
  </si>
  <si>
    <t>010-8886-7201</t>
  </si>
  <si>
    <t>soulmateje@naver.com</t>
  </si>
  <si>
    <t>Doi,Dohyung are Twins</t>
  </si>
  <si>
    <t>5/28) Naomi</t>
  </si>
  <si>
    <t>6/26) Eddie</t>
  </si>
  <si>
    <t>010-4703-3832</t>
  </si>
  <si>
    <t>mzw12@naver.com</t>
  </si>
  <si>
    <t>10/14) Claire</t>
  </si>
  <si>
    <t>11/5) Claire</t>
  </si>
  <si>
    <t>010-4252-2338</t>
  </si>
  <si>
    <t>lyl7575@naver.com</t>
  </si>
  <si>
    <t>10/11) Hailey</t>
  </si>
  <si>
    <t>010-4233-2620</t>
  </si>
  <si>
    <t>nicenanjing@naver.com</t>
  </si>
  <si>
    <t>6/4) Naomi</t>
  </si>
  <si>
    <t>6/27) Eddie</t>
  </si>
  <si>
    <t>010-4503-3281</t>
  </si>
  <si>
    <t>haenym25@naver.com</t>
  </si>
  <si>
    <t>2H
Cinnamon Rolls
(April 2024)
T/TH 2:40~5:40
Payton(F)/Andrew</t>
  </si>
  <si>
    <t>010-9835-9976</t>
  </si>
  <si>
    <t>fbdmsdk12@naver.com</t>
  </si>
  <si>
    <t>3/25) Naomi</t>
  </si>
  <si>
    <t>010-9803-6700</t>
  </si>
  <si>
    <t>486eun0@hanmail.net</t>
  </si>
  <si>
    <t xml:space="preserve">3/25) Naomi </t>
  </si>
  <si>
    <t>010-4934-9113</t>
  </si>
  <si>
    <t>gksk0110@naver.com</t>
  </si>
  <si>
    <t>010-2369-0508</t>
  </si>
  <si>
    <t>hidodo2013@naver.com</t>
  </si>
  <si>
    <t>3/29) Naomi</t>
  </si>
  <si>
    <t>2/6 ~ 2/20</t>
  </si>
  <si>
    <t>010-7181-0361</t>
  </si>
  <si>
    <t>yeo7181@gmail.com</t>
  </si>
  <si>
    <t xml:space="preserve">From 7/2 </t>
  </si>
  <si>
    <t>3/19) Naomi</t>
  </si>
  <si>
    <t>4/30) Hailey</t>
  </si>
  <si>
    <t>1/14( Sunny</t>
  </si>
  <si>
    <t>Sophia 전소윤</t>
  </si>
  <si>
    <t>010-6773-8612</t>
  </si>
  <si>
    <t>deerb79@naver.com</t>
  </si>
  <si>
    <t>From 9/24</t>
  </si>
  <si>
    <t>6/18) Hailey</t>
  </si>
  <si>
    <t xml:space="preserve">Jiwoo 박지우
</t>
  </si>
  <si>
    <t>010-3080-1643</t>
  </si>
  <si>
    <t>absw5@hanmail.net</t>
  </si>
  <si>
    <t>010-2930-1531</t>
  </si>
  <si>
    <t>osjntmone1@naver.com</t>
  </si>
  <si>
    <t>2T
NEW
Cherries
(Feb 2025)
T/TH 6:10~9:10
Mimi/Dylan(F)</t>
  </si>
  <si>
    <t>3A
Savvy Sea Otters
M/F 6:10~9:10
Payton(F)/Yunah</t>
  </si>
  <si>
    <t>010-5319-4858</t>
  </si>
  <si>
    <t>keemse21@gmail.com</t>
  </si>
  <si>
    <t xml:space="preserve"> 늦은시간통화가편하심 (7시-7시30분)</t>
  </si>
  <si>
    <t>2/3) Naomi</t>
  </si>
  <si>
    <t>2/13 John</t>
  </si>
  <si>
    <t>2/21) John</t>
  </si>
  <si>
    <t>010-3388-9923</t>
  </si>
  <si>
    <t>glucoseee@gmail.com</t>
  </si>
  <si>
    <t>3/17) Naomi</t>
  </si>
  <si>
    <t>4/10) Naomi</t>
  </si>
  <si>
    <t>010-2784-7970</t>
  </si>
  <si>
    <t>kizuna04@naver.com</t>
  </si>
  <si>
    <t>From 1/5</t>
  </si>
  <si>
    <t>11/17) Naomi</t>
  </si>
  <si>
    <t>1/6 ~ 1/24</t>
  </si>
  <si>
    <t>010-3377-1504</t>
  </si>
  <si>
    <t>shinji1504@naver.com</t>
  </si>
  <si>
    <t>3/18) Hailey</t>
  </si>
  <si>
    <t>4/15) Hailey</t>
  </si>
  <si>
    <t>010-8776-0076</t>
  </si>
  <si>
    <t>tnwls86@hanmail.net</t>
  </si>
  <si>
    <t>12/19) Diane</t>
  </si>
  <si>
    <t>2/22) Naomi</t>
  </si>
  <si>
    <t>3/6) John</t>
  </si>
  <si>
    <t>David 이준서</t>
  </si>
  <si>
    <t>010-5398-8753</t>
  </si>
  <si>
    <t>johnlee077@gmail.com</t>
  </si>
  <si>
    <t>1/15) Hailey</t>
  </si>
  <si>
    <t>3T
Silver Cobras
M/F 6:00~9:00
Dylan(F)/Mimi</t>
  </si>
  <si>
    <t>010-9281-5107</t>
  </si>
  <si>
    <t>aresko107@naver.com</t>
  </si>
  <si>
    <t>2/10) Naomi</t>
  </si>
  <si>
    <t xml:space="preserve">3/18) Naomi  </t>
  </si>
  <si>
    <t>010-7125-7446</t>
  </si>
  <si>
    <t>gieunn@naver.com</t>
  </si>
  <si>
    <t>6/14) John</t>
  </si>
  <si>
    <t>6/28) Naomi</t>
  </si>
  <si>
    <t>010-2592-6424</t>
  </si>
  <si>
    <t>sunny3211@hanmail.net</t>
  </si>
  <si>
    <t>2/24) Naomi</t>
  </si>
  <si>
    <t>11/20) Naomi</t>
  </si>
  <si>
    <t>010-4020-6053</t>
  </si>
  <si>
    <t>joyrang90@naver.com</t>
  </si>
  <si>
    <t>3/18 level up class transfer</t>
  </si>
  <si>
    <t>010-2407-5357</t>
  </si>
  <si>
    <t>yu20j@hotmail.com</t>
  </si>
  <si>
    <t>4/23) Naomi</t>
  </si>
  <si>
    <t>010-3089-7101</t>
  </si>
  <si>
    <t>meet1232@naver.com</t>
  </si>
  <si>
    <t>010-7479-5477</t>
  </si>
  <si>
    <t>2000sin89@hanmail.net</t>
  </si>
  <si>
    <t>6/4) Eddie</t>
  </si>
  <si>
    <t>Irene 이아린</t>
  </si>
  <si>
    <t>010-3211-8045</t>
  </si>
  <si>
    <t>viki06@naver.com</t>
  </si>
  <si>
    <t>3T
Cheerful Crocodiles
M/W 6:00~9:00
Dorothy/Dylan(F)</t>
  </si>
  <si>
    <t>010-3312-7108</t>
  </si>
  <si>
    <t>lovejh0215@naver.com</t>
  </si>
  <si>
    <t>8/18) Hyeona</t>
  </si>
  <si>
    <t>010-4769-1911</t>
  </si>
  <si>
    <t>alsdhfl@gmail.com</t>
  </si>
  <si>
    <t>6/13) Eddie</t>
  </si>
  <si>
    <t>010-2847-9798</t>
  </si>
  <si>
    <t>dmsdla83@naver.com</t>
  </si>
  <si>
    <t>8/14) Naomi</t>
  </si>
  <si>
    <t>1/5) Hailey</t>
  </si>
  <si>
    <t>1/6 ~ 1/22</t>
  </si>
  <si>
    <t>010-7120-0162</t>
  </si>
  <si>
    <t>ilovej1st@naver.com</t>
  </si>
  <si>
    <t>010-7179-7636</t>
  </si>
  <si>
    <t>bonny0318@naver.com</t>
  </si>
  <si>
    <t>2/16) Naomi</t>
  </si>
  <si>
    <t>Jayden 기범주</t>
  </si>
  <si>
    <t>010-6336-4584</t>
  </si>
  <si>
    <t>heaven4585@naver.com</t>
  </si>
  <si>
    <t>4/2) Hailey</t>
  </si>
  <si>
    <t>1/7) Claire</t>
  </si>
  <si>
    <t>Iji 이이지</t>
  </si>
  <si>
    <t>010-6270-0442</t>
  </si>
  <si>
    <t>jessie.lee@nxp.com</t>
  </si>
  <si>
    <t>3E
Hungry Chickens
T/TH 2:30~5:30
Mimi/Aaisha(F)</t>
  </si>
  <si>
    <t>010-2849-0840</t>
  </si>
  <si>
    <t>lovingworld@hanmail.net</t>
  </si>
  <si>
    <t>4/6) Naomi</t>
  </si>
  <si>
    <t>4/24) Naomi</t>
  </si>
  <si>
    <t>4/25) John</t>
  </si>
  <si>
    <t>5/23) John</t>
  </si>
  <si>
    <t>010-5030-4060</t>
  </si>
  <si>
    <t>eternity0406@naver.com</t>
  </si>
  <si>
    <t>2/2) Hailey</t>
  </si>
  <si>
    <t xml:space="preserve">Jinseo 김진서 </t>
  </si>
  <si>
    <t>010-9132-1031</t>
  </si>
  <si>
    <t>purer20@naver.com</t>
  </si>
  <si>
    <t>2/13 부터</t>
  </si>
  <si>
    <t>Level up</t>
  </si>
  <si>
    <t>5/17) Naomi 레벨업</t>
  </si>
  <si>
    <t>010-2991-9360</t>
  </si>
  <si>
    <t>dr.yangssong@gmail.com</t>
  </si>
  <si>
    <t>010-6410-8855</t>
  </si>
  <si>
    <t>bonjourgaga@naver.com</t>
  </si>
  <si>
    <t>010-4442-8574</t>
  </si>
  <si>
    <t>jenny8574@naver.com</t>
  </si>
  <si>
    <t>10/24) HJ</t>
  </si>
  <si>
    <t>010-2652-5175
010-4553-5175(부)</t>
  </si>
  <si>
    <t>hanilim03@gmail.com</t>
  </si>
  <si>
    <t>3E
Sonic Hedgehogs
T/TH 2:30~5:30
Xing(F)/Dorothy</t>
  </si>
  <si>
    <t>010-4849-6921(엄마)
010-6380-7361(kakao) 아빠</t>
  </si>
  <si>
    <t>dide1115@naver.com</t>
  </si>
  <si>
    <t>2/9) John</t>
  </si>
  <si>
    <t>2/15) John</t>
  </si>
  <si>
    <t>2/16) John</t>
  </si>
  <si>
    <t>010-7757-2826</t>
  </si>
  <si>
    <t>armisss@naver.com</t>
  </si>
  <si>
    <t>1/23) Claire</t>
  </si>
  <si>
    <t>010-9004-1467</t>
  </si>
  <si>
    <t>lee.juhong731@gmail.com</t>
  </si>
  <si>
    <t>010-2040-3154</t>
  </si>
  <si>
    <t>gorgeous3154@naver.com</t>
  </si>
  <si>
    <t>6/24) Hailey</t>
  </si>
  <si>
    <t>7/8 Eddie</t>
  </si>
  <si>
    <t>010-5196-9002</t>
  </si>
  <si>
    <t>vivienpark@naver.com</t>
  </si>
  <si>
    <t>from 9/24</t>
  </si>
  <si>
    <t>4/13) John</t>
  </si>
  <si>
    <t>4/14) Eddie</t>
  </si>
  <si>
    <t>4/18) Eddie</t>
  </si>
  <si>
    <t>010-4006-8830</t>
  </si>
  <si>
    <t>jjam0212@gmail.com</t>
  </si>
  <si>
    <t>Lala 김유주</t>
  </si>
  <si>
    <t>010-8982-1977</t>
  </si>
  <si>
    <t>mj7963@nate.com</t>
  </si>
  <si>
    <t>2/12) Claire</t>
  </si>
  <si>
    <t>Ellie 신수현</t>
  </si>
  <si>
    <t>010-3756-3566</t>
  </si>
  <si>
    <t>jincoree@naver.com</t>
  </si>
  <si>
    <t>From 8/14</t>
  </si>
  <si>
    <t>3T
Heroic Jaguars
T/TH 2:30~5:30
Aaisha(F)/Mimi</t>
  </si>
  <si>
    <t>010-5250-6308</t>
  </si>
  <si>
    <t>paris4215@naver.com</t>
  </si>
  <si>
    <t>010-8558-0123</t>
  </si>
  <si>
    <t>rachealw@naver.com</t>
  </si>
  <si>
    <t>4/6) John</t>
  </si>
  <si>
    <t>11/16) Hailey</t>
  </si>
  <si>
    <t>010-2029-7985</t>
  </si>
  <si>
    <t>jh802802@naver.com</t>
  </si>
  <si>
    <t>2/9) Naomi</t>
  </si>
  <si>
    <t>010-6821-1118</t>
  </si>
  <si>
    <t>crewcsy@gmail.com</t>
  </si>
  <si>
    <t>9/13) Hailey</t>
  </si>
  <si>
    <t>010-3891-3930</t>
  </si>
  <si>
    <t>syc318@naver.com</t>
  </si>
  <si>
    <t>From 4/17</t>
  </si>
  <si>
    <t>9/26) Naomi</t>
  </si>
  <si>
    <t>10/20) Naomi</t>
  </si>
  <si>
    <t>Ella 하지우</t>
  </si>
  <si>
    <t>010-8903-3734</t>
  </si>
  <si>
    <t>sooya2188@naver.com</t>
  </si>
  <si>
    <t>7/11) Hailey</t>
  </si>
  <si>
    <t>7/24) Eddie</t>
  </si>
  <si>
    <t>Grace 박하은</t>
  </si>
  <si>
    <t>010-4176-3901</t>
  </si>
  <si>
    <t>geunkyung86@naver.com</t>
  </si>
  <si>
    <t>Leo 박도윤</t>
  </si>
  <si>
    <t>010-9072-2212</t>
  </si>
  <si>
    <t>treeysh1107@naver.com</t>
  </si>
  <si>
    <t>2/21) Claire</t>
  </si>
  <si>
    <t>3T
Keen Kakapos
T/TH 6:10~9:10
Yunah/Greg(F)</t>
  </si>
  <si>
    <t>010-9146-7443</t>
  </si>
  <si>
    <t>myokim84@hotmail.com</t>
  </si>
  <si>
    <t>7/25 부터</t>
  </si>
  <si>
    <t>721) Eddie</t>
  </si>
  <si>
    <t>4/10) Hailey</t>
  </si>
  <si>
    <t>2/13~2/18</t>
  </si>
  <si>
    <t>010-4708-2542</t>
  </si>
  <si>
    <t>imageplanner@naver.com</t>
  </si>
  <si>
    <t>8/15 부터</t>
  </si>
  <si>
    <t>8/15 부터 스케줄로 인하여 반이동</t>
  </si>
  <si>
    <t>6/19) Eddie</t>
  </si>
  <si>
    <t>6/21) John</t>
  </si>
  <si>
    <t>010-9257-6009</t>
  </si>
  <si>
    <t>gksquf84@naver.com</t>
  </si>
  <si>
    <t>8/30) Naomi</t>
  </si>
  <si>
    <t>9/13) Naomi</t>
  </si>
  <si>
    <t>3/22) Eddie</t>
  </si>
  <si>
    <t>010-9389-1294</t>
  </si>
  <si>
    <t>white8308@naver.com</t>
  </si>
  <si>
    <t>1/8) Naomi</t>
  </si>
  <si>
    <t>010-4621-5516</t>
  </si>
  <si>
    <t>roseleejong@naver.com</t>
  </si>
  <si>
    <t>12/26) Diane</t>
  </si>
  <si>
    <t>Kevin 조규빈</t>
  </si>
  <si>
    <t xml:space="preserve">2/18~2/27 </t>
  </si>
  <si>
    <t>010-5491-9943</t>
  </si>
  <si>
    <t>guswnqkr88@naver.com</t>
  </si>
  <si>
    <t>010-6388-6994</t>
  </si>
  <si>
    <t>qkralgml4016@naver.com</t>
  </si>
  <si>
    <t>Jenny 김가은</t>
  </si>
  <si>
    <t>010-6584-8879</t>
  </si>
  <si>
    <t>mjsjmj123@gmail.com</t>
  </si>
  <si>
    <t>7/12) Naomi</t>
  </si>
  <si>
    <t>8/1) Eddie</t>
  </si>
  <si>
    <t>3E
Astonishing Owls
M/W 2:40~5:40
Jayson/Erin(F)</t>
  </si>
  <si>
    <t>010-9006-2191</t>
  </si>
  <si>
    <t>djfql16@gmail.com</t>
  </si>
  <si>
    <t>2/15) John  O</t>
  </si>
  <si>
    <t>2/23) John</t>
  </si>
  <si>
    <t>7/27) Naomi</t>
  </si>
  <si>
    <t>010-5534-7592</t>
  </si>
  <si>
    <t>boomiworld@naver.com</t>
  </si>
  <si>
    <t xml:space="preserve">010-4161-9517
</t>
  </si>
  <si>
    <t>inside353@hanmail.net</t>
  </si>
  <si>
    <t>7/27) John</t>
  </si>
  <si>
    <t>010-4179-9313</t>
  </si>
  <si>
    <t>kjm9313@naver.com</t>
  </si>
  <si>
    <t>010-6229-6532
010-9140-9746(아버님)</t>
  </si>
  <si>
    <t>mariebini36@gmail.com
kjonghwa@gmail.com</t>
  </si>
  <si>
    <t>Peanut allergy</t>
  </si>
  <si>
    <t>2/16) John  O</t>
  </si>
  <si>
    <t>010-9312-0282</t>
  </si>
  <si>
    <t>kimuni78@naver.com</t>
  </si>
  <si>
    <t>010-9995-6256</t>
  </si>
  <si>
    <t>ohora1126@naver.com</t>
  </si>
  <si>
    <t>2/27 Naomi</t>
  </si>
  <si>
    <t>3/9) Naomi</t>
  </si>
  <si>
    <t>4/5) Naomi</t>
  </si>
  <si>
    <t>3E
Brilliant Bishops
M 6:10~9:10
W 6:00~9:00
James(F)/Dorothy</t>
  </si>
  <si>
    <t>010-7125-6367</t>
  </si>
  <si>
    <t xml:space="preserve">88-yr@hanmail.net </t>
  </si>
  <si>
    <t>010-2858-7190</t>
  </si>
  <si>
    <t>pandaforce@naver.com</t>
  </si>
  <si>
    <t>10/6) Naomi</t>
  </si>
  <si>
    <t>10/30) Naomi</t>
  </si>
  <si>
    <t>7/11) John</t>
  </si>
  <si>
    <t>010-8878-7392</t>
  </si>
  <si>
    <t>junodanube@naver.com</t>
  </si>
  <si>
    <t>8/11) Naomi</t>
  </si>
  <si>
    <t>010-9359-5542</t>
  </si>
  <si>
    <t>oebbuneo@naver.com</t>
  </si>
  <si>
    <t>7/2) Eddie</t>
  </si>
  <si>
    <t>010-8758-7910</t>
  </si>
  <si>
    <t>cici7979@naver.com</t>
  </si>
  <si>
    <t>From 7/31</t>
  </si>
  <si>
    <t>Lynn 백수린</t>
  </si>
  <si>
    <t>2/3~2/26</t>
  </si>
  <si>
    <t>010-9123-1596</t>
  </si>
  <si>
    <t>imbenedict@naver.com</t>
  </si>
  <si>
    <t>2/15) John  O (20일 등록결정)</t>
  </si>
  <si>
    <t>2/20) John</t>
  </si>
  <si>
    <t>010-9334-0119</t>
  </si>
  <si>
    <t>solikki0119@naver.com</t>
  </si>
  <si>
    <t>1/19) Naomi</t>
  </si>
  <si>
    <t>010-4734-0485</t>
  </si>
  <si>
    <t>baluv621@naver.com</t>
  </si>
  <si>
    <t>3T
Heavenly Hyenas
W/F 6:00~9:00
Aaisha(F)/Dorothy</t>
  </si>
  <si>
    <t>010-9208-9940</t>
  </si>
  <si>
    <t>mijungmoon86@daum.net</t>
  </si>
  <si>
    <t>1/10) Naomi</t>
  </si>
  <si>
    <t>010-9600-5068</t>
  </si>
  <si>
    <t>dune39@naver.com</t>
  </si>
  <si>
    <t>010-3230-2724</t>
  </si>
  <si>
    <t>thanksvirus@naver.com</t>
  </si>
  <si>
    <t>2/23) Naomi</t>
  </si>
  <si>
    <t>010-8611-6437</t>
  </si>
  <si>
    <t>wksajflcjsu@naver.com</t>
  </si>
  <si>
    <t>010-4635-9202</t>
  </si>
  <si>
    <t>angelina2080@hanmail.net</t>
  </si>
  <si>
    <t>Doris 이하늘 언니</t>
  </si>
  <si>
    <t>1/21) Hailey</t>
  </si>
  <si>
    <t>Jennie 최예린</t>
  </si>
  <si>
    <t>010-9185-0955</t>
  </si>
  <si>
    <t>hyejin9185@naver.com</t>
  </si>
  <si>
    <t>6/11부터</t>
  </si>
  <si>
    <t>6/20) Eddie</t>
  </si>
  <si>
    <t>Luna 김루나</t>
  </si>
  <si>
    <t>010-3365-0730</t>
  </si>
  <si>
    <t>sa2da1007@hanmail.net</t>
  </si>
  <si>
    <t xml:space="preserve">7/8) Naomi </t>
  </si>
  <si>
    <t>7/25 Eddie</t>
  </si>
  <si>
    <t>3A
Mirthful Manta Rays
W/F 2:30~5:30
Yunah/Erin(F)</t>
  </si>
  <si>
    <t>010-5238-8038</t>
  </si>
  <si>
    <t>wje8038@kakao.com</t>
  </si>
  <si>
    <t>From 1/3</t>
  </si>
  <si>
    <t>9/4) Naomi</t>
  </si>
  <si>
    <t>010-3837-3486</t>
  </si>
  <si>
    <t>7602039@naver.com</t>
  </si>
  <si>
    <t>3/21) John</t>
  </si>
  <si>
    <t>010-4819-7741</t>
  </si>
  <si>
    <t>s3146655@naver.com</t>
  </si>
  <si>
    <t>010-5311-0212</t>
  </si>
  <si>
    <t>sujubm505@naver.com</t>
  </si>
  <si>
    <t>From 9/4</t>
  </si>
  <si>
    <t>010-8866-0779</t>
  </si>
  <si>
    <t>ohjh412@gmail.com</t>
  </si>
  <si>
    <t>8/28) Naomi</t>
  </si>
  <si>
    <t>010-2697-0363</t>
  </si>
  <si>
    <t>shyssh@naver.com</t>
  </si>
  <si>
    <t>Alec 엄태후</t>
  </si>
  <si>
    <t>010-3251-5614</t>
  </si>
  <si>
    <t>yunhi80@naver.com</t>
  </si>
  <si>
    <t>2/5) Hyeona</t>
  </si>
  <si>
    <t>3H
Smiling Green Apples
M/F 6:00~9:00
Aaisha(F)/Andrew</t>
  </si>
  <si>
    <t>010-9995-4860</t>
  </si>
  <si>
    <t>zzangeunhye@gmail.com</t>
  </si>
  <si>
    <t>8/5) Naomi</t>
  </si>
  <si>
    <t>9/4) Eddie</t>
  </si>
  <si>
    <t>010-5474-2150</t>
  </si>
  <si>
    <t>euirok@gmail.com</t>
  </si>
  <si>
    <t>8/2) Naomi</t>
  </si>
  <si>
    <t>8/22) Eddie</t>
  </si>
  <si>
    <t>010-8718-5245</t>
  </si>
  <si>
    <t>matt999@naver.com</t>
  </si>
  <si>
    <t>010-7415-0607</t>
  </si>
  <si>
    <t>khj120115@naver.com</t>
  </si>
  <si>
    <t>12/23) Diane</t>
  </si>
  <si>
    <t>010-5480-3705</t>
  </si>
  <si>
    <t>deuxist103@naver.com</t>
  </si>
  <si>
    <t>12/21) Naomi</t>
  </si>
  <si>
    <t>010-7323-8967</t>
  </si>
  <si>
    <t>anny7979@naver.com</t>
  </si>
  <si>
    <t>010-5009-7447</t>
  </si>
  <si>
    <t xml:space="preserve">hahaha2601@naver.com  </t>
  </si>
  <si>
    <t>3H
Dancing Donuts
T 2:40~5:40
TH 2:30~5:30
James(F)/Arthur</t>
  </si>
  <si>
    <t>010-9825-0577</t>
  </si>
  <si>
    <t>miracle0228@naver.com</t>
  </si>
  <si>
    <t>010-7681-8944</t>
  </si>
  <si>
    <t>spica1211@naver.com</t>
  </si>
  <si>
    <t>5/29) Eddie</t>
  </si>
  <si>
    <t>010-6421-5264</t>
  </si>
  <si>
    <t>csj094@naver.com</t>
  </si>
  <si>
    <t>Lucy 최지율's brother</t>
  </si>
  <si>
    <t>7/16) Eddie</t>
  </si>
  <si>
    <t>010-2524-8261</t>
  </si>
  <si>
    <t>dak7472@naver.com</t>
  </si>
  <si>
    <t>8/23) Naomi</t>
  </si>
  <si>
    <t>2/11~2/20</t>
  </si>
  <si>
    <t>010-2628-8907</t>
  </si>
  <si>
    <t>ham0516@daum.net</t>
  </si>
  <si>
    <t>11/8) Claire</t>
  </si>
  <si>
    <t>010-6226-0402</t>
  </si>
  <si>
    <t>haegumhj@naver.com</t>
  </si>
  <si>
    <t>010-7374-7105</t>
  </si>
  <si>
    <t>meredithgrey@naver.com</t>
  </si>
  <si>
    <t>4/3) Hailey</t>
  </si>
  <si>
    <t>Chloe 김시은</t>
  </si>
  <si>
    <t>010-8942-5843</t>
  </si>
  <si>
    <t>soopiash@naver.com</t>
  </si>
  <si>
    <t>3A
Ruby Raindrops
(Jan.2024)
T 6:10~9:10
TH 6:00~9:00
James(F)/Dorothy</t>
  </si>
  <si>
    <t>010-8559-8458</t>
  </si>
  <si>
    <t>hyunju0200@naver.com</t>
  </si>
  <si>
    <t>010-5892-2634</t>
  </si>
  <si>
    <t>gr282@naver.com</t>
  </si>
  <si>
    <t>010-7161-8653</t>
  </si>
  <si>
    <t>sarang503@gmail.com</t>
  </si>
  <si>
    <t>3/14) Eddie</t>
  </si>
  <si>
    <t>6/8)Hyeona</t>
  </si>
  <si>
    <t>9/24 부터</t>
  </si>
  <si>
    <t>2/27) Naomi</t>
  </si>
  <si>
    <t>7/5) Naomi</t>
  </si>
  <si>
    <t>6/13) John</t>
  </si>
  <si>
    <t>12/26~1/23</t>
  </si>
  <si>
    <t>010-6296-3368</t>
  </si>
  <si>
    <t>piglet1227@daum.net</t>
  </si>
  <si>
    <t>3/6) Hailey</t>
  </si>
  <si>
    <t>010-6874-7441</t>
  </si>
  <si>
    <t>barbiezo@naver.com</t>
  </si>
  <si>
    <t>010-3900-1032</t>
  </si>
  <si>
    <t>hyojoung09@naver.com</t>
  </si>
  <si>
    <t>9/27) Eddie</t>
  </si>
  <si>
    <t xml:space="preserve">3A
Hot Dogs
(April 2024)
T/TH 6:10~9:10
Payton(F)/Andrew
</t>
  </si>
  <si>
    <t>010-9459-0191</t>
  </si>
  <si>
    <t>hyoeun0191@naver.com</t>
  </si>
  <si>
    <t>From 4/2</t>
  </si>
  <si>
    <t>3/10) John</t>
  </si>
  <si>
    <t>4/11) John</t>
  </si>
  <si>
    <t>1/5) Naomi</t>
  </si>
  <si>
    <t>2/11요청</t>
  </si>
  <si>
    <t>010-5333-0546</t>
  </si>
  <si>
    <t>hylover82@naver.com</t>
  </si>
  <si>
    <t>3/18) Naomi</t>
  </si>
  <si>
    <t>수업 태도 문제로 Hailey 첫주 상담 예정</t>
  </si>
  <si>
    <t>010-7704-1601</t>
  </si>
  <si>
    <t>sangah00@naver.com</t>
  </si>
  <si>
    <t xml:space="preserve">3/18) Naomi </t>
  </si>
  <si>
    <t>010-9248-6548</t>
  </si>
  <si>
    <t>eppundada@naver.com</t>
  </si>
  <si>
    <t>5/16) Eddie</t>
  </si>
  <si>
    <t>010-5450-1777</t>
  </si>
  <si>
    <t>fntrl@hanmail.net</t>
  </si>
  <si>
    <t>5/20) Eddie</t>
  </si>
  <si>
    <t>010-2250-0627</t>
  </si>
  <si>
    <t>hwithu82@gmail.com</t>
  </si>
  <si>
    <t>010-8512-8353</t>
  </si>
  <si>
    <t>elle1986@hanmail.net</t>
  </si>
  <si>
    <t>3/6) Naomi</t>
  </si>
  <si>
    <t>010-7208-0812</t>
  </si>
  <si>
    <t>200515004@hanmail.net</t>
  </si>
  <si>
    <t>6/18) Eddie</t>
  </si>
  <si>
    <t>3A
Special Diamonds
(May. 2024)
M/W 6:20-9:20
Andrew/Payton(F)</t>
  </si>
  <si>
    <t>010-2767-9836</t>
  </si>
  <si>
    <t>eunsuk0727@naver.com</t>
  </si>
  <si>
    <t xml:space="preserve">5/17) Naomi </t>
  </si>
  <si>
    <t>010-9511-1352</t>
  </si>
  <si>
    <t>na6can@naver.com</t>
  </si>
  <si>
    <t>010-7178-6935</t>
  </si>
  <si>
    <t>jtm0319@naver.com</t>
  </si>
  <si>
    <t>8/5 Special Diamonds로 반 이동</t>
  </si>
  <si>
    <t>010-7233-2504</t>
  </si>
  <si>
    <t>tinny9@naver.com</t>
  </si>
  <si>
    <t>Ria 김리아</t>
  </si>
  <si>
    <t>3/19~3/31</t>
  </si>
  <si>
    <t>010-8486-1121</t>
  </si>
  <si>
    <t>wasslove@naver.com</t>
  </si>
  <si>
    <t>010-2473-1763</t>
  </si>
  <si>
    <t>sk22576@naver.com</t>
  </si>
  <si>
    <t>3/7) John</t>
  </si>
  <si>
    <t>3/7) Naomi</t>
  </si>
  <si>
    <t>3/22) Naomi</t>
  </si>
  <si>
    <t>8/1) Hyeona</t>
  </si>
  <si>
    <t>9/13 Kaylie</t>
  </si>
  <si>
    <t>Elly 정서윤</t>
  </si>
  <si>
    <t>010-3477-0604</t>
  </si>
  <si>
    <t>whitetree13@naver.com</t>
  </si>
  <si>
    <t>3E
Sonic Hedgehogs
(Jan.2023)
T/TH 2:30~5:30
Xing(F)/Dorothy</t>
  </si>
  <si>
    <t>3E
Cherries
(Mar.2025)
T/TH 6:00~9:00
Mimi/Dylan(F)</t>
  </si>
  <si>
    <t>Birthday</t>
  </si>
  <si>
    <t>Class Join Date</t>
  </si>
  <si>
    <t>5E
Magical Blue Dragons
M/F 6:00-9:00
Xing(F)/Konstantinos</t>
  </si>
  <si>
    <t>From 23/5/8</t>
  </si>
  <si>
    <t>010-4650-8021</t>
  </si>
  <si>
    <t>gus8021@naver.com</t>
  </si>
  <si>
    <t>From 24/1/5</t>
  </si>
  <si>
    <t>left in Aug. / return Dec.18</t>
  </si>
  <si>
    <t>010-3864-0163</t>
  </si>
  <si>
    <t>okohyess@gmail.com</t>
  </si>
  <si>
    <t>8/17) Naomi</t>
  </si>
  <si>
    <t>9/10) Eddie</t>
  </si>
  <si>
    <t>Jane 이보경</t>
  </si>
  <si>
    <t>010-4466-0804</t>
  </si>
  <si>
    <t>kkongrui@naver.com</t>
  </si>
  <si>
    <t>left in Nov. / return Feb 3rd</t>
  </si>
  <si>
    <t>5A
Starlight Screamers
M/F 6:00-9:00
Arthur/Gregory(F)</t>
  </si>
  <si>
    <t>010-2248-3919</t>
  </si>
  <si>
    <t>one-find-day@hanmail.net</t>
  </si>
  <si>
    <t>010-8949-4603</t>
  </si>
  <si>
    <t>sej062401@naver.com</t>
  </si>
  <si>
    <t>2023/12/1 반이동</t>
  </si>
  <si>
    <t>G1 Joohyun 이주현 형</t>
  </si>
  <si>
    <t>010-5122-7684</t>
  </si>
  <si>
    <t>withu@hanmail.net</t>
  </si>
  <si>
    <t>2025/1/6 반이동</t>
  </si>
  <si>
    <t>5E
Active Coconuts
W/F 6:10-9:10
Xing(F)/Arthur</t>
  </si>
  <si>
    <t>010-8833-8097</t>
  </si>
  <si>
    <t>oliviahomeworkschedule@gmail.com</t>
  </si>
  <si>
    <t>010-9291-9680</t>
  </si>
  <si>
    <t>sokongju24@gmail.com</t>
  </si>
  <si>
    <t>Jimmy 안준민</t>
  </si>
  <si>
    <t>010-6425-0247</t>
  </si>
  <si>
    <t>tisfls21@naver.com</t>
  </si>
  <si>
    <t>From 4/24</t>
  </si>
  <si>
    <t xml:space="preserve">class transfer level up </t>
  </si>
  <si>
    <t>010-9128-1040</t>
  </si>
  <si>
    <t>sanoolimm@gmail.com</t>
  </si>
  <si>
    <t>Sebin and Semin are Twins</t>
  </si>
  <si>
    <t>8/8) Naomi</t>
  </si>
  <si>
    <t>8/27)Eddie</t>
  </si>
  <si>
    <t>010-4199-8749</t>
  </si>
  <si>
    <t>kafka20@naver.com</t>
  </si>
  <si>
    <t>9/12) Hailey</t>
  </si>
  <si>
    <t>4A
United Hamsters
M/F 6:10-9:10
Mimi/James(F)</t>
  </si>
  <si>
    <t>010-4200-1254</t>
  </si>
  <si>
    <t>kyeran00@naver.com</t>
  </si>
  <si>
    <t>010-9164-8276</t>
  </si>
  <si>
    <t>yunjikim80@gmail.com</t>
  </si>
  <si>
    <t>010-2109-3680</t>
  </si>
  <si>
    <t>helena2691@naver.com</t>
  </si>
  <si>
    <t>010-9488-4333</t>
  </si>
  <si>
    <t>naya3090@naver.com</t>
  </si>
  <si>
    <t>010-6281-9185</t>
  </si>
  <si>
    <t>ricky1983@hanmail.net</t>
  </si>
  <si>
    <t>4/24) Eddie</t>
  </si>
  <si>
    <t>Tina 양서영</t>
  </si>
  <si>
    <t>010-8490-8425</t>
  </si>
  <si>
    <t>yunheys@naver.com</t>
  </si>
  <si>
    <t>7/26) Naomi</t>
  </si>
  <si>
    <t>8/20) Eddie</t>
  </si>
  <si>
    <t>Jennie 최지율</t>
  </si>
  <si>
    <t>010-9373-1303</t>
  </si>
  <si>
    <t>koco1303@gmail.com</t>
  </si>
  <si>
    <t xml:space="preserve">3/19) Naomi </t>
  </si>
  <si>
    <t>4T
Lovely Roses
T/TH 6:00~9:00
Xing(F)/Yunah</t>
  </si>
  <si>
    <t>010-9055-2158</t>
  </si>
  <si>
    <t>mikai@daum.net</t>
  </si>
  <si>
    <t>010-5305-2343</t>
  </si>
  <si>
    <t>rsefa80@gmail.com</t>
  </si>
  <si>
    <t>010-8915-5540</t>
  </si>
  <si>
    <t>tnwls0909@hanmail.net</t>
  </si>
  <si>
    <t>1/7 ~ 2/6</t>
  </si>
  <si>
    <t>010-4900-6125</t>
  </si>
  <si>
    <t>nicejjy87@naver.com</t>
  </si>
  <si>
    <t>3/15) Hailey</t>
  </si>
  <si>
    <t>010-2002-2590</t>
  </si>
  <si>
    <t>jhlee1011@gmail.com</t>
  </si>
  <si>
    <t>5/6) Hailey</t>
  </si>
  <si>
    <t>6/6) Eddie</t>
  </si>
  <si>
    <t>010-7700-1245</t>
  </si>
  <si>
    <t>potable1@naver.com</t>
  </si>
  <si>
    <t>010-9194-7294</t>
  </si>
  <si>
    <t>chwjd3333@naver.com</t>
  </si>
  <si>
    <t>4E
Crystal Phoenixes
T/TH 6:20~9:20
Dylan(F)/Marco</t>
  </si>
  <si>
    <t>010-8558-8499</t>
  </si>
  <si>
    <t>nykim0717@gmail.com</t>
  </si>
  <si>
    <t>010-5341-3209</t>
  </si>
  <si>
    <t>diyona02@gmail.com</t>
  </si>
  <si>
    <t>010-6311-0198</t>
  </si>
  <si>
    <t>smilemj39@gmail.com</t>
  </si>
  <si>
    <t>11/11) Claire</t>
  </si>
  <si>
    <t>Alice  김세림</t>
  </si>
  <si>
    <t>010-7259-3926</t>
  </si>
  <si>
    <t>matting@hanmail.net</t>
  </si>
  <si>
    <t>level up</t>
  </si>
  <si>
    <t>Ri Ahn 이리안</t>
  </si>
  <si>
    <t>010-2023-5113</t>
  </si>
  <si>
    <t>transmarine@naver.com</t>
  </si>
  <si>
    <t>5/21) Eddie</t>
  </si>
  <si>
    <t>Seah 장세아</t>
  </si>
  <si>
    <t>010-3656-7307</t>
  </si>
  <si>
    <t>ellovii@hotmail.com</t>
  </si>
  <si>
    <t>9/3) Eddie</t>
  </si>
  <si>
    <t>Aiden 장윤우</t>
  </si>
  <si>
    <t>010-4707-7122</t>
  </si>
  <si>
    <t>shypam@icloud.com</t>
  </si>
  <si>
    <t>1/2) Naomi</t>
  </si>
  <si>
    <t>4A
Powerful Red Pandas
T/TH 6:10~9:10
Dorothy/Xing(F)</t>
  </si>
  <si>
    <t>010-7165-1201</t>
  </si>
  <si>
    <t>chacha0423@naver.com</t>
  </si>
  <si>
    <t>010-5267-0294</t>
  </si>
  <si>
    <t>1004goeun@hanmail.net</t>
  </si>
  <si>
    <t>010-6785-8829</t>
  </si>
  <si>
    <t>jjong1329@naver.com</t>
  </si>
  <si>
    <t>level up 5/14</t>
  </si>
  <si>
    <t>2/6~2/13</t>
  </si>
  <si>
    <t>010-2646-7958</t>
  </si>
  <si>
    <t>soyunelove@naver.com</t>
  </si>
  <si>
    <t>010-6217-4862</t>
  </si>
  <si>
    <t>sikusiku130@gmail.com</t>
  </si>
  <si>
    <t>10/4) Hailey</t>
  </si>
  <si>
    <t>Yunu 김윤우</t>
  </si>
  <si>
    <t>010-9075-9157</t>
  </si>
  <si>
    <t>banila0925@gmail.com</t>
  </si>
  <si>
    <t>2/4) Hailey</t>
  </si>
  <si>
    <t>4A
Electric Woodpeckers
T/TH 6:10~9:10
Marco/James(F)</t>
  </si>
  <si>
    <t>010-9351-3060</t>
  </si>
  <si>
    <t>sjh45@daum.net</t>
  </si>
  <si>
    <t>1/18) Naomi</t>
  </si>
  <si>
    <t>010-8268-0217</t>
  </si>
  <si>
    <t>zzuimi@hanmail.net</t>
  </si>
  <si>
    <t>010-2773-7906</t>
  </si>
  <si>
    <t>yhkwon626@gmail.com</t>
  </si>
  <si>
    <t>010-8723-1634</t>
  </si>
  <si>
    <t xml:space="preserve"> lingo0128@naver.com </t>
  </si>
  <si>
    <t>Level Up from 1/9</t>
  </si>
  <si>
    <t>Sangjin윤상진</t>
  </si>
  <si>
    <t>Liam 이세현</t>
  </si>
  <si>
    <t xml:space="preserve"> 2/4~2/27</t>
  </si>
  <si>
    <t>010-3121-9377</t>
  </si>
  <si>
    <t>ryuseungun@naver.com</t>
  </si>
  <si>
    <t>1/24) Hailey</t>
  </si>
  <si>
    <t>010-4860-4162</t>
  </si>
  <si>
    <t>jh7619@naver.com</t>
  </si>
  <si>
    <t>4T
Hot Coffees 
T/TH 6:00~9:00
Aaisha(F)/Mimi</t>
  </si>
  <si>
    <t>010-8934-9103</t>
  </si>
  <si>
    <t>idyia@naver.com</t>
  </si>
  <si>
    <t>010-3854-5484</t>
  </si>
  <si>
    <t>010-8716-7014</t>
  </si>
  <si>
    <t>donghyun09@hotmail.com</t>
  </si>
  <si>
    <t>010-8008-6458</t>
  </si>
  <si>
    <t>buky1@naver.com</t>
  </si>
  <si>
    <t>1/3) Hailey</t>
  </si>
  <si>
    <t xml:space="preserve">Maria 이지윤 </t>
  </si>
  <si>
    <t>010-4289-2323</t>
  </si>
  <si>
    <t>ekfrl4280@naver.com</t>
  </si>
  <si>
    <t>leve up class transfered</t>
  </si>
  <si>
    <t>010-4697-3055</t>
  </si>
  <si>
    <t>zooty87@naver.com</t>
  </si>
  <si>
    <t>7시이후 통화가능</t>
  </si>
  <si>
    <t>010-2311-6728</t>
  </si>
  <si>
    <t>yulim198@naver.com</t>
  </si>
  <si>
    <t>4A
Dazzling Galaxies
M/W 6:00-9:00
Gregory(F)/Konstantinos</t>
  </si>
  <si>
    <t>010-7435-0037</t>
  </si>
  <si>
    <t>bbbake@naver.com</t>
  </si>
  <si>
    <t>010-5484-1522</t>
  </si>
  <si>
    <t>hongton@naver.com</t>
  </si>
  <si>
    <t>010-3225-0876</t>
  </si>
  <si>
    <t>marie.stella1019@gmail.com</t>
  </si>
  <si>
    <t>010-8920-1570</t>
  </si>
  <si>
    <t>hj830619@naver.com</t>
  </si>
  <si>
    <t>010-2006-9552</t>
  </si>
  <si>
    <t>visionye3@naver.com</t>
  </si>
  <si>
    <t>12/19) Hailey</t>
  </si>
  <si>
    <t>4T
Legendary Bees
W/F 2:30~5:30
Dylan(F)/Arthur</t>
  </si>
  <si>
    <t>010-5066-7133</t>
  </si>
  <si>
    <t>cka0819@hanmail.net</t>
  </si>
  <si>
    <t>class transfer</t>
  </si>
  <si>
    <t>010-2625-1162</t>
  </si>
  <si>
    <t>sky266@hanmail.net</t>
  </si>
  <si>
    <t>1/26) Hailey</t>
  </si>
  <si>
    <t>Aiden 이채현</t>
  </si>
  <si>
    <t>2/14~2/26</t>
  </si>
  <si>
    <t>010-3974-0616</t>
  </si>
  <si>
    <t>khkjoy@naver.com</t>
  </si>
  <si>
    <t>010-8589-9185</t>
  </si>
  <si>
    <t>bmini9185@naver.com</t>
  </si>
  <si>
    <t>010-8729-4645</t>
  </si>
  <si>
    <t>100nut@naver.com</t>
  </si>
  <si>
    <t>2/12) Hailey</t>
  </si>
  <si>
    <t>010-2507-3357</t>
  </si>
  <si>
    <t>hyeslh@naver.com</t>
  </si>
  <si>
    <t>Yunha 성윤하</t>
  </si>
  <si>
    <t>010-6512-7496</t>
  </si>
  <si>
    <t>chocolafee@naver.com</t>
  </si>
  <si>
    <t>010-7135-1343</t>
  </si>
  <si>
    <t>dudwk8310@naver.com</t>
  </si>
  <si>
    <t>1/9) Hailey</t>
  </si>
  <si>
    <t>4A
Supersonic Bananas
W/F 6:00-9:00
Yunah/Dylan(F)</t>
  </si>
  <si>
    <t>010-2606-9732</t>
  </si>
  <si>
    <t xml:space="preserve">tweetyyou@naver.com </t>
  </si>
  <si>
    <t>010-3530-2993</t>
  </si>
  <si>
    <t>system0216@naver.com</t>
  </si>
  <si>
    <t>010-3703-1912</t>
  </si>
  <si>
    <t>1052505@naver.com</t>
  </si>
  <si>
    <t>가급적 수요일,금요일 제외후 전화 (해당요일은 오전만 가능)</t>
  </si>
  <si>
    <t>010-8703-6763</t>
  </si>
  <si>
    <t>zkfxodn@naver.com</t>
  </si>
  <si>
    <t>4H
Rich Kittens
T/TH 6:00~9:00
Arthur/Aaisha(F)</t>
  </si>
  <si>
    <t>lv 2/4</t>
  </si>
  <si>
    <t>010-8846-9046</t>
  </si>
  <si>
    <t>uniyk83@gmail.com</t>
  </si>
  <si>
    <t>010-3283-9839</t>
  </si>
  <si>
    <t>bluebell004@naver.com</t>
  </si>
  <si>
    <t>7/24) Naomi</t>
  </si>
  <si>
    <t>010-7155-2705</t>
  </si>
  <si>
    <t>srare@naver.com</t>
  </si>
  <si>
    <t>9/11) Hailey</t>
  </si>
  <si>
    <t>010-5387-4314</t>
  </si>
  <si>
    <t>schnee84@naver.com</t>
  </si>
  <si>
    <t>010-2333-3329</t>
  </si>
  <si>
    <t>cyoonj0407@naver.com</t>
  </si>
  <si>
    <t>11/14) Claire</t>
  </si>
  <si>
    <t>010-8300-5261</t>
  </si>
  <si>
    <t>idpyj77@naver.com</t>
  </si>
  <si>
    <t xml:space="preserve">3/22) Naomi </t>
  </si>
  <si>
    <r>
      <rPr>
        <rFont val="Arial"/>
        <color rgb="FF000000"/>
      </rPr>
      <t>010-7242-1315</t>
    </r>
  </si>
  <si>
    <t>aju1315@naver.com</t>
  </si>
  <si>
    <t xml:space="preserve">8/26) Naomi </t>
  </si>
  <si>
    <t>Lily 곽민서</t>
  </si>
  <si>
    <t>2/6) Hailey</t>
  </si>
  <si>
    <t xml:space="preserve">4A
Mysterious Sandwiches
(April 2024)
T/TH 6:10~9:10
Andrew/Payton(F)
</t>
  </si>
  <si>
    <t>6E
Magnificent Tigers
(Jan. 2020)
M/F 6:10-9:10
Jayson/Aaisha(F)</t>
  </si>
  <si>
    <t>010-8838-7991</t>
  </si>
  <si>
    <t>lips37@naver.com</t>
  </si>
  <si>
    <t>010-4087-1908</t>
  </si>
  <si>
    <t>sungmin.jo95@gmail.com</t>
  </si>
  <si>
    <t>From 3/4</t>
  </si>
  <si>
    <t>From 7/15</t>
  </si>
  <si>
    <t>6A
Spotted Servals
(Mar. 2020)
M/F 6:10-9:10
Marco/Erin(F)</t>
  </si>
  <si>
    <t>010-4557-7693</t>
  </si>
  <si>
    <t>010-8956-3092</t>
  </si>
  <si>
    <t>fernwehe@gmail.com</t>
  </si>
  <si>
    <t>010-8935-6713</t>
  </si>
  <si>
    <t>bijou0408@naver.com</t>
  </si>
  <si>
    <t>010-9854-8240</t>
  </si>
  <si>
    <t>tangso@nate.com</t>
  </si>
  <si>
    <t xml:space="preserve"> Claire 신서현</t>
  </si>
  <si>
    <t>010-3290-4816</t>
  </si>
  <si>
    <t>yoojin0120@hanmail.net</t>
  </si>
  <si>
    <t>6E
Whimsical Willows
(Sep. 2020)
T/TH 6:00~9:00
Gregory(F)/Konstantinos</t>
  </si>
  <si>
    <t>010-9958-4798</t>
  </si>
  <si>
    <t>higodiva@gmail.com</t>
  </si>
  <si>
    <t>010-8613-2844</t>
  </si>
  <si>
    <t>lightup0101@naver.com</t>
  </si>
  <si>
    <t>010-3593-8233</t>
  </si>
  <si>
    <t>tnraud0902@naver.com</t>
  </si>
  <si>
    <t>010-4798-8021</t>
  </si>
  <si>
    <t>m8021@naver.com</t>
  </si>
  <si>
    <t>24/1/9</t>
  </si>
  <si>
    <t>Fedback
1-5</t>
  </si>
  <si>
    <t>Fedback
7-11</t>
  </si>
  <si>
    <t>8E
Twinkling Stars
(Jan. 2020)
ONLY NF 6:30-8:30
Jayson</t>
  </si>
  <si>
    <t>010-9182-7668</t>
  </si>
  <si>
    <t>araa1003@gmail.com</t>
  </si>
  <si>
    <t>010-3561-8348</t>
  </si>
  <si>
    <t>imjemi@hanmail.net</t>
  </si>
  <si>
    <t>010-5605-7345</t>
  </si>
  <si>
    <t>jamiekim74@gmail.com</t>
  </si>
  <si>
    <t xml:space="preserve"> Noah 이시우</t>
  </si>
  <si>
    <t>010-3726-5651</t>
  </si>
  <si>
    <t>jyyang01@naver.com</t>
  </si>
  <si>
    <t>6/5) Naomi</t>
  </si>
  <si>
    <t>010-3073-7159</t>
  </si>
  <si>
    <t>happyusun@naver.com</t>
  </si>
  <si>
    <t>퇴원일
월/일 or 월-일
ONLY</t>
  </si>
  <si>
    <t>담당자</t>
  </si>
  <si>
    <t>학년</t>
  </si>
  <si>
    <t>학생</t>
  </si>
  <si>
    <t>전화번호</t>
  </si>
  <si>
    <t>이메일</t>
  </si>
  <si>
    <r>
      <rPr>
        <rFont val="Arial"/>
        <b/>
        <color rgb="FF000000"/>
        <sz val="12.0"/>
      </rPr>
      <t xml:space="preserve">학년/반
</t>
    </r>
    <r>
      <rPr>
        <rFont val="Arial"/>
        <b val="0"/>
        <color rgb="FFFF0000"/>
        <sz val="12.0"/>
      </rPr>
      <t>(교사작성)</t>
    </r>
  </si>
  <si>
    <t xml:space="preserve"> HQ Survey Needed 
(Yes/No)</t>
  </si>
  <si>
    <t>퇴원사유</t>
  </si>
  <si>
    <t>2/3)  퇴원상담</t>
  </si>
  <si>
    <t>Sunny</t>
  </si>
  <si>
    <t>Eliza 박수연</t>
  </si>
  <si>
    <t>010-6609-1698</t>
  </si>
  <si>
    <t>keji116@hanmail.net</t>
  </si>
  <si>
    <t>Whimsical Willows
(Gregory/Konstantinos)</t>
  </si>
  <si>
    <t>No</t>
  </si>
  <si>
    <t>She has a plan to study abroad, and it makes her quitting Twin.kle.</t>
  </si>
  <si>
    <t>Dave</t>
  </si>
  <si>
    <t>Anna 이윤서</t>
  </si>
  <si>
    <t>010-3198-4721</t>
  </si>
  <si>
    <t>hee0571@naver.com</t>
  </si>
  <si>
    <t>Cheerful Crocodiles
(Dorothy/Dylan)</t>
  </si>
  <si>
    <t>Anna's mom told me that she decided to quit due to scheduling conflict.</t>
  </si>
  <si>
    <t>퇴원 상담 전화 부재중</t>
  </si>
  <si>
    <t>Ido 최이도</t>
  </si>
  <si>
    <t>010-5035-3098</t>
  </si>
  <si>
    <t>edo93@naver.com</t>
  </si>
  <si>
    <t>Gummy Bears
(Payton/Andrew)</t>
  </si>
  <si>
    <t xml:space="preserve">He will take a swimming class for a while. And he has plan to come back Twin.kle from Session 2. </t>
  </si>
  <si>
    <t>Eddie 진윤오</t>
  </si>
  <si>
    <t>010-7111-4248</t>
  </si>
  <si>
    <t xml:space="preserve">hakiyo@snu.ac.kr </t>
  </si>
  <si>
    <t>Fancy Chameleons
(Kon/Branwen)</t>
  </si>
  <si>
    <t>Eddie's mom told that they are leaving to America for a long time.</t>
  </si>
  <si>
    <t>Kyuri 서규리</t>
  </si>
  <si>
    <t>010-5030-8108</t>
  </si>
  <si>
    <t>bmyang27@gmail.com</t>
  </si>
  <si>
    <t>Master Anacondas
(Andrew/Payton)</t>
  </si>
  <si>
    <t>Kyuri's mom mentioned that she has recently felt that learning English has suddenly become much more difficult and has been struggling with it.</t>
  </si>
  <si>
    <t>Sally 송세주</t>
  </si>
  <si>
    <t>010-9071-7100</t>
  </si>
  <si>
    <t>guradais@gmail.com</t>
  </si>
  <si>
    <t>Ambitious Ants
(Mimi/Gregory)</t>
  </si>
  <si>
    <t>Her mom said that her family will go out to overseas for a year.</t>
  </si>
  <si>
    <t>Hungry Chickens
(Mimi/Aaisha)</t>
  </si>
  <si>
    <t>Her mom said that Alec can't attend the classes on Tue/Thu due to the scheduling conflict.
She's waiting for Wed/Fri class.</t>
  </si>
  <si>
    <t>Joon Seo 유준서</t>
  </si>
  <si>
    <t>010-5490-0448</t>
  </si>
  <si>
    <t>gusrld@naver.com</t>
  </si>
  <si>
    <t>Cinnamon Rolls
(Payton/Andrew)</t>
  </si>
  <si>
    <t>Jun-seo is attending Twinkle, but he has fallen into a routine and is not studying. His mother would like to try changing his study methods.</t>
  </si>
  <si>
    <t>2/6)퇴원 상담 전화 부재중</t>
  </si>
  <si>
    <t>Diane</t>
  </si>
  <si>
    <t>Daisy 이다현</t>
  </si>
  <si>
    <t>010-8597-3106</t>
  </si>
  <si>
    <t>mykim1270@naver.com</t>
  </si>
  <si>
    <t>Her mom shared that during winter break, she wants Daisy to join a winter camp and travel abroad instead of studying with us.</t>
  </si>
  <si>
    <t>Lucy 김루시</t>
  </si>
  <si>
    <t>010-3232-0273</t>
  </si>
  <si>
    <t>rossajung@gmail.com</t>
  </si>
  <si>
    <t>Legendary Bees
(Dylan/Arthur)</t>
  </si>
  <si>
    <t>Her mom told me that Lucy struggles to adapt the class and she feels the homework is hard for her.</t>
  </si>
  <si>
    <t>Ray 채지율</t>
  </si>
  <si>
    <t>010-9120-3294</t>
  </si>
  <si>
    <t>really0305@naver.com</t>
  </si>
  <si>
    <t>Mystical Gerbils
(Andrew/Payton)</t>
  </si>
  <si>
    <t>Her mom told me that Ray feels textbook is quite tough for her. She told me that Ray just started online lesson.</t>
  </si>
  <si>
    <t>Chloe 이소은</t>
  </si>
  <si>
    <t>010-8514-3892</t>
  </si>
  <si>
    <t>jykim@pbi.co.kr</t>
  </si>
  <si>
    <t>Glowing Golden Starlights
(Erin/Arthur)</t>
  </si>
  <si>
    <t>Chloe and Jason's mom told me that they are traveling other countries, and they'll have enough time to take a rest.
Their mom is planning about to come back in three months.</t>
  </si>
  <si>
    <t>Jason 이예준</t>
  </si>
  <si>
    <t>Brilliant Bishops
(Branwen/Dorothy)</t>
  </si>
  <si>
    <t>Yejun 김예준</t>
  </si>
  <si>
    <t>010-2670-1347</t>
  </si>
  <si>
    <t>doran27@hanmail.net</t>
  </si>
  <si>
    <t>Fantastic Foxes
(Andrew/Payton)</t>
  </si>
  <si>
    <t>Yejun's mom told me that after reading books for Twinkle, Ye-jun decided he couldn't do it and refused to go to Twinkle.</t>
  </si>
  <si>
    <t>Lloyd 김하준</t>
  </si>
  <si>
    <t>010-2688-3129</t>
  </si>
  <si>
    <t>alsodi777@naver.com</t>
  </si>
  <si>
    <t>Sonic Hedgehogs
(Xing/Dorothy)</t>
  </si>
  <si>
    <t>He will move to Daechi Twinkle.</t>
  </si>
  <si>
    <t>2/6) Hyeona</t>
  </si>
  <si>
    <t>Franca 배규원</t>
  </si>
  <si>
    <t>010-4850-5287</t>
  </si>
  <si>
    <t>bona.yang@cj.net</t>
  </si>
  <si>
    <t>Franca suddenly disappeared without letting us know. We've tried calling her mom several times, but she hasn't answered..</t>
  </si>
  <si>
    <t>4/2) Naomi</t>
  </si>
  <si>
    <t>2/6)퇴원 상담 패쓰</t>
  </si>
  <si>
    <t>Sarah 조설아</t>
  </si>
  <si>
    <t>010-4111-2833</t>
  </si>
  <si>
    <t>kkhy1004@naver.com</t>
  </si>
  <si>
    <t>Mysterious Sandwiches
(Andrew/Payton)</t>
  </si>
  <si>
    <t>Sarah will move to another academy. But there's a possibility to come back to Twinkle after she takes a class at another academy.</t>
  </si>
  <si>
    <t>Rio 유지혁</t>
  </si>
  <si>
    <t>010-2570-3895</t>
  </si>
  <si>
    <t>mh3895@naver.com</t>
  </si>
  <si>
    <t>Electric Eels
(Dorothy/Xing)</t>
  </si>
  <si>
    <t>The ongoing elevator issue has caused them too much stress, leading to their decision to stop studying at Twinkle.</t>
  </si>
  <si>
    <t>Jian 김지안</t>
  </si>
  <si>
    <t>Dazzling Galaxies
(Gregory/Konstantinos)</t>
  </si>
  <si>
    <t xml:space="preserve">She will move to another academy. </t>
  </si>
  <si>
    <t>Ella 김예솔</t>
  </si>
  <si>
    <t>010-2082-1687</t>
  </si>
  <si>
    <t>jhedream@hanmail.net</t>
  </si>
  <si>
    <t>Wild Whiskers
(Mimi/Aaisha)</t>
  </si>
  <si>
    <t>Ella's mom says she can no longer take Ella to the academy because of Ella mom's schedule conflict.</t>
  </si>
  <si>
    <t>Jenny 배정원</t>
  </si>
  <si>
    <t>010-8505-7265</t>
  </si>
  <si>
    <t>green8637@naver.com</t>
  </si>
  <si>
    <t>Wacky Wombats
(Kon/Erin)</t>
  </si>
  <si>
    <t>Jenny’s mom said that it was difficult to drop her off and pick her up from Twinkle, so they decided to find an academy closer to home. She feels sorry for not saying goodbye to Kon, Erin, and her classmates.</t>
  </si>
  <si>
    <t>Ella 조희원</t>
  </si>
  <si>
    <t>010-2719-5638</t>
  </si>
  <si>
    <t>sy5638@gmail.com</t>
  </si>
  <si>
    <t>Rich Kittens
(Arthur/Aaisha)</t>
  </si>
  <si>
    <t xml:space="preserve"> Story of World and the homework are reported to be too difficult. Despite checking with the booster class and confirming the challenges with Heewon, it seems that Heewon has given up. The mother expressed disappointment as she had invested in the course materials and researched extensively to find this academy. Heewon decided not to attend today, and when I informed her about the tuition fee, she made the final decision to withdraw from twinkle.</t>
  </si>
  <si>
    <t>2/4) Hyeona</t>
  </si>
  <si>
    <t>Ben 박재우</t>
  </si>
  <si>
    <t>010-2050-2890</t>
  </si>
  <si>
    <t>rimio17@hanmail.net</t>
  </si>
  <si>
    <t>Crystal Phoenixes
(Dylan/Marco)</t>
  </si>
  <si>
    <t>Ben seems to have difficulty with English, and he is planning to take an extended break during the long trip.</t>
  </si>
  <si>
    <t>Grace 신아율</t>
  </si>
  <si>
    <t>010-9378-3540</t>
  </si>
  <si>
    <t>dearkajung@gmail.com</t>
  </si>
  <si>
    <t>All of Grace's friends, who used to go with her, quit, and she wanted to continue with the original teacher, but since she couldn't, she doesn't want to go to the academy anymore.</t>
  </si>
  <si>
    <t>1/24) Naomi</t>
  </si>
  <si>
    <t>2/11) Hyeona</t>
  </si>
  <si>
    <t>Daniel 권동현</t>
  </si>
  <si>
    <t>010-8242-9371</t>
  </si>
  <si>
    <t>gaen2000@hanmail.net</t>
  </si>
  <si>
    <t>Twinkling Stars
(Jason)</t>
  </si>
  <si>
    <t>After the books were changed, the material became too difficult, and he contacted us expressing their wish to withdraw, as he is finding it hard to keep up during class.</t>
  </si>
  <si>
    <t>Stella 박나연</t>
  </si>
  <si>
    <t>010-2704-8375</t>
  </si>
  <si>
    <t>yolliko@naver.com</t>
  </si>
  <si>
    <t>Special Diamonds
(Andrew/Payton)</t>
  </si>
  <si>
    <t>Due to late class times and refusal of student attendance.</t>
  </si>
  <si>
    <t>12/23 Diane</t>
  </si>
  <si>
    <t>2/19) Hyeona</t>
  </si>
  <si>
    <t>Irene 김루아</t>
  </si>
  <si>
    <t>010-8636-7770</t>
  </si>
  <si>
    <t>mein0709@naver.com</t>
  </si>
  <si>
    <t>Delightful Dinos
(Yunah/Xing)</t>
  </si>
  <si>
    <t>She experiences significant difficulty in attending the academy due to a tendency to be overly shy. She has been struggling, even crying, when trying to attend regular and supplementary classes. She repeatedly enters and leaves the classroom, ultimately concluding that she is unable to continue with the lessons. However, she has expressed her willingness to remain on the waiting list.</t>
  </si>
  <si>
    <t>Joy 조은혜</t>
  </si>
  <si>
    <t>010-4163-0284</t>
  </si>
  <si>
    <t>youngmichoi1975@gmail.com</t>
  </si>
  <si>
    <t>Dancing Donuts
(James/Arthur)</t>
  </si>
  <si>
    <t>Joy expressed a desire to rest.-&gt;She came to the desk and actually mentioned that it was a schedule conflict.</t>
  </si>
  <si>
    <t>Jessie 정연우</t>
  </si>
  <si>
    <t>010-2515-0586</t>
  </si>
  <si>
    <t>sodami75@naver.com</t>
  </si>
  <si>
    <t>Yeonwoo's reason for quitting is that there are many students moving up to higher levels. She is said to be transferring to Cheongdam Language Academy.</t>
  </si>
  <si>
    <t>Seunghyun 송승현</t>
  </si>
  <si>
    <t>010-3367-7859</t>
  </si>
  <si>
    <t>lilyssonglove@gmail.com</t>
  </si>
  <si>
    <t>Magical Blue Dragons
(Xing/Konstantinos)</t>
  </si>
  <si>
    <t>Since Seunghyun 송승현 is in the upper grades, his mom wants to try changing the study method and take classes at a nearby academy.</t>
  </si>
  <si>
    <t>Jinny 김하진</t>
  </si>
  <si>
    <t>010-6643-3476</t>
  </si>
  <si>
    <t>1800100@naver.com</t>
  </si>
  <si>
    <t>Savvy Sea Otters
(Payton/Yunah)</t>
  </si>
  <si>
    <t>Due to a schedule conflict, she was on waitlisted, but since a transfer was not possible, She decided to quit. However, She decided to leave the waiting status in place.</t>
  </si>
  <si>
    <t>11/8) Naomi</t>
  </si>
  <si>
    <t>Sunny Skies
(James/Yunah)</t>
  </si>
  <si>
    <t>She had to quit the Twinkle because they moved due to enrolling in a private elementary school.</t>
  </si>
  <si>
    <t>Pyo 이경표</t>
  </si>
  <si>
    <t>010-4049-0704</t>
  </si>
  <si>
    <t>dbfrbdus@naver.com</t>
  </si>
  <si>
    <t>She has expressed intention to quit from Twinkle upon hearing the news of the yellow card issue and mentioned that she would like to send Pyo to an appropriate English academy.</t>
  </si>
  <si>
    <t>10/31) Naomi</t>
  </si>
  <si>
    <t>2/6) Claire</t>
  </si>
  <si>
    <t>Fancy Chameleons
(Kon/James)</t>
  </si>
  <si>
    <t>Dana said that she is finding it very difficult to study English and wants to take a break.</t>
  </si>
  <si>
    <t>Yoonie 조아윤</t>
  </si>
  <si>
    <t>010-9112-1767</t>
  </si>
  <si>
    <t>applelem@hanmail.net</t>
  </si>
  <si>
    <t>Mirthful Manta Rays
(Yunah/Erin)</t>
  </si>
  <si>
    <t>Her mother said that Yoonie is feeling exhausted from studying all subjects.</t>
  </si>
  <si>
    <t xml:space="preserve">5/22) Naomi </t>
  </si>
  <si>
    <t>Active Coconuts
(Xing/Arthur)</t>
  </si>
  <si>
    <t>Due to a schedule conflict, he had to quit. However, he has decided to wait as a standby in the same class.</t>
  </si>
  <si>
    <t>/</t>
  </si>
  <si>
    <t>Join/Quit Counter</t>
  </si>
  <si>
    <t>Dates</t>
  </si>
  <si>
    <t>Grade 1</t>
  </si>
  <si>
    <t>Grade 2</t>
  </si>
  <si>
    <t>Grade 3</t>
  </si>
  <si>
    <t>Grade 4</t>
  </si>
  <si>
    <t>Grade 5</t>
  </si>
  <si>
    <t>Grade 7</t>
  </si>
  <si>
    <t>Net</t>
  </si>
  <si>
    <t>Weekly Tests</t>
  </si>
  <si>
    <t>Join</t>
  </si>
  <si>
    <t>Quit</t>
  </si>
  <si>
    <t>WK1 (Jan 2-5)</t>
  </si>
  <si>
    <t>WK1 (Jul 1-5)</t>
  </si>
  <si>
    <t>WK2 (Jan 8-12)</t>
  </si>
  <si>
    <t>WK2 (Jul 8-12)</t>
  </si>
  <si>
    <t>WK3 (Jan 15-19)</t>
  </si>
  <si>
    <t>WK3 (Jul 15-19)</t>
  </si>
  <si>
    <t>WK4 (Jan 22-26)</t>
  </si>
  <si>
    <t>WK4 (Jul 22-26)</t>
  </si>
  <si>
    <t>WK5 (Jan 29-31)</t>
  </si>
  <si>
    <t>WK5 (Jul 29-31)</t>
  </si>
  <si>
    <t>WK1 (Feb 1-2)</t>
  </si>
  <si>
    <t>WK1 (Aug 1-2)</t>
  </si>
  <si>
    <t>WK2 (Feb 5-9)</t>
  </si>
  <si>
    <t>WK2 (Aug 5-9)</t>
  </si>
  <si>
    <t>WK3 (Feb 12-16)</t>
  </si>
  <si>
    <t>WK3 (Aug 12-16)</t>
  </si>
  <si>
    <t>WK4 (Feb 19-23)</t>
  </si>
  <si>
    <t>WK4 (Aug 19-23)</t>
  </si>
  <si>
    <t>WK5 (Feb 26-29)</t>
  </si>
  <si>
    <t>WK5 (Aug 26-30)</t>
  </si>
  <si>
    <t>WK1 (Mar 1)</t>
  </si>
  <si>
    <t>WK1 (Sep 2-6)</t>
  </si>
  <si>
    <t>WK2 (Mar 4-8)</t>
  </si>
  <si>
    <t>WK2 (Sep 9-13)</t>
  </si>
  <si>
    <t>WK3 (Mar 11-15)</t>
  </si>
  <si>
    <t>Chuseok</t>
  </si>
  <si>
    <t>WK4 (Mar 18-22)</t>
  </si>
  <si>
    <t>WK3 (Sep 23-27)</t>
  </si>
  <si>
    <t>WK5 (Mar 25-29)</t>
  </si>
  <si>
    <t>WK4 (Sep 30)</t>
  </si>
  <si>
    <t>WK1 (Apr 1-5)</t>
  </si>
  <si>
    <t>WK1 (Oct 1-4)</t>
  </si>
  <si>
    <t>WK2 (Apr 8-12)</t>
  </si>
  <si>
    <t>WK2 (Oct 7-11)</t>
  </si>
  <si>
    <t>WK3 (Apr 15-19)</t>
  </si>
  <si>
    <t>WK3 (Oct 14-18)</t>
  </si>
  <si>
    <t>WK4 (Apr 22-26)</t>
  </si>
  <si>
    <t>WK4 (Oct 21-25)</t>
  </si>
  <si>
    <t>WK5 (Apr 29-30)</t>
  </si>
  <si>
    <t>WK5 (Oct 28-31)</t>
  </si>
  <si>
    <t>WK1 (May 1-3)</t>
  </si>
  <si>
    <t>WK1 (Nov 1)</t>
  </si>
  <si>
    <t>WK2 (May 6-10)</t>
  </si>
  <si>
    <t>WK2 (Nov 4-8)</t>
  </si>
  <si>
    <t>WK3 (May 13-17)</t>
  </si>
  <si>
    <t>WK3 (Nov 11-15)</t>
  </si>
  <si>
    <t>WK4 (May 20-24)</t>
  </si>
  <si>
    <t>WK4 (Nov 18-22)</t>
  </si>
  <si>
    <t>WK5 (May 27-31)</t>
  </si>
  <si>
    <t>WK5 (Nov 25-29)</t>
  </si>
  <si>
    <t>WK1 (Jun 3-7)</t>
  </si>
  <si>
    <t>WK1 (Dec 2-6)</t>
  </si>
  <si>
    <t>WK2 (Jun 10-14)</t>
  </si>
  <si>
    <t>WK2 (Dec 9-13)</t>
  </si>
  <si>
    <t>WK3 (Jun 17-21)</t>
  </si>
  <si>
    <t>WK3 (Dec 16-20)</t>
  </si>
  <si>
    <t>WK4 (Jun 24-28)</t>
  </si>
  <si>
    <t>WK4 (Dec 23-27)</t>
  </si>
  <si>
    <t>WK5 (Dec 30-31)</t>
  </si>
  <si>
    <t xml:space="preserve">                                               </t>
  </si>
  <si>
    <t>Checked</t>
  </si>
  <si>
    <t>M/W</t>
  </si>
  <si>
    <t>T/Th</t>
  </si>
  <si>
    <t>W/F</t>
  </si>
  <si>
    <t xml:space="preserve">NEW CLASSES </t>
  </si>
  <si>
    <t>Astonishing Owls 2E</t>
  </si>
  <si>
    <t>Art</t>
  </si>
  <si>
    <t>Carnivorous Cherries 3T</t>
  </si>
  <si>
    <t>Active Coconuts 4E</t>
  </si>
  <si>
    <t>Jayson</t>
  </si>
  <si>
    <t>Cheerful Crocodiles 2T</t>
  </si>
  <si>
    <t>Beaming Astronauts 3H</t>
  </si>
  <si>
    <t>Cinnamon Rolls 1H</t>
  </si>
  <si>
    <t>Ambitious Ants 1A</t>
  </si>
  <si>
    <t>Gracious Gophers 2A</t>
  </si>
  <si>
    <t>Bearded Snakes 4T</t>
  </si>
  <si>
    <t>Crystal Phoenixes 3E</t>
  </si>
  <si>
    <t>Fancy Chameleons 1E</t>
  </si>
  <si>
    <t>Gummy Bears 1T</t>
  </si>
  <si>
    <t>Erin</t>
  </si>
  <si>
    <t>Brilliant Bishops 2E</t>
  </si>
  <si>
    <t>Dancing Donuts 2H</t>
  </si>
  <si>
    <t>Heavenly Hyenas 2T</t>
  </si>
  <si>
    <t>Magical Blue Dragons 4E</t>
  </si>
  <si>
    <t>Dazzling Galaxies 3A</t>
  </si>
  <si>
    <t>Electric Woodpeckers 3A</t>
  </si>
  <si>
    <t>Legendary Bees 3T</t>
  </si>
  <si>
    <t>Magnificent Tigers 5E</t>
  </si>
  <si>
    <t>Glowing Golden Starlights 1E</t>
  </si>
  <si>
    <t>Fantastic Flying Squirrels 1E</t>
  </si>
  <si>
    <t>Master Anacondas 1R</t>
  </si>
  <si>
    <t>Sassy Spider Crabs 4T</t>
  </si>
  <si>
    <t>Marvelous Meerkats 1T</t>
  </si>
  <si>
    <t>Fantastic Foxes 1A</t>
  </si>
  <si>
    <t>Mirthful Manta Rays 2A</t>
  </si>
  <si>
    <t>Silver Cobras 2T</t>
  </si>
  <si>
    <t>Mystical Gerbils 1T</t>
  </si>
  <si>
    <t>Heroic Jaguars 2T</t>
  </si>
  <si>
    <t>Squishy Octopi 1H</t>
  </si>
  <si>
    <t>Smiling Green Apples 2H</t>
  </si>
  <si>
    <t>Nuclear Narwhals 5A</t>
  </si>
  <si>
    <t>Hot Coffees 3T</t>
  </si>
  <si>
    <t>Supersonic Bananas 3A</t>
  </si>
  <si>
    <t>Spotted Servals 5A</t>
  </si>
  <si>
    <t>Radiant Rockets1A</t>
  </si>
  <si>
    <t>Hot Dogs 2A</t>
  </si>
  <si>
    <t>Starlight Screamers 4A</t>
  </si>
  <si>
    <t>Rainbow Cats 3H</t>
  </si>
  <si>
    <t>Hungry Chickens 2E</t>
  </si>
  <si>
    <t>Sugar Sprinkles 1E</t>
  </si>
  <si>
    <t>Special Diamonds 2A</t>
  </si>
  <si>
    <t>Keen Kakapos 2T</t>
  </si>
  <si>
    <t>Thunderous Oceans 5T</t>
  </si>
  <si>
    <t>Lovely Roses 3T</t>
  </si>
  <si>
    <t>Twinkling Stars 7</t>
  </si>
  <si>
    <t>Mysterious Sandwiches 3A</t>
  </si>
  <si>
    <t>United Hamsters 3A</t>
  </si>
  <si>
    <t>Powerful Red Pandas 3A</t>
  </si>
  <si>
    <t>Prancing Ponies 4H</t>
  </si>
  <si>
    <t>Rich Kittens 3H</t>
  </si>
  <si>
    <t>Shimmering Sharks 1A</t>
  </si>
  <si>
    <t>Shiny Penguins 1T</t>
  </si>
  <si>
    <t>Sonic Hedgehogs 2E</t>
  </si>
  <si>
    <t>Teacher Rabbits 1R</t>
  </si>
  <si>
    <t>The Ruby Raindrops 2A</t>
  </si>
  <si>
    <t>Wacky Wombats 1E</t>
  </si>
  <si>
    <t>Whimsical Willows 5E</t>
  </si>
  <si>
    <t>Playful Dolphins 3A</t>
  </si>
  <si>
    <t>G1</t>
  </si>
  <si>
    <t>G2</t>
  </si>
  <si>
    <t>G3</t>
  </si>
  <si>
    <t>G4</t>
  </si>
  <si>
    <t>G5</t>
  </si>
  <si>
    <t>Ruby Raindrops 2A</t>
  </si>
  <si>
    <t>Quit due to commute issues</t>
  </si>
  <si>
    <t>Number</t>
  </si>
  <si>
    <t>Area</t>
  </si>
  <si>
    <t>Sky 이하늘</t>
  </si>
  <si>
    <t>010-8787-6555</t>
  </si>
  <si>
    <t>Hot coffees</t>
  </si>
  <si>
    <t>문래동</t>
  </si>
  <si>
    <t>Elena 김채윤</t>
  </si>
  <si>
    <t>010-9067-4257</t>
  </si>
  <si>
    <t>Vulpines</t>
  </si>
  <si>
    <t>목3동</t>
  </si>
  <si>
    <t>Mark 안휘경</t>
  </si>
  <si>
    <t>010-9893-0717</t>
  </si>
  <si>
    <t>Gummy Bears</t>
  </si>
  <si>
    <t>여의도동</t>
  </si>
  <si>
    <t>Emma 정하연</t>
  </si>
  <si>
    <t>010-8602-9237</t>
  </si>
  <si>
    <t>Powerful Red Pandas</t>
  </si>
  <si>
    <t>목동 4단지</t>
  </si>
  <si>
    <t>Class name</t>
  </si>
  <si>
    <t>Student Name</t>
  </si>
  <si>
    <t>Issue Date</t>
  </si>
  <si>
    <t>Warning/1st / 2nd</t>
  </si>
  <si>
    <t>Reason/Details</t>
  </si>
  <si>
    <t>Active Coconuts</t>
  </si>
  <si>
    <t>Luna 권이안</t>
  </si>
  <si>
    <t>1st</t>
  </si>
  <si>
    <t>Unprepared several weeks in a row</t>
  </si>
  <si>
    <t>Albert 이도헌</t>
  </si>
  <si>
    <t>1. Disrespectful/ interrupting teacher during class
2. Distract the other classmates and damage the atmosphere of class
3. The situation Ms. Caitlin tried to talk outside but he rejected/ did not seem apologetic for his behavior
4. After talking to the Korean admin, he continued to not make eye contact and make arguments with the teacher and classmates.
5. He also showed the similar behaviors in nonfiction class last Tuesday constantly trying to get classmate's attention and bully them.</t>
  </si>
  <si>
    <t>Heavenly Hyenas</t>
  </si>
  <si>
    <t>Jaden 오태훈</t>
  </si>
  <si>
    <t>Repeated attitudes: ignoring teacher's instructions, not cooperative</t>
  </si>
  <si>
    <t>Gracious Gophers</t>
  </si>
  <si>
    <t>Jin 윤서진</t>
  </si>
  <si>
    <t>1. Failure to Follow Simple Instructions
2. Constant Off-Task Behavior and Distracting Classmates
3. Disruptive Behavior in Break Room
4. Physical Contact Resulting in Injury</t>
  </si>
  <si>
    <t>Clever Flamingos</t>
  </si>
  <si>
    <t>Jake 김상헌</t>
  </si>
  <si>
    <t>Continuous Homework Uncompleted Problems</t>
  </si>
  <si>
    <t>Starlight Screamers</t>
  </si>
  <si>
    <t>Che 신채우</t>
  </si>
  <si>
    <t>1. Takes every opportunity to annoy and antagonize his classmates
2. Hurting peers and the relationship
3. Physical altercations with other boys</t>
  </si>
  <si>
    <t>Rainbow Cats</t>
  </si>
  <si>
    <t>Hitting Yein in the stomach, pushing her against the wall, and lightly choking her. Ryan's mother apologized, expressed a desire to apologize to Yein's parents directly.</t>
  </si>
  <si>
    <t>2nd
(Suspension)</t>
  </si>
  <si>
    <t>Unacceptable behavior was displayed when Jaden kicked another child three times during a chess game. This conduct is deemed intolerable, especially considering his history of similar incidents. According to school policy, this second yellow card could result in a 3-month suspension from Twinkle.</t>
  </si>
  <si>
    <t>Cheerful Crocodiles</t>
  </si>
  <si>
    <t>Harry 정수현</t>
  </si>
  <si>
    <t>Constant issue regarding 
1. Tardiness (almost always late for vocab test)
2. Lack of preparation (brings no books or wrong books / doesn't study for vocab test)
3. Lack of participation (needs several reminders from the teacher before getting work done which sometimes doesn't get done at all)</t>
  </si>
  <si>
    <t>Teacher Rabbits</t>
  </si>
  <si>
    <t>Ben 김유완</t>
  </si>
  <si>
    <t>He stole the teacher's Pokemon cards and lied when caught with showing any kind of remorse.
Update: the card was found in the hallway by Mr. Jayson. It turns out that he threw it out wanting to hide it from his mom. The mother came in to get the card herself.</t>
  </si>
  <si>
    <t xml:space="preserve">Continuous issue regarding
1. Tardiness (Has improved right after the first yellow card but started to come late appx an hour after class has started)
2. Lack of preparation (missing books and/or homework)
3. Lack of participation (falling asleep in class daily / lacking effort in classroom)
Accroding to Twinkle policy, he will be suspended for 3 months. </t>
  </si>
  <si>
    <t>Pyo hasn't been doing his homework nor participating in class. He frequently refused to do his work.</t>
  </si>
  <si>
    <t>Timestamp</t>
  </si>
  <si>
    <t>Untitled Question</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</si>
</sst>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0.0"/>
    <numFmt numFmtId="165" formatCode="[$₩-412]#,##0.00"/>
    <numFmt numFmtId="166" formatCode="M/d/yyyy"/>
    <numFmt numFmtId="167" formatCode="m/d"/>
    <numFmt numFmtId="168" formatCode="m/d/yyyy"/>
    <numFmt numFmtId="169" formatCode="yyyy&quot;-&quot;mm&quot;-&quot;dd"/>
    <numFmt numFmtId="170" formatCode="yyyy-mm-dd"/>
    <numFmt numFmtId="171" formatCode="yy&quot;/&quot;m&quot;/&quot;d"/>
    <numFmt numFmtId="172" formatCode="mm/dd"/>
    <numFmt numFmtId="173" formatCode="yyyy/mm/dd"/>
    <numFmt numFmtId="174" formatCode="mmmm yyyy"/>
  </numFmts>
  <fonts count="86">
    <font>
      <sz val="10.0"/>
      <color rgb="FF000000"/>
      <name val="Arial"/>
      <scheme val="minor"/>
    </font>
    <font>
      <b/>
      <sz val="10.0"/>
      <color rgb="FF000000"/>
      <name val="Arial"/>
    </font>
    <font>
      <sz val="30.0"/>
      <color rgb="FF38761D"/>
      <name val="Impact"/>
    </font>
    <font>
      <sz val="10.0"/>
      <color rgb="FF4A86E8"/>
      <name val="Arial"/>
    </font>
    <font>
      <b/>
      <sz val="10.0"/>
      <color theme="1"/>
      <name val="Arial"/>
    </font>
    <font>
      <color rgb="FF000000"/>
      <name val="Arial"/>
    </font>
    <font>
      <color theme="1"/>
      <name val="Arial"/>
      <scheme val="minor"/>
    </font>
    <font>
      <b/>
      <sz val="10.0"/>
      <color rgb="FFCC0000"/>
      <name val="Arial"/>
    </font>
    <font>
      <sz val="10.0"/>
      <color theme="1"/>
      <name val="Arial"/>
    </font>
    <font>
      <sz val="10.0"/>
      <color rgb="FF000000"/>
      <name val="Arial"/>
    </font>
    <font>
      <color theme="1"/>
      <name val="Arial"/>
    </font>
    <font>
      <color rgb="FF000000"/>
      <name val="Arial"/>
      <scheme val="minor"/>
    </font>
    <font>
      <color rgb="FF222222"/>
      <name val="Arial"/>
    </font>
    <font>
      <sz val="10.0"/>
      <color rgb="FFFFFFFF"/>
      <name val="Arial"/>
    </font>
    <font>
      <color rgb="FFFFFFFF"/>
      <name val="Arial"/>
    </font>
    <font>
      <b/>
      <sz val="9.0"/>
      <color rgb="FF0000FF"/>
      <name val="Inconsolata"/>
    </font>
    <font>
      <b/>
      <sz val="9.0"/>
      <color rgb="FF000000"/>
      <name val="Inconsolata"/>
    </font>
    <font>
      <b/>
      <sz val="11.0"/>
      <color rgb="FF000000"/>
      <name val="Inconsolata"/>
    </font>
    <font/>
    <font>
      <b/>
      <sz val="9.0"/>
      <color rgb="FFB7B7B7"/>
      <name val="Inconsolata"/>
    </font>
    <font>
      <b/>
      <sz val="10.0"/>
      <color rgb="FF000000"/>
      <name val="Inconsolata"/>
    </font>
    <font>
      <sz val="9.0"/>
      <color theme="1"/>
      <name val="Arial"/>
    </font>
    <font>
      <sz val="10.0"/>
      <color rgb="FF0000FF"/>
      <name val="Arial"/>
    </font>
    <font>
      <sz val="8.0"/>
      <color rgb="FFFFFFFF"/>
      <name val="Arial"/>
    </font>
    <font>
      <sz val="9.0"/>
      <color rgb="FF999999"/>
      <name val="Arial"/>
      <scheme val="minor"/>
    </font>
    <font>
      <b/>
      <sz val="18.0"/>
      <color rgb="FF000000"/>
      <name val="Inconsolata"/>
    </font>
    <font>
      <b/>
      <sz val="12.0"/>
      <color rgb="FF000000"/>
      <name val="Inconsolata"/>
    </font>
    <font>
      <b/>
      <sz val="18.0"/>
      <color theme="1"/>
      <name val="Inconsolata"/>
    </font>
    <font>
      <sz val="29.0"/>
      <color rgb="FF9900FF"/>
      <name val="Impact"/>
    </font>
    <font>
      <b/>
      <color rgb="FF000000"/>
      <name val="Arial"/>
    </font>
    <font>
      <b/>
      <color theme="1"/>
      <name val="Arial"/>
      <scheme val="minor"/>
    </font>
    <font>
      <b/>
      <color theme="1"/>
      <name val="Arial"/>
    </font>
    <font>
      <b/>
      <sz val="9.0"/>
      <color theme="1"/>
      <name val="Arial"/>
    </font>
    <font>
      <b/>
      <color rgb="FFCC0000"/>
      <name val="Arial"/>
    </font>
    <font>
      <b/>
      <color rgb="FFCC0000"/>
      <name val="Arial"/>
      <scheme val="minor"/>
    </font>
    <font>
      <color rgb="FFFF0000"/>
      <name val="Arial"/>
      <scheme val="minor"/>
    </font>
    <font>
      <sz val="10.0"/>
      <color rgb="FFD9D9D9"/>
      <name val="Arial"/>
    </font>
    <font>
      <b/>
      <strike/>
      <sz val="9.0"/>
      <color rgb="FF000000"/>
      <name val="Inconsolata"/>
    </font>
    <font>
      <b/>
      <sz val="9.0"/>
      <color rgb="FF000000"/>
      <name val="Arial"/>
    </font>
    <font>
      <b/>
      <sz val="9.0"/>
      <color rgb="FFFFFFFF"/>
      <name val="Inconsolata"/>
    </font>
    <font>
      <b/>
      <sz val="12.0"/>
      <color theme="1"/>
      <name val="Arial"/>
    </font>
    <font>
      <sz val="30.0"/>
      <color rgb="FF9900FF"/>
      <name val="Impact"/>
    </font>
    <font>
      <b/>
      <sz val="10.0"/>
      <color rgb="FF00FF00"/>
      <name val="Arial"/>
    </font>
    <font>
      <b/>
      <sz val="10.0"/>
      <color rgb="FFCC0000"/>
      <name val="Arial"/>
      <scheme val="minor"/>
    </font>
    <font>
      <sz val="10.0"/>
      <color rgb="FF9900FF"/>
      <name val="Arial"/>
    </font>
    <font>
      <sz val="10.0"/>
      <color rgb="FF1D1C1D"/>
      <name val="Arial"/>
    </font>
    <font>
      <sz val="10.0"/>
      <color rgb="FF434343"/>
      <name val="Arial"/>
    </font>
    <font>
      <b/>
      <sz val="14.0"/>
      <color rgb="FF0000FF"/>
      <name val="Arial"/>
    </font>
    <font>
      <b/>
      <sz val="10.0"/>
      <color rgb="FF0000FF"/>
      <name val="Inconsolata"/>
    </font>
    <font>
      <sz val="30.0"/>
      <color rgb="FF46BDC6"/>
      <name val="Impact"/>
    </font>
    <font>
      <sz val="10.0"/>
      <color rgb="FF00FF00"/>
      <name val="Arial"/>
    </font>
    <font>
      <sz val="10.0"/>
      <color theme="0"/>
      <name val="Arial"/>
    </font>
    <font>
      <color rgb="FF0000FF"/>
      <name val="Arial"/>
    </font>
    <font>
      <color rgb="FFCCCCCC"/>
      <name val="Arial"/>
    </font>
    <font>
      <b/>
      <sz val="14.0"/>
      <color rgb="FF000000"/>
      <name val="Arial"/>
    </font>
    <font>
      <sz val="10.0"/>
      <color rgb="FFF6B26B"/>
      <name val="Arial"/>
    </font>
    <font>
      <b/>
      <sz val="24.0"/>
      <color rgb="FFCC0000"/>
      <name val="Verdana"/>
    </font>
    <font>
      <color rgb="FFCC0000"/>
      <name val="Arial"/>
    </font>
    <font>
      <sz val="10.0"/>
      <color theme="1"/>
      <name val="Arial"/>
      <scheme val="minor"/>
    </font>
    <font>
      <color rgb="FF0000FF"/>
      <name val="Arial"/>
      <scheme val="minor"/>
    </font>
    <font>
      <b/>
      <sz val="11.0"/>
      <color theme="1"/>
      <name val="Inconsolata"/>
    </font>
    <font>
      <b/>
      <sz val="11.0"/>
      <color theme="1"/>
      <name val="Arial"/>
    </font>
    <font>
      <b/>
      <sz val="18.0"/>
      <color theme="1"/>
      <name val="Arial"/>
    </font>
    <font>
      <color rgb="FFFF0000"/>
      <name val="Arial"/>
    </font>
    <font>
      <color rgb="FF333853"/>
      <name val="Arial"/>
    </font>
    <font>
      <sz val="11.0"/>
      <color rgb="FF1D1C1D"/>
      <name val="Arial"/>
    </font>
    <font>
      <sz val="9.0"/>
      <color rgb="FF1D1C1D"/>
      <name val="Inherit"/>
    </font>
    <font>
      <b/>
      <color rgb="FF000000"/>
      <name val="Arial"/>
      <scheme val="minor"/>
    </font>
    <font>
      <sz val="9.0"/>
      <color rgb="FFFF0000"/>
      <name val="Arial"/>
    </font>
    <font>
      <sz val="10.0"/>
      <color rgb="FFFF0000"/>
      <name val="Arial"/>
    </font>
    <font>
      <sz val="11.0"/>
      <color theme="1"/>
      <name val="Arial"/>
    </font>
    <font>
      <color theme="1"/>
      <name val="Madefor"/>
    </font>
    <font>
      <sz val="10.0"/>
      <color rgb="FF222222"/>
      <name val="Arial"/>
    </font>
    <font>
      <b/>
      <sz val="12.0"/>
      <color rgb="FF000000"/>
      <name val="Arial"/>
      <scheme val="minor"/>
    </font>
    <font>
      <b/>
      <sz val="12.0"/>
      <color theme="1"/>
      <name val="Arial"/>
      <scheme val="minor"/>
    </font>
    <font>
      <b/>
      <sz val="17.0"/>
      <color theme="1"/>
      <name val="Arial"/>
      <scheme val="minor"/>
    </font>
    <font>
      <b/>
      <sz val="12.0"/>
      <color rgb="FF000000"/>
      <name val="Arial"/>
    </font>
    <font>
      <color theme="1"/>
      <name val="Roboto"/>
    </font>
    <font>
      <sz val="10.0"/>
      <color rgb="FF222222"/>
      <name val="Roboto"/>
    </font>
    <font>
      <sz val="10.0"/>
      <color rgb="FF32536A"/>
      <name val="Arial"/>
    </font>
    <font>
      <color rgb="FF252525"/>
      <name val="Arial"/>
    </font>
    <font>
      <color rgb="FF000000"/>
      <name val="Madefor"/>
    </font>
    <font>
      <color rgb="FF444447"/>
      <name val="Arial"/>
    </font>
    <font>
      <b/>
      <sz val="24.0"/>
      <color theme="1"/>
      <name val="Lexend"/>
    </font>
    <font>
      <b/>
      <sz val="14.0"/>
      <color theme="1"/>
      <name val="Lexend"/>
    </font>
    <font>
      <b/>
      <sz val="10.0"/>
      <color rgb="FFFFFFFF"/>
      <name val="Arial"/>
    </font>
  </fonts>
  <fills count="3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D9D9D9"/>
        <bgColor rgb="FFD9D9D9"/>
      </patternFill>
    </fill>
    <fill>
      <patternFill patternType="solid">
        <fgColor rgb="FF000000"/>
        <bgColor rgb="FF000000"/>
      </patternFill>
    </fill>
    <fill>
      <patternFill patternType="solid">
        <fgColor rgb="FFEAD1DC"/>
        <bgColor rgb="FFEAD1DC"/>
      </patternFill>
    </fill>
    <fill>
      <patternFill patternType="solid">
        <fgColor theme="0"/>
        <bgColor theme="0"/>
      </patternFill>
    </fill>
    <fill>
      <patternFill patternType="solid">
        <fgColor rgb="FF93C47D"/>
        <bgColor rgb="FF93C47D"/>
      </patternFill>
    </fill>
    <fill>
      <patternFill patternType="solid">
        <fgColor rgb="FF00FFFF"/>
        <bgColor rgb="FF00FFFF"/>
      </patternFill>
    </fill>
    <fill>
      <patternFill patternType="solid">
        <fgColor rgb="FFD9D2E9"/>
        <bgColor rgb="FFD9D2E9"/>
      </patternFill>
    </fill>
    <fill>
      <patternFill patternType="solid">
        <fgColor rgb="FFD0E0E3"/>
        <bgColor rgb="FFD0E0E3"/>
      </patternFill>
    </fill>
    <fill>
      <patternFill patternType="solid">
        <fgColor rgb="FF00FF00"/>
        <bgColor rgb="FF00FF00"/>
      </patternFill>
    </fill>
    <fill>
      <patternFill patternType="solid">
        <fgColor rgb="FFFCE5CD"/>
        <bgColor rgb="FFFCE5CD"/>
      </patternFill>
    </fill>
    <fill>
      <patternFill patternType="solid">
        <fgColor rgb="FF999999"/>
        <bgColor rgb="FF999999"/>
      </patternFill>
    </fill>
    <fill>
      <patternFill patternType="solid">
        <fgColor rgb="FFA4C2F4"/>
        <bgColor rgb="FFA4C2F4"/>
      </patternFill>
    </fill>
    <fill>
      <patternFill patternType="solid">
        <fgColor rgb="FFC9DAF8"/>
        <bgColor rgb="FFC9DAF8"/>
      </patternFill>
    </fill>
    <fill>
      <patternFill patternType="solid">
        <fgColor rgb="FFFFFF00"/>
        <bgColor rgb="FFFFFF00"/>
      </patternFill>
    </fill>
    <fill>
      <patternFill patternType="solid">
        <fgColor rgb="FFCCCCCC"/>
        <bgColor rgb="FFCCCCCC"/>
      </patternFill>
    </fill>
    <fill>
      <patternFill patternType="solid">
        <fgColor rgb="FFC8FF6C"/>
        <bgColor rgb="FFC8FF6C"/>
      </patternFill>
    </fill>
    <fill>
      <patternFill patternType="solid">
        <fgColor rgb="FFFF7AB5"/>
        <bgColor rgb="FFFF7AB5"/>
      </patternFill>
    </fill>
    <fill>
      <patternFill patternType="solid">
        <fgColor rgb="FFFFE599"/>
        <bgColor rgb="FFFFE599"/>
      </patternFill>
    </fill>
    <fill>
      <patternFill patternType="solid">
        <fgColor rgb="FFF6B26B"/>
        <bgColor rgb="FFF6B26B"/>
      </patternFill>
    </fill>
    <fill>
      <patternFill patternType="solid">
        <fgColor rgb="FFF8F8F8"/>
        <bgColor rgb="FFF8F8F8"/>
      </patternFill>
    </fill>
    <fill>
      <patternFill patternType="solid">
        <fgColor rgb="FFCFE2F3"/>
        <bgColor rgb="FFCFE2F3"/>
      </patternFill>
    </fill>
    <fill>
      <patternFill patternType="solid">
        <fgColor rgb="FFE69138"/>
        <bgColor rgb="FFE69138"/>
      </patternFill>
    </fill>
    <fill>
      <patternFill patternType="solid">
        <fgColor rgb="FFFFD966"/>
        <bgColor rgb="FFFFD966"/>
      </patternFill>
    </fill>
    <fill>
      <patternFill patternType="solid">
        <fgColor theme="6"/>
        <bgColor theme="6"/>
      </patternFill>
    </fill>
    <fill>
      <patternFill patternType="solid">
        <fgColor rgb="FFFF00FF"/>
        <bgColor rgb="FFFF00FF"/>
      </patternFill>
    </fill>
    <fill>
      <patternFill patternType="solid">
        <fgColor rgb="FFFDFDFD"/>
        <bgColor rgb="FFFDFDFD"/>
      </patternFill>
    </fill>
    <fill>
      <patternFill patternType="solid">
        <fgColor rgb="FFF5F7A6"/>
        <bgColor rgb="FFF5F7A6"/>
      </patternFill>
    </fill>
    <fill>
      <patternFill patternType="solid">
        <fgColor rgb="FFB6D7A8"/>
        <bgColor rgb="FFB6D7A8"/>
      </patternFill>
    </fill>
    <fill>
      <patternFill patternType="solid">
        <fgColor rgb="FFF4CCCC"/>
        <bgColor rgb="FFF4CCCC"/>
      </patternFill>
    </fill>
    <fill>
      <patternFill patternType="solid">
        <fgColor rgb="FF980000"/>
        <bgColor rgb="FF980000"/>
      </patternFill>
    </fill>
  </fills>
  <borders count="64">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
      <right style="thin">
        <color rgb="FF000000"/>
      </right>
      <top style="thin">
        <color rgb="FF000000"/>
      </top>
    </border>
    <border>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thin">
        <color rgb="FF000000"/>
      </right>
    </border>
    <border>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bottom style="medium">
        <color rgb="FF000000"/>
      </bottom>
    </border>
    <border>
      <top style="thin">
        <color rgb="FF000000"/>
      </top>
      <bottom style="thin">
        <color rgb="FF000000"/>
      </bottom>
    </border>
    <border>
      <top style="thin">
        <color rgb="FF000000"/>
      </top>
    </border>
    <border>
      <left style="thin">
        <color rgb="FF000000"/>
      </left>
      <top style="thin">
        <color rgb="FF000000"/>
      </top>
      <bottom style="medium">
        <color rgb="FF000000"/>
      </bottom>
    </border>
    <border>
      <right style="thin">
        <color rgb="FF000000"/>
      </right>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medium">
        <color rgb="FF000000"/>
      </top>
    </border>
    <border>
      <left/>
      <right/>
      <bottom/>
    </border>
    <border>
      <top style="thin">
        <color rgb="FF222222"/>
      </top>
    </border>
    <border>
      <right style="thin">
        <color rgb="FF222222"/>
      </right>
      <top style="thin">
        <color rgb="FF222222"/>
      </top>
    </border>
    <border>
      <left style="medium">
        <color rgb="FF000000"/>
      </left>
      <right style="medium">
        <color rgb="FF000000"/>
      </right>
      <top style="medium">
        <color rgb="FF000000"/>
      </top>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top style="medium">
        <color rgb="FF000000"/>
      </top>
      <bottom style="thin">
        <color rgb="FF000000"/>
      </bottom>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ttom style="medium">
        <color rgb="FF000000"/>
      </bottom>
    </border>
    <border>
      <right style="medium">
        <color rgb="FF000000"/>
      </right>
      <bottom style="medium">
        <color rgb="FF000000"/>
      </bottom>
    </border>
    <border>
      <right style="medium">
        <color rgb="FF000000"/>
      </right>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bottom style="thin">
        <color rgb="FF000000"/>
      </bottom>
    </border>
    <border>
      <left style="medium">
        <color rgb="FF000000"/>
      </left>
      <right style="thin">
        <color rgb="FF000000"/>
      </right>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medium">
        <color rgb="FF000000"/>
      </top>
      <bottom style="medium">
        <color rgb="FF000000"/>
      </bottom>
    </border>
    <border>
      <right style="medium">
        <color rgb="FF000000"/>
      </right>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rder>
    <border>
      <right style="medium">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left style="thin">
        <color rgb="FF666666"/>
      </left>
      <right style="thin">
        <color rgb="FF666666"/>
      </right>
      <top style="thin">
        <color rgb="FF666666"/>
      </top>
      <bottom style="thin">
        <color rgb="FF666666"/>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0" fillId="2" fontId="2" numFmtId="0" xfId="0" applyAlignment="1" applyFont="1">
      <alignment horizontal="center" readingOrder="0" shrinkToFit="0" vertical="center" wrapText="1"/>
    </xf>
    <xf borderId="0" fillId="0" fontId="3" numFmtId="0" xfId="0" applyAlignment="1" applyFont="1">
      <alignment horizontal="center"/>
    </xf>
    <xf borderId="2" fillId="0" fontId="4" numFmtId="0" xfId="0" applyAlignment="1" applyBorder="1" applyFont="1">
      <alignment horizontal="center" readingOrder="0" vertical="center"/>
    </xf>
    <xf borderId="2" fillId="3" fontId="4" numFmtId="0" xfId="0" applyAlignment="1" applyBorder="1" applyFill="1" applyFont="1">
      <alignment horizontal="center" readingOrder="0" shrinkToFit="0" vertical="center" wrapText="1"/>
    </xf>
    <xf borderId="2" fillId="3" fontId="1" numFmtId="0" xfId="0" applyAlignment="1" applyBorder="1" applyFont="1">
      <alignment horizontal="center" readingOrder="0" shrinkToFit="0" vertical="center" wrapText="1"/>
    </xf>
    <xf borderId="2" fillId="4" fontId="4" numFmtId="0" xfId="0" applyAlignment="1" applyBorder="1" applyFill="1" applyFont="1">
      <alignment horizontal="center" readingOrder="0" shrinkToFit="0" vertical="center" wrapText="1"/>
    </xf>
    <xf borderId="0" fillId="2" fontId="5" numFmtId="0" xfId="0" applyAlignment="1" applyFont="1">
      <alignment readingOrder="0"/>
    </xf>
    <xf borderId="0" fillId="0" fontId="6" numFmtId="0" xfId="0" applyAlignment="1" applyFont="1">
      <alignment horizontal="center" vertical="center"/>
    </xf>
    <xf borderId="2" fillId="0" fontId="4" numFmtId="0" xfId="0" applyAlignment="1" applyBorder="1" applyFont="1">
      <alignment horizontal="center" vertical="center"/>
    </xf>
    <xf borderId="3" fillId="3" fontId="4" numFmtId="0" xfId="0" applyAlignment="1" applyBorder="1" applyFont="1">
      <alignment horizontal="center" readingOrder="0" shrinkToFit="0" vertical="center" wrapText="1"/>
    </xf>
    <xf borderId="4" fillId="3" fontId="4" numFmtId="0" xfId="0" applyAlignment="1" applyBorder="1" applyFont="1">
      <alignment horizontal="center" readingOrder="0" shrinkToFit="0" vertical="center" wrapText="1"/>
    </xf>
    <xf borderId="4" fillId="4" fontId="4" numFmtId="0" xfId="0" applyAlignment="1" applyBorder="1" applyFont="1">
      <alignment horizontal="center" readingOrder="0" shrinkToFit="0" vertical="center" wrapText="1"/>
    </xf>
    <xf borderId="0" fillId="2" fontId="5" numFmtId="0" xfId="0" applyFont="1"/>
    <xf borderId="3" fillId="3" fontId="7" numFmtId="0" xfId="0" applyAlignment="1" applyBorder="1" applyFont="1">
      <alignment horizontal="center" readingOrder="0" shrinkToFit="0" vertical="center" wrapText="1"/>
    </xf>
    <xf borderId="4" fillId="4" fontId="7" numFmtId="0" xfId="0" applyAlignment="1" applyBorder="1" applyFont="1">
      <alignment horizontal="center" readingOrder="0" shrinkToFit="0" vertical="center" wrapText="1"/>
    </xf>
    <xf borderId="2" fillId="0" fontId="8" numFmtId="0" xfId="0" applyAlignment="1" applyBorder="1" applyFont="1">
      <alignment horizontal="center" vertical="center"/>
    </xf>
    <xf borderId="2" fillId="2" fontId="8" numFmtId="0" xfId="0" applyAlignment="1" applyBorder="1" applyFont="1">
      <alignment horizontal="center" readingOrder="0" vertical="center"/>
    </xf>
    <xf borderId="2" fillId="2" fontId="9" numFmtId="0" xfId="0" applyAlignment="1" applyBorder="1" applyFont="1">
      <alignment horizontal="center" readingOrder="0" vertical="center"/>
    </xf>
    <xf borderId="0" fillId="2" fontId="6" numFmtId="0" xfId="0" applyAlignment="1" applyFont="1">
      <alignment horizontal="center" readingOrder="0" vertical="center"/>
    </xf>
    <xf borderId="3" fillId="2" fontId="10" numFmtId="0" xfId="0" applyAlignment="1" applyBorder="1" applyFont="1">
      <alignment horizontal="center" readingOrder="0" vertical="center"/>
    </xf>
    <xf borderId="2" fillId="2" fontId="10" numFmtId="0" xfId="0" applyAlignment="1" applyBorder="1" applyFont="1">
      <alignment horizontal="center" readingOrder="0" shrinkToFit="0" vertical="center" wrapText="1"/>
    </xf>
    <xf borderId="2" fillId="2" fontId="5" numFmtId="0" xfId="0" applyAlignment="1" applyBorder="1" applyFont="1">
      <alignment horizontal="center" readingOrder="0" vertical="center"/>
    </xf>
    <xf borderId="3" fillId="2" fontId="5" numFmtId="0" xfId="0" applyAlignment="1" applyBorder="1" applyFont="1">
      <alignment horizontal="center" shrinkToFit="0" vertical="center" wrapText="1"/>
    </xf>
    <xf borderId="2" fillId="2" fontId="5" numFmtId="0" xfId="0" applyAlignment="1" applyBorder="1" applyFont="1">
      <alignment horizontal="center" readingOrder="0" shrinkToFit="0" vertical="center" wrapText="1"/>
    </xf>
    <xf borderId="2" fillId="2" fontId="5" numFmtId="0" xfId="0" applyAlignment="1" applyBorder="1" applyFont="1">
      <alignment horizontal="center" shrinkToFit="0" vertical="center" wrapText="1"/>
    </xf>
    <xf borderId="2" fillId="0" fontId="8" numFmtId="0" xfId="0" applyAlignment="1" applyBorder="1" applyFont="1">
      <alignment horizontal="center" readingOrder="0" vertical="center"/>
    </xf>
    <xf borderId="2" fillId="2" fontId="11" numFmtId="0" xfId="0" applyAlignment="1" applyBorder="1" applyFont="1">
      <alignment horizontal="center" readingOrder="0" vertical="center"/>
    </xf>
    <xf borderId="3" fillId="2" fontId="5" numFmtId="0" xfId="0" applyAlignment="1" applyBorder="1" applyFont="1">
      <alignment horizontal="center" readingOrder="0" shrinkToFit="0" vertical="center" wrapText="1"/>
    </xf>
    <xf borderId="3" fillId="2" fontId="9" numFmtId="0" xfId="0" applyAlignment="1" applyBorder="1" applyFont="1">
      <alignment horizontal="center" readingOrder="0" shrinkToFit="0" vertical="center" wrapText="1"/>
    </xf>
    <xf borderId="0" fillId="2" fontId="12" numFmtId="0" xfId="0" applyAlignment="1" applyFont="1">
      <alignment horizontal="center"/>
    </xf>
    <xf borderId="0" fillId="0" fontId="6" numFmtId="0" xfId="0" applyAlignment="1" applyFont="1">
      <alignment horizontal="center" readingOrder="0" vertical="center"/>
    </xf>
    <xf borderId="0" fillId="0" fontId="6" numFmtId="164" xfId="0" applyAlignment="1" applyFont="1" applyNumberFormat="1">
      <alignment horizontal="center" vertical="center"/>
    </xf>
    <xf borderId="2" fillId="2" fontId="10" numFmtId="0" xfId="0" applyAlignment="1" applyBorder="1" applyFont="1">
      <alignment horizontal="center" vertical="center"/>
    </xf>
    <xf borderId="5" fillId="2" fontId="8" numFmtId="0" xfId="0" applyAlignment="1" applyBorder="1" applyFont="1">
      <alignment horizontal="center" readingOrder="0" vertical="center"/>
    </xf>
    <xf borderId="0" fillId="2" fontId="5" numFmtId="0" xfId="0" applyAlignment="1" applyFont="1">
      <alignment horizontal="center" readingOrder="0"/>
    </xf>
    <xf borderId="5" fillId="5" fontId="8" numFmtId="0" xfId="0" applyAlignment="1" applyBorder="1" applyFill="1" applyFont="1">
      <alignment horizontal="center" readingOrder="0" vertical="center"/>
    </xf>
    <xf borderId="2" fillId="5" fontId="8" numFmtId="0" xfId="0" applyAlignment="1" applyBorder="1" applyFont="1">
      <alignment horizontal="center" readingOrder="0" vertical="center"/>
    </xf>
    <xf borderId="2" fillId="5" fontId="5" numFmtId="0" xfId="0" applyAlignment="1" applyBorder="1" applyFont="1">
      <alignment horizontal="center" readingOrder="0" shrinkToFit="0" vertical="center" wrapText="1"/>
    </xf>
    <xf borderId="0" fillId="2" fontId="9" numFmtId="0" xfId="0" applyAlignment="1" applyFont="1">
      <alignment horizontal="center" readingOrder="0" vertical="center"/>
    </xf>
    <xf borderId="2" fillId="2" fontId="10" numFmtId="0" xfId="0" applyAlignment="1" applyBorder="1" applyFont="1">
      <alignment horizontal="center" readingOrder="0" vertical="center"/>
    </xf>
    <xf borderId="6" fillId="2" fontId="5" numFmtId="0" xfId="0" applyAlignment="1" applyBorder="1" applyFont="1">
      <alignment horizontal="center" readingOrder="0" vertical="center"/>
    </xf>
    <xf borderId="2" fillId="2" fontId="5" numFmtId="0" xfId="0" applyAlignment="1" applyBorder="1" applyFont="1">
      <alignment horizontal="center" vertical="center"/>
    </xf>
    <xf borderId="7" fillId="2" fontId="6" numFmtId="0" xfId="0" applyAlignment="1" applyBorder="1" applyFont="1">
      <alignment horizontal="center" readingOrder="0" vertical="center"/>
    </xf>
    <xf borderId="0" fillId="2" fontId="5" numFmtId="0" xfId="0" applyFont="1"/>
    <xf borderId="2" fillId="2" fontId="10" numFmtId="0" xfId="0" applyAlignment="1" applyBorder="1" applyFont="1">
      <alignment horizontal="center" vertical="center"/>
    </xf>
    <xf borderId="6" fillId="2" fontId="8" numFmtId="0" xfId="0" applyAlignment="1" applyBorder="1" applyFont="1">
      <alignment horizontal="center" readingOrder="0" vertical="center"/>
    </xf>
    <xf borderId="2" fillId="2" fontId="5" numFmtId="0" xfId="0" applyAlignment="1" applyBorder="1" applyFont="1">
      <alignment vertical="center"/>
    </xf>
    <xf borderId="0" fillId="0" fontId="11" numFmtId="0" xfId="0" applyAlignment="1" applyFont="1">
      <alignment horizontal="center" readingOrder="0" vertical="center"/>
    </xf>
    <xf borderId="5" fillId="0" fontId="8" numFmtId="0" xfId="0" applyAlignment="1" applyBorder="1" applyFont="1">
      <alignment horizontal="center" readingOrder="0" vertical="center"/>
    </xf>
    <xf borderId="2" fillId="0" fontId="6" numFmtId="0" xfId="0" applyBorder="1" applyFont="1"/>
    <xf borderId="8" fillId="2" fontId="8" numFmtId="0" xfId="0" applyAlignment="1" applyBorder="1" applyFont="1">
      <alignment horizontal="center" readingOrder="0" vertical="center"/>
    </xf>
    <xf borderId="2" fillId="5" fontId="10" numFmtId="0" xfId="0" applyAlignment="1" applyBorder="1" applyFont="1">
      <alignment horizontal="center" readingOrder="0" vertical="center"/>
    </xf>
    <xf borderId="0" fillId="2" fontId="5" numFmtId="0" xfId="0" applyAlignment="1" applyFont="1">
      <alignment horizontal="center" readingOrder="0" vertical="center"/>
    </xf>
    <xf borderId="9" fillId="0" fontId="6" numFmtId="0" xfId="0" applyBorder="1" applyFont="1"/>
    <xf borderId="9" fillId="2" fontId="10" numFmtId="0" xfId="0" applyAlignment="1" applyBorder="1" applyFont="1">
      <alignment horizontal="center" shrinkToFit="0" vertical="center" wrapText="1"/>
    </xf>
    <xf borderId="9" fillId="2" fontId="8" numFmtId="0" xfId="0" applyAlignment="1" applyBorder="1" applyFont="1">
      <alignment horizontal="center" readingOrder="0" vertical="center"/>
    </xf>
    <xf borderId="9" fillId="0" fontId="6" numFmtId="0" xfId="0" applyAlignment="1" applyBorder="1" applyFont="1">
      <alignment horizontal="center" readingOrder="0" vertical="center"/>
    </xf>
    <xf borderId="10" fillId="6" fontId="13" numFmtId="0" xfId="0" applyAlignment="1" applyBorder="1" applyFill="1" applyFont="1">
      <alignment horizontal="center" readingOrder="0" vertical="center"/>
    </xf>
    <xf borderId="10" fillId="2" fontId="5" numFmtId="0" xfId="0" applyAlignment="1" applyBorder="1" applyFont="1">
      <alignment horizontal="center" readingOrder="0" vertical="center"/>
    </xf>
    <xf borderId="9" fillId="2" fontId="9" numFmtId="0" xfId="0" applyAlignment="1" applyBorder="1" applyFont="1">
      <alignment horizontal="center" readingOrder="0" vertical="center"/>
    </xf>
    <xf borderId="9" fillId="6" fontId="14" numFmtId="0" xfId="0" applyAlignment="1" applyBorder="1" applyFont="1">
      <alignment horizontal="center" readingOrder="0" vertical="center"/>
    </xf>
    <xf borderId="6" fillId="2" fontId="9" numFmtId="0" xfId="0" applyAlignment="1" applyBorder="1" applyFont="1">
      <alignment horizontal="center" readingOrder="0" shrinkToFit="0" vertical="center" wrapText="1"/>
    </xf>
    <xf borderId="10" fillId="2" fontId="9" numFmtId="0" xfId="0" applyAlignment="1" applyBorder="1" applyFont="1">
      <alignment horizontal="center" readingOrder="0" vertical="center"/>
    </xf>
    <xf borderId="9" fillId="2" fontId="10" numFmtId="0" xfId="0" applyAlignment="1" applyBorder="1" applyFont="1">
      <alignment vertical="center"/>
    </xf>
    <xf borderId="9" fillId="2" fontId="5" numFmtId="0" xfId="0" applyAlignment="1" applyBorder="1" applyFont="1">
      <alignment horizontal="center" readingOrder="0" shrinkToFit="0" vertical="center" wrapText="1"/>
    </xf>
    <xf borderId="11" fillId="7" fontId="4" numFmtId="0" xfId="0" applyAlignment="1" applyBorder="1" applyFill="1" applyFont="1">
      <alignment horizontal="center" readingOrder="0" vertical="center"/>
    </xf>
    <xf borderId="1" fillId="7" fontId="15" numFmtId="0" xfId="0" applyAlignment="1" applyBorder="1" applyFont="1">
      <alignment horizontal="center" readingOrder="0" shrinkToFit="0" vertical="center" wrapText="1"/>
    </xf>
    <xf borderId="12" fillId="7" fontId="15" numFmtId="0" xfId="0" applyAlignment="1" applyBorder="1" applyFont="1">
      <alignment horizontal="center" readingOrder="0" shrinkToFit="0" vertical="center" wrapText="1"/>
    </xf>
    <xf borderId="1" fillId="7" fontId="16" numFmtId="0" xfId="0" applyAlignment="1" applyBorder="1" applyFont="1">
      <alignment horizontal="center" readingOrder="0" shrinkToFit="0" vertical="center" wrapText="1"/>
    </xf>
    <xf borderId="13" fillId="7" fontId="15" numFmtId="0" xfId="0" applyAlignment="1" applyBorder="1" applyFont="1">
      <alignment horizontal="center" readingOrder="0" shrinkToFit="0" vertical="center" wrapText="1"/>
    </xf>
    <xf borderId="3" fillId="7" fontId="16" numFmtId="0" xfId="0" applyAlignment="1" applyBorder="1" applyFont="1">
      <alignment horizontal="center" readingOrder="0" shrinkToFit="0" vertical="center" wrapText="1"/>
    </xf>
    <xf borderId="6" fillId="7" fontId="16" numFmtId="0" xfId="0" applyAlignment="1" applyBorder="1" applyFont="1">
      <alignment horizontal="center" readingOrder="0" shrinkToFit="0" vertical="center" wrapText="1"/>
    </xf>
    <xf borderId="1" fillId="7" fontId="16" numFmtId="0" xfId="0" applyAlignment="1" applyBorder="1" applyFont="1">
      <alignment horizontal="center" readingOrder="0" vertical="center"/>
    </xf>
    <xf borderId="1" fillId="7" fontId="15" numFmtId="0" xfId="0" applyAlignment="1" applyBorder="1" applyFont="1">
      <alignment horizontal="center" readingOrder="0" vertical="center"/>
    </xf>
    <xf borderId="12" fillId="7" fontId="15" numFmtId="0" xfId="0" applyAlignment="1" applyBorder="1" applyFont="1">
      <alignment horizontal="center" readingOrder="0" vertical="center"/>
    </xf>
    <xf borderId="14" fillId="7" fontId="16" numFmtId="0" xfId="0" applyAlignment="1" applyBorder="1" applyFont="1">
      <alignment horizontal="center" readingOrder="0" shrinkToFit="0" vertical="center" wrapText="1"/>
    </xf>
    <xf borderId="14" fillId="7" fontId="15" numFmtId="0" xfId="0" applyAlignment="1" applyBorder="1" applyFont="1">
      <alignment horizontal="center" readingOrder="0" shrinkToFit="0" vertical="center" wrapText="1"/>
    </xf>
    <xf borderId="3" fillId="7" fontId="17" numFmtId="0" xfId="0" applyAlignment="1" applyBorder="1" applyFont="1">
      <alignment horizontal="center" shrinkToFit="0" vertical="center" wrapText="1"/>
    </xf>
    <xf borderId="0" fillId="2" fontId="5" numFmtId="0" xfId="0" applyFont="1"/>
    <xf borderId="0" fillId="8" fontId="6" numFmtId="0" xfId="0" applyFill="1" applyFont="1"/>
    <xf borderId="1" fillId="0" fontId="18" numFmtId="0" xfId="0" applyBorder="1" applyFont="1"/>
    <xf borderId="11" fillId="7" fontId="16" numFmtId="0" xfId="0" applyAlignment="1" applyBorder="1" applyFont="1">
      <alignment horizontal="center" readingOrder="0" shrinkToFit="0" vertical="center" wrapText="1"/>
    </xf>
    <xf borderId="2" fillId="7" fontId="15" numFmtId="0" xfId="0" applyAlignment="1" applyBorder="1" applyFont="1">
      <alignment horizontal="center" readingOrder="0" shrinkToFit="0" vertical="center" wrapText="1"/>
    </xf>
    <xf borderId="2" fillId="7" fontId="16" numFmtId="0" xfId="0" applyAlignment="1" applyBorder="1" applyFont="1">
      <alignment horizontal="center" readingOrder="0" shrinkToFit="0" vertical="center" wrapText="1"/>
    </xf>
    <xf borderId="6" fillId="7" fontId="19" numFmtId="0" xfId="0" applyAlignment="1" applyBorder="1" applyFont="1">
      <alignment horizontal="center" readingOrder="0" shrinkToFit="0" vertical="center" wrapText="1"/>
    </xf>
    <xf borderId="11" fillId="7" fontId="15" numFmtId="0" xfId="0" applyAlignment="1" applyBorder="1" applyFont="1">
      <alignment horizontal="center" readingOrder="0" vertical="center"/>
    </xf>
    <xf borderId="6" fillId="7" fontId="16" numFmtId="0" xfId="0" applyAlignment="1" applyBorder="1" applyFont="1">
      <alignment horizontal="center" shrinkToFit="0" vertical="center" wrapText="1"/>
    </xf>
    <xf borderId="11" fillId="7" fontId="16" numFmtId="0" xfId="0" applyAlignment="1" applyBorder="1" applyFont="1">
      <alignment horizontal="center" readingOrder="0" vertical="center"/>
    </xf>
    <xf borderId="2" fillId="7" fontId="17" numFmtId="0" xfId="0" applyAlignment="1" applyBorder="1" applyFont="1">
      <alignment horizontal="center" shrinkToFit="0" vertical="center" wrapText="1"/>
    </xf>
    <xf borderId="11" fillId="7" fontId="20" numFmtId="0" xfId="0" applyAlignment="1" applyBorder="1" applyFont="1">
      <alignment horizontal="center" readingOrder="0" shrinkToFit="0" vertical="center" wrapText="1"/>
    </xf>
    <xf borderId="6" fillId="7" fontId="20" numFmtId="0" xfId="0" applyAlignment="1" applyBorder="1" applyFont="1">
      <alignment horizontal="center" readingOrder="0" shrinkToFit="0" vertical="center" wrapText="1"/>
    </xf>
    <xf borderId="6" fillId="7" fontId="15" numFmtId="0" xfId="0" applyAlignment="1" applyBorder="1" applyFont="1">
      <alignment horizontal="center" readingOrder="0" shrinkToFit="0" vertical="center" wrapText="1"/>
    </xf>
    <xf borderId="6" fillId="7" fontId="17" numFmtId="0" xfId="0" applyAlignment="1" applyBorder="1" applyFont="1">
      <alignment horizontal="center" shrinkToFit="0" vertical="center" wrapText="1"/>
    </xf>
    <xf borderId="11" fillId="7" fontId="17" numFmtId="0" xfId="0" applyAlignment="1" applyBorder="1" applyFont="1">
      <alignment horizontal="center" readingOrder="0" vertical="center"/>
    </xf>
    <xf borderId="15" fillId="9" fontId="4" numFmtId="0" xfId="0" applyAlignment="1" applyBorder="1" applyFill="1" applyFont="1">
      <alignment horizontal="center" vertical="center"/>
    </xf>
    <xf borderId="2" fillId="9" fontId="17" numFmtId="0" xfId="0" applyAlignment="1" applyBorder="1" applyFont="1">
      <alignment horizontal="center" shrinkToFit="0" vertical="center" wrapText="1"/>
    </xf>
    <xf borderId="16" fillId="2" fontId="9" numFmtId="0" xfId="0" applyAlignment="1" applyBorder="1" applyFont="1">
      <alignment horizontal="center" readingOrder="0" vertical="center"/>
    </xf>
    <xf borderId="17" fillId="0" fontId="18" numFmtId="0" xfId="0" applyBorder="1" applyFont="1"/>
    <xf borderId="18" fillId="0" fontId="18" numFmtId="0" xfId="0" applyBorder="1" applyFont="1"/>
    <xf borderId="8" fillId="10" fontId="10" numFmtId="0" xfId="0" applyAlignment="1" applyBorder="1" applyFill="1" applyFont="1">
      <alignment horizontal="center" readingOrder="0" vertical="center"/>
    </xf>
    <xf borderId="8" fillId="2" fontId="9" numFmtId="0" xfId="0" applyAlignment="1" applyBorder="1" applyFont="1">
      <alignment horizontal="center" readingOrder="0" vertical="center"/>
    </xf>
    <xf borderId="2" fillId="2" fontId="8" numFmtId="0" xfId="0" applyAlignment="1" applyBorder="1" applyFont="1">
      <alignment horizontal="center" vertical="center"/>
    </xf>
    <xf borderId="2" fillId="2" fontId="10" numFmtId="0" xfId="0" applyAlignment="1" applyBorder="1" applyFont="1">
      <alignment horizontal="center" shrinkToFit="0" vertical="center" wrapText="1"/>
    </xf>
    <xf borderId="3" fillId="2" fontId="8" numFmtId="0" xfId="0" applyAlignment="1" applyBorder="1" applyFont="1">
      <alignment horizontal="center" readingOrder="0" shrinkToFit="0" vertical="center" wrapText="1"/>
    </xf>
    <xf borderId="19" fillId="0" fontId="8" numFmtId="0" xfId="0" applyAlignment="1" applyBorder="1" applyFont="1">
      <alignment horizontal="center"/>
    </xf>
    <xf borderId="0" fillId="11" fontId="21" numFmtId="0" xfId="0" applyAlignment="1" applyFill="1" applyFont="1">
      <alignment horizontal="center" readingOrder="0" shrinkToFit="0" vertical="center" wrapText="1"/>
    </xf>
    <xf borderId="0" fillId="12" fontId="21" numFmtId="0" xfId="0" applyAlignment="1" applyFill="1" applyFont="1">
      <alignment horizontal="center" readingOrder="0" shrinkToFit="0" vertical="center" wrapText="1"/>
    </xf>
    <xf borderId="18" fillId="2" fontId="10" numFmtId="0" xfId="0" applyAlignment="1" applyBorder="1" applyFont="1">
      <alignment horizontal="center" readingOrder="0" shrinkToFit="0" vertical="center" wrapText="1"/>
    </xf>
    <xf borderId="3" fillId="2" fontId="8" numFmtId="0" xfId="0" applyAlignment="1" applyBorder="1" applyFont="1">
      <alignment horizontal="center" readingOrder="0" vertical="center"/>
    </xf>
    <xf borderId="2" fillId="2" fontId="22" numFmtId="0" xfId="0" applyAlignment="1" applyBorder="1" applyFont="1">
      <alignment horizontal="left" vertical="center"/>
    </xf>
    <xf borderId="0" fillId="0" fontId="8" numFmtId="0" xfId="0" applyFont="1"/>
    <xf borderId="0" fillId="6" fontId="23" numFmtId="0" xfId="0" applyAlignment="1" applyFont="1">
      <alignment horizontal="center" readingOrder="0" shrinkToFit="0" vertical="center" wrapText="1"/>
    </xf>
    <xf borderId="2" fillId="10" fontId="5" numFmtId="0" xfId="0" applyAlignment="1" applyBorder="1" applyFont="1">
      <alignment horizontal="center" readingOrder="0" shrinkToFit="0" vertical="center" wrapText="1"/>
    </xf>
    <xf borderId="19" fillId="0" fontId="8" numFmtId="0" xfId="0" applyBorder="1" applyFont="1"/>
    <xf borderId="0" fillId="0" fontId="24" numFmtId="0" xfId="0" applyAlignment="1" applyFont="1">
      <alignment horizontal="center" readingOrder="0" shrinkToFit="0" vertical="center" wrapText="1"/>
    </xf>
    <xf borderId="8" fillId="8" fontId="8" numFmtId="0" xfId="0" applyAlignment="1" applyBorder="1" applyFont="1">
      <alignment horizontal="center" readingOrder="0" vertical="center"/>
    </xf>
    <xf borderId="18" fillId="2" fontId="8" numFmtId="0" xfId="0" applyAlignment="1" applyBorder="1" applyFont="1">
      <alignment horizontal="center" readingOrder="0" vertical="center"/>
    </xf>
    <xf borderId="18" fillId="2" fontId="10" numFmtId="0" xfId="0" applyAlignment="1" applyBorder="1" applyFont="1">
      <alignment horizontal="center" readingOrder="0" vertical="center"/>
    </xf>
    <xf borderId="6" fillId="0" fontId="6" numFmtId="0" xfId="0" applyBorder="1" applyFont="1"/>
    <xf borderId="0" fillId="8" fontId="25" numFmtId="0" xfId="0" applyAlignment="1" applyFont="1">
      <alignment horizontal="center" readingOrder="0" vertical="center"/>
    </xf>
    <xf borderId="0" fillId="13" fontId="25" numFmtId="0" xfId="0" applyAlignment="1" applyFill="1" applyFont="1">
      <alignment horizontal="center" vertical="center"/>
    </xf>
    <xf borderId="2" fillId="0" fontId="8" numFmtId="0" xfId="0" applyAlignment="1" applyBorder="1" applyFont="1">
      <alignment horizontal="left"/>
    </xf>
    <xf borderId="3" fillId="2" fontId="10" numFmtId="0" xfId="0" applyBorder="1" applyFont="1"/>
    <xf borderId="18" fillId="2" fontId="8" numFmtId="0" xfId="0" applyAlignment="1" applyBorder="1" applyFont="1">
      <alignment horizontal="center" vertical="center"/>
    </xf>
    <xf borderId="18" fillId="2" fontId="22" numFmtId="0" xfId="0" applyAlignment="1" applyBorder="1" applyFont="1">
      <alignment horizontal="left" vertical="center"/>
    </xf>
    <xf borderId="0" fillId="8" fontId="26" numFmtId="0" xfId="0" applyAlignment="1" applyFont="1">
      <alignment horizontal="center" readingOrder="0" shrinkToFit="0" vertical="center" wrapText="1"/>
    </xf>
    <xf borderId="0" fillId="13" fontId="27" numFmtId="0" xfId="0" applyAlignment="1" applyFont="1">
      <alignment horizontal="center" readingOrder="0" vertical="center"/>
    </xf>
    <xf borderId="18" fillId="2" fontId="10" numFmtId="0" xfId="0" applyBorder="1" applyFont="1"/>
    <xf borderId="18" fillId="2" fontId="8" numFmtId="0" xfId="0" applyAlignment="1" applyBorder="1" applyFont="1">
      <alignment horizontal="center" readingOrder="0" shrinkToFit="0" vertical="center" wrapText="1"/>
    </xf>
    <xf borderId="11" fillId="8" fontId="8" numFmtId="0" xfId="0" applyAlignment="1" applyBorder="1" applyFont="1">
      <alignment horizontal="center" readingOrder="0" vertical="center"/>
    </xf>
    <xf borderId="1" fillId="2" fontId="8" numFmtId="0" xfId="0" applyAlignment="1" applyBorder="1" applyFont="1">
      <alignment horizontal="center" readingOrder="0" shrinkToFit="0" vertical="center" wrapText="1"/>
    </xf>
    <xf borderId="14" fillId="2" fontId="8" numFmtId="0" xfId="0" applyAlignment="1" applyBorder="1" applyFont="1">
      <alignment horizontal="center" readingOrder="0" shrinkToFit="0" vertical="center" wrapText="1"/>
    </xf>
    <xf borderId="2" fillId="8" fontId="8" numFmtId="0" xfId="0" applyAlignment="1" applyBorder="1" applyFont="1">
      <alignment horizontal="center" readingOrder="0" vertical="center"/>
    </xf>
    <xf borderId="2" fillId="2" fontId="8" numFmtId="0" xfId="0" applyAlignment="1" applyBorder="1" applyFont="1">
      <alignment horizontal="center" readingOrder="0" shrinkToFit="0" vertical="center" wrapText="1"/>
    </xf>
    <xf borderId="2" fillId="0" fontId="6" numFmtId="0" xfId="0" applyAlignment="1" applyBorder="1" applyFont="1">
      <alignment horizontal="center" shrinkToFit="0" vertical="center" wrapText="1"/>
    </xf>
    <xf borderId="0" fillId="0" fontId="6" numFmtId="0" xfId="0" applyAlignment="1" applyFont="1">
      <alignment horizontal="center" shrinkToFit="0" vertical="center" wrapText="1"/>
    </xf>
    <xf borderId="14" fillId="2" fontId="5" numFmtId="0" xfId="0" applyAlignment="1" applyBorder="1" applyFont="1">
      <alignment horizontal="center" readingOrder="0" shrinkToFit="0" vertical="center" wrapText="1"/>
    </xf>
    <xf borderId="0" fillId="0" fontId="8" numFmtId="0" xfId="0" applyAlignment="1" applyFont="1">
      <alignment horizontal="center"/>
    </xf>
    <xf borderId="17" fillId="2" fontId="22" numFmtId="165" xfId="0" applyAlignment="1" applyBorder="1" applyFont="1" applyNumberFormat="1">
      <alignment horizontal="left" readingOrder="0" vertical="center"/>
    </xf>
    <xf borderId="0" fillId="2" fontId="28" numFmtId="0" xfId="0" applyAlignment="1" applyFont="1">
      <alignment horizontal="center" readingOrder="0" vertical="center"/>
    </xf>
    <xf borderId="2" fillId="0" fontId="4" numFmtId="0" xfId="0" applyAlignment="1" applyBorder="1" applyFont="1">
      <alignment horizontal="left" vertical="center"/>
    </xf>
    <xf borderId="2" fillId="14" fontId="29" numFmtId="0" xfId="0" applyAlignment="1" applyBorder="1" applyFill="1" applyFont="1">
      <alignment horizontal="center" readingOrder="0" vertical="center"/>
    </xf>
    <xf borderId="2" fillId="4" fontId="29" numFmtId="0" xfId="0" applyAlignment="1" applyBorder="1" applyFont="1">
      <alignment horizontal="center" readingOrder="0" vertical="center"/>
    </xf>
    <xf borderId="2" fillId="4" fontId="30" numFmtId="0" xfId="0" applyAlignment="1" applyBorder="1" applyFont="1">
      <alignment horizontal="center" readingOrder="0" vertical="center"/>
    </xf>
    <xf borderId="2" fillId="4" fontId="1" numFmtId="0" xfId="0" applyAlignment="1" applyBorder="1" applyFont="1">
      <alignment horizontal="center" readingOrder="0" shrinkToFit="0" vertical="center" wrapText="1"/>
    </xf>
    <xf borderId="3" fillId="14" fontId="31" numFmtId="0" xfId="0" applyAlignment="1" applyBorder="1" applyFont="1">
      <alignment horizontal="center" readingOrder="0" shrinkToFit="0" vertical="center" wrapText="1"/>
    </xf>
    <xf borderId="3" fillId="4" fontId="29" numFmtId="0" xfId="0" applyAlignment="1" applyBorder="1" applyFont="1">
      <alignment horizontal="center" readingOrder="0" shrinkToFit="0" vertical="center" wrapText="1"/>
    </xf>
    <xf borderId="2" fillId="4" fontId="4" numFmtId="0" xfId="0" applyAlignment="1" applyBorder="1" applyFont="1">
      <alignment horizontal="center" readingOrder="0" vertical="center"/>
    </xf>
    <xf borderId="3" fillId="4" fontId="1" numFmtId="0" xfId="0" applyAlignment="1" applyBorder="1" applyFont="1">
      <alignment horizontal="center" readingOrder="0" vertical="center"/>
    </xf>
    <xf borderId="2" fillId="0" fontId="32" numFmtId="0" xfId="0" applyAlignment="1" applyBorder="1" applyFont="1">
      <alignment horizontal="left" vertical="center"/>
    </xf>
    <xf borderId="3" fillId="14" fontId="33" numFmtId="0" xfId="0" applyAlignment="1" applyBorder="1" applyFont="1">
      <alignment horizontal="center" readingOrder="0" vertical="center"/>
    </xf>
    <xf borderId="3" fillId="4" fontId="33" numFmtId="0" xfId="0" applyAlignment="1" applyBorder="1" applyFont="1">
      <alignment horizontal="center" readingOrder="0" vertical="center"/>
    </xf>
    <xf borderId="2" fillId="4" fontId="34" numFmtId="0" xfId="0" applyAlignment="1" applyBorder="1" applyFont="1">
      <alignment horizontal="center" readingOrder="0" vertical="center"/>
    </xf>
    <xf borderId="0" fillId="2" fontId="6" numFmtId="0" xfId="0" applyFont="1"/>
    <xf borderId="2" fillId="2" fontId="6" numFmtId="0" xfId="0" applyAlignment="1" applyBorder="1" applyFont="1">
      <alignment horizontal="center" readingOrder="0" vertical="center"/>
    </xf>
    <xf borderId="3" fillId="2" fontId="10" numFmtId="0" xfId="0" applyAlignment="1" applyBorder="1" applyFont="1">
      <alignment horizontal="center" readingOrder="0" shrinkToFit="0" vertical="center" wrapText="1"/>
    </xf>
    <xf borderId="3" fillId="2" fontId="5" numFmtId="0" xfId="0" applyAlignment="1" applyBorder="1" applyFont="1">
      <alignment horizontal="center" vertical="center"/>
    </xf>
    <xf borderId="0" fillId="0" fontId="6" numFmtId="0" xfId="0" applyAlignment="1" applyFont="1">
      <alignment readingOrder="0" vertical="center"/>
    </xf>
    <xf borderId="0" fillId="0" fontId="6" numFmtId="0" xfId="0" applyAlignment="1" applyFont="1">
      <alignment readingOrder="0"/>
    </xf>
    <xf borderId="3" fillId="2" fontId="10" numFmtId="0" xfId="0" applyAlignment="1" applyBorder="1" applyFont="1">
      <alignment horizontal="center" vertical="center"/>
    </xf>
    <xf borderId="3" fillId="6" fontId="14" numFmtId="0" xfId="0" applyAlignment="1" applyBorder="1" applyFont="1">
      <alignment horizontal="center" readingOrder="0" shrinkToFit="0" vertical="center" wrapText="1"/>
    </xf>
    <xf borderId="3" fillId="2" fontId="5" numFmtId="0" xfId="0" applyAlignment="1" applyBorder="1" applyFont="1">
      <alignment horizontal="center" readingOrder="0" vertical="center"/>
    </xf>
    <xf borderId="0" fillId="0" fontId="6" numFmtId="0" xfId="0" applyAlignment="1" applyFont="1">
      <alignment vertical="center"/>
    </xf>
    <xf borderId="14" fillId="2" fontId="5" numFmtId="0" xfId="0" applyAlignment="1" applyBorder="1" applyFont="1">
      <alignment horizontal="center" readingOrder="0" vertical="center"/>
    </xf>
    <xf borderId="8" fillId="2" fontId="10" numFmtId="0" xfId="0" applyAlignment="1" applyBorder="1" applyFont="1">
      <alignment horizontal="center" readingOrder="0" vertical="center"/>
    </xf>
    <xf borderId="8" fillId="2" fontId="5" numFmtId="0" xfId="0" applyAlignment="1" applyBorder="1" applyFont="1">
      <alignment horizontal="center" readingOrder="0" vertical="center"/>
    </xf>
    <xf borderId="3" fillId="0" fontId="10" numFmtId="0" xfId="0" applyAlignment="1" applyBorder="1" applyFont="1">
      <alignment horizontal="center" readingOrder="0" vertical="center"/>
    </xf>
    <xf borderId="14" fillId="2" fontId="10" numFmtId="0" xfId="0" applyAlignment="1" applyBorder="1" applyFont="1">
      <alignment horizontal="center" readingOrder="0" vertical="center"/>
    </xf>
    <xf borderId="6" fillId="2" fontId="9" numFmtId="0" xfId="0" applyAlignment="1" applyBorder="1" applyFont="1">
      <alignment horizontal="center" readingOrder="0" vertical="center"/>
    </xf>
    <xf borderId="5" fillId="0" fontId="10" numFmtId="0" xfId="0" applyAlignment="1" applyBorder="1" applyFont="1">
      <alignment horizontal="center" readingOrder="0" vertical="center"/>
    </xf>
    <xf borderId="2" fillId="0" fontId="5" numFmtId="0" xfId="0" applyAlignment="1" applyBorder="1" applyFont="1">
      <alignment horizontal="center" readingOrder="0" vertical="center"/>
    </xf>
    <xf borderId="16" fillId="2" fontId="5" numFmtId="0" xfId="0" applyAlignment="1" applyBorder="1" applyFont="1">
      <alignment horizontal="center" readingOrder="0" vertical="center"/>
    </xf>
    <xf borderId="3" fillId="2" fontId="9" numFmtId="0" xfId="0" applyAlignment="1" applyBorder="1" applyFont="1">
      <alignment horizontal="center" readingOrder="0" vertical="center"/>
    </xf>
    <xf borderId="6" fillId="5" fontId="9" numFmtId="0" xfId="0" applyAlignment="1" applyBorder="1" applyFont="1">
      <alignment horizontal="center" readingOrder="0" vertical="center"/>
    </xf>
    <xf borderId="0" fillId="0" fontId="35" numFmtId="0" xfId="0" applyAlignment="1" applyFont="1">
      <alignment vertical="center"/>
    </xf>
    <xf borderId="9" fillId="0" fontId="8" numFmtId="0" xfId="0" applyAlignment="1" applyBorder="1" applyFont="1">
      <alignment horizontal="center" vertical="center"/>
    </xf>
    <xf borderId="9" fillId="2" fontId="36" numFmtId="0" xfId="0" applyAlignment="1" applyBorder="1" applyFont="1">
      <alignment horizontal="center" readingOrder="0" vertical="center"/>
    </xf>
    <xf borderId="9" fillId="2" fontId="5" numFmtId="0" xfId="0" applyAlignment="1" applyBorder="1" applyFont="1">
      <alignment horizontal="center" readingOrder="0" vertical="center"/>
    </xf>
    <xf borderId="20" fillId="2" fontId="11" numFmtId="0" xfId="0" applyAlignment="1" applyBorder="1" applyFont="1">
      <alignment horizontal="center" readingOrder="0" vertical="center"/>
    </xf>
    <xf borderId="1" fillId="7" fontId="4" numFmtId="0" xfId="0" applyAlignment="1" applyBorder="1" applyFont="1">
      <alignment horizontal="center" readingOrder="0" vertical="center"/>
    </xf>
    <xf borderId="13" fillId="7" fontId="16" numFmtId="0" xfId="0" applyAlignment="1" applyBorder="1" applyFont="1">
      <alignment horizontal="center" readingOrder="0" vertical="center"/>
    </xf>
    <xf borderId="11" fillId="7" fontId="37" numFmtId="0" xfId="0" applyAlignment="1" applyBorder="1" applyFont="1">
      <alignment horizontal="center" readingOrder="0" vertical="center"/>
    </xf>
    <xf borderId="18" fillId="7" fontId="16" numFmtId="0" xfId="0" applyAlignment="1" applyBorder="1" applyFont="1">
      <alignment horizontal="center" readingOrder="0" vertical="center"/>
    </xf>
    <xf borderId="18" fillId="7" fontId="15" numFmtId="0" xfId="0" applyAlignment="1" applyBorder="1" applyFont="1">
      <alignment horizontal="center" readingOrder="0" vertical="center"/>
    </xf>
    <xf borderId="8" fillId="7" fontId="38" numFmtId="0" xfId="0" applyAlignment="1" applyBorder="1" applyFont="1">
      <alignment horizontal="center" readingOrder="0" vertical="center"/>
    </xf>
    <xf borderId="11" fillId="7" fontId="39" numFmtId="0" xfId="0" applyAlignment="1" applyBorder="1" applyFont="1">
      <alignment horizontal="center" readingOrder="0" vertical="center"/>
    </xf>
    <xf borderId="8" fillId="7" fontId="16" numFmtId="0" xfId="0" applyAlignment="1" applyBorder="1" applyFont="1">
      <alignment horizontal="center" readingOrder="0" vertical="center"/>
    </xf>
    <xf borderId="8" fillId="7" fontId="15" numFmtId="0" xfId="0" applyAlignment="1" applyBorder="1" applyFont="1">
      <alignment horizontal="center" readingOrder="0" vertical="center"/>
    </xf>
    <xf borderId="2" fillId="7" fontId="16" numFmtId="0" xfId="0" applyAlignment="1" applyBorder="1" applyFont="1">
      <alignment horizontal="center" readingOrder="0" vertical="center"/>
    </xf>
    <xf borderId="15" fillId="9" fontId="40" numFmtId="0" xfId="0" applyAlignment="1" applyBorder="1" applyFont="1">
      <alignment horizontal="left" vertical="center"/>
    </xf>
    <xf borderId="8" fillId="9" fontId="17" numFmtId="0" xfId="0" applyAlignment="1" applyBorder="1" applyFont="1">
      <alignment horizontal="center" vertical="center"/>
    </xf>
    <xf borderId="0" fillId="2" fontId="27" numFmtId="0" xfId="0" applyAlignment="1" applyFont="1">
      <alignment horizontal="left" readingOrder="0"/>
    </xf>
    <xf borderId="6" fillId="0" fontId="6" numFmtId="0" xfId="0" applyAlignment="1" applyBorder="1" applyFont="1">
      <alignment horizontal="center" readingOrder="0" vertical="center"/>
    </xf>
    <xf borderId="2" fillId="2" fontId="9" numFmtId="0" xfId="0" applyAlignment="1" applyBorder="1" applyFont="1">
      <alignment horizontal="center" vertical="center"/>
    </xf>
    <xf borderId="0" fillId="2" fontId="6" numFmtId="0" xfId="0" applyAlignment="1" applyFont="1">
      <alignment horizontal="center"/>
    </xf>
    <xf borderId="2" fillId="10" fontId="9" numFmtId="0" xfId="0" applyAlignment="1" applyBorder="1" applyFont="1">
      <alignment horizontal="center" readingOrder="0" vertical="center"/>
    </xf>
    <xf borderId="0" fillId="0" fontId="6" numFmtId="0" xfId="0" applyAlignment="1" applyFont="1">
      <alignment horizontal="center"/>
    </xf>
    <xf borderId="2" fillId="10" fontId="8" numFmtId="0" xfId="0" applyAlignment="1" applyBorder="1" applyFont="1">
      <alignment horizontal="center" readingOrder="0" vertical="center"/>
    </xf>
    <xf borderId="3" fillId="10" fontId="10" numFmtId="0" xfId="0" applyAlignment="1" applyBorder="1" applyFont="1">
      <alignment horizontal="center" readingOrder="0" vertical="center"/>
    </xf>
    <xf borderId="18" fillId="10" fontId="10" numFmtId="0" xfId="0" applyAlignment="1" applyBorder="1" applyFont="1">
      <alignment horizontal="center" readingOrder="0" vertical="center"/>
    </xf>
    <xf borderId="8" fillId="0" fontId="8" numFmtId="0" xfId="0" applyAlignment="1" applyBorder="1" applyFont="1">
      <alignment horizontal="center" readingOrder="0" vertical="center"/>
    </xf>
    <xf borderId="11" fillId="10" fontId="5" numFmtId="0" xfId="0" applyAlignment="1" applyBorder="1" applyFont="1">
      <alignment horizontal="center" readingOrder="0" vertical="center"/>
    </xf>
    <xf borderId="6" fillId="2" fontId="8" numFmtId="0" xfId="0" applyAlignment="1" applyBorder="1" applyFont="1">
      <alignment horizontal="center" vertical="center"/>
    </xf>
    <xf borderId="21" fillId="0" fontId="8" numFmtId="0" xfId="0" applyAlignment="1" applyBorder="1" applyFont="1">
      <alignment horizontal="center" readingOrder="0" vertical="center"/>
    </xf>
    <xf borderId="2" fillId="0" fontId="8" numFmtId="0" xfId="0" applyBorder="1" applyFont="1"/>
    <xf borderId="6" fillId="0" fontId="8" numFmtId="0" xfId="0" applyAlignment="1" applyBorder="1" applyFont="1">
      <alignment horizontal="left"/>
    </xf>
    <xf borderId="2" fillId="0" fontId="10" numFmtId="0" xfId="0" applyAlignment="1" applyBorder="1" applyFont="1">
      <alignment horizontal="center" readingOrder="0" shrinkToFit="0" vertical="center" wrapText="1"/>
    </xf>
    <xf borderId="0" fillId="0" fontId="8" numFmtId="0" xfId="0" applyAlignment="1" applyFont="1">
      <alignment horizontal="left" vertical="center"/>
    </xf>
    <xf borderId="0" fillId="0" fontId="8" numFmtId="0" xfId="0" applyAlignment="1" applyFont="1">
      <alignment horizontal="left"/>
    </xf>
    <xf borderId="17" fillId="2" fontId="9" numFmtId="165" xfId="0" applyAlignment="1" applyBorder="1" applyFont="1" applyNumberFormat="1">
      <alignment horizontal="left" readingOrder="0" vertical="center"/>
    </xf>
    <xf borderId="0" fillId="10" fontId="41" numFmtId="0" xfId="0" applyAlignment="1" applyFont="1">
      <alignment horizontal="center" readingOrder="0" shrinkToFit="0" vertical="center" wrapText="1"/>
    </xf>
    <xf borderId="0" fillId="0" fontId="3" numFmtId="0" xfId="0" applyAlignment="1" applyFont="1">
      <alignment horizontal="left"/>
    </xf>
    <xf borderId="2" fillId="14" fontId="1" numFmtId="0" xfId="0" applyAlignment="1" applyBorder="1" applyFont="1">
      <alignment horizontal="center" readingOrder="0" vertical="center"/>
    </xf>
    <xf borderId="2" fillId="4" fontId="1" numFmtId="0" xfId="0" applyAlignment="1" applyBorder="1" applyFont="1">
      <alignment horizontal="center" readingOrder="0" vertical="center"/>
    </xf>
    <xf borderId="0" fillId="0" fontId="42" numFmtId="0" xfId="0" applyAlignment="1" applyFont="1">
      <alignment horizontal="left"/>
    </xf>
    <xf borderId="2" fillId="14" fontId="31" numFmtId="0" xfId="0" applyAlignment="1" applyBorder="1" applyFont="1">
      <alignment horizontal="center" readingOrder="0" shrinkToFit="0" vertical="center" wrapText="1"/>
    </xf>
    <xf borderId="2" fillId="14" fontId="4" numFmtId="0" xfId="0" applyAlignment="1" applyBorder="1" applyFont="1">
      <alignment horizontal="center" readingOrder="0" vertical="center"/>
    </xf>
    <xf borderId="4" fillId="14" fontId="4" numFmtId="0" xfId="0" applyAlignment="1" applyBorder="1" applyFont="1">
      <alignment horizontal="center" readingOrder="0" vertical="center"/>
    </xf>
    <xf borderId="4" fillId="4" fontId="4" numFmtId="0" xfId="0" applyAlignment="1" applyBorder="1" applyFont="1">
      <alignment horizontal="center" readingOrder="0" vertical="center"/>
    </xf>
    <xf borderId="2" fillId="0" fontId="7" numFmtId="0" xfId="0" applyAlignment="1" applyBorder="1" applyFont="1">
      <alignment horizontal="left" vertical="center"/>
    </xf>
    <xf borderId="2" fillId="3" fontId="7" numFmtId="0" xfId="0" applyAlignment="1" applyBorder="1" applyFont="1">
      <alignment horizontal="center" readingOrder="0" shrinkToFit="0" vertical="center" wrapText="1"/>
    </xf>
    <xf borderId="2" fillId="14" fontId="33" numFmtId="0" xfId="0" applyAlignment="1" applyBorder="1" applyFont="1">
      <alignment horizontal="center" readingOrder="0" vertical="center"/>
    </xf>
    <xf borderId="2" fillId="14" fontId="7" numFmtId="0" xfId="0" applyAlignment="1" applyBorder="1" applyFont="1">
      <alignment horizontal="center" readingOrder="0" vertical="center"/>
    </xf>
    <xf borderId="2" fillId="14" fontId="7" numFmtId="0" xfId="0" applyAlignment="1" applyBorder="1" applyFont="1">
      <alignment horizontal="center" readingOrder="0" shrinkToFit="0" vertical="center" wrapText="1"/>
    </xf>
    <xf borderId="2" fillId="4" fontId="7" numFmtId="0" xfId="0" applyAlignment="1" applyBorder="1" applyFont="1">
      <alignment horizontal="center" readingOrder="0" shrinkToFit="0" vertical="center" wrapText="1"/>
    </xf>
    <xf borderId="0" fillId="0" fontId="7" numFmtId="0" xfId="0" applyAlignment="1" applyFont="1">
      <alignment horizontal="left"/>
    </xf>
    <xf borderId="0" fillId="0" fontId="43" numFmtId="0" xfId="0" applyAlignment="1" applyFont="1">
      <alignment readingOrder="0"/>
    </xf>
    <xf borderId="0" fillId="0" fontId="43" numFmtId="0" xfId="0" applyFont="1"/>
    <xf borderId="18" fillId="6" fontId="14"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2" fontId="10" numFmtId="0" xfId="0" applyAlignment="1" applyBorder="1" applyFont="1">
      <alignment horizontal="center" shrinkToFit="0" vertical="center" wrapText="1"/>
    </xf>
    <xf borderId="2" fillId="2" fontId="10" numFmtId="0" xfId="0" applyAlignment="1" applyBorder="1" applyFont="1">
      <alignment horizontal="center" shrinkToFit="0" vertical="center" wrapText="1"/>
    </xf>
    <xf borderId="0" fillId="2" fontId="9" numFmtId="0" xfId="0" applyAlignment="1" applyFont="1">
      <alignment horizontal="center" readingOrder="0" shrinkToFit="0" vertical="center" wrapText="1"/>
    </xf>
    <xf borderId="2" fillId="6" fontId="14" numFmtId="0" xfId="0" applyAlignment="1" applyBorder="1" applyFont="1">
      <alignment horizontal="center" readingOrder="0" vertical="center"/>
    </xf>
    <xf borderId="8" fillId="2" fontId="10" numFmtId="0" xfId="0" applyAlignment="1" applyBorder="1" applyFont="1">
      <alignment horizontal="center" vertical="center"/>
    </xf>
    <xf borderId="0" fillId="2" fontId="44" numFmtId="0" xfId="0" applyAlignment="1" applyFont="1">
      <alignment horizontal="center" readingOrder="0" vertical="center"/>
    </xf>
    <xf borderId="5" fillId="2" fontId="11" numFmtId="0" xfId="0" applyAlignment="1" applyBorder="1" applyFont="1">
      <alignment horizontal="center" readingOrder="0" vertical="center"/>
    </xf>
    <xf borderId="1" fillId="2" fontId="5" numFmtId="0" xfId="0" applyAlignment="1" applyBorder="1" applyFont="1">
      <alignment horizontal="center" readingOrder="0" vertical="center"/>
    </xf>
    <xf borderId="5" fillId="5" fontId="11" numFmtId="0" xfId="0" applyAlignment="1" applyBorder="1" applyFont="1">
      <alignment horizontal="center" readingOrder="0" vertical="center"/>
    </xf>
    <xf borderId="7" fillId="2" fontId="8" numFmtId="0" xfId="0" applyAlignment="1" applyBorder="1" applyFont="1">
      <alignment horizontal="center" readingOrder="0" vertical="center"/>
    </xf>
    <xf borderId="11" fillId="2" fontId="5" numFmtId="0" xfId="0" applyAlignment="1" applyBorder="1" applyFont="1">
      <alignment horizontal="center" readingOrder="0" vertical="center"/>
    </xf>
    <xf borderId="2" fillId="11" fontId="5" numFmtId="0" xfId="0" applyAlignment="1" applyBorder="1" applyFont="1">
      <alignment horizontal="center" readingOrder="0" shrinkToFit="0" vertical="center" wrapText="1"/>
    </xf>
    <xf borderId="18" fillId="2" fontId="10" numFmtId="0" xfId="0" applyAlignment="1" applyBorder="1" applyFont="1">
      <alignment horizontal="center" vertical="center"/>
    </xf>
    <xf borderId="0" fillId="2" fontId="44" numFmtId="0" xfId="0" applyAlignment="1" applyFont="1">
      <alignment horizontal="center" shrinkToFit="0" vertical="center" wrapText="1"/>
    </xf>
    <xf borderId="22" fillId="2" fontId="5" numFmtId="0" xfId="0" applyAlignment="1" applyBorder="1" applyFont="1">
      <alignment horizontal="center" readingOrder="0" vertical="center"/>
    </xf>
    <xf borderId="2" fillId="0" fontId="10" numFmtId="0" xfId="0" applyAlignment="1" applyBorder="1" applyFont="1">
      <alignment horizontal="center" readingOrder="0" vertical="center"/>
    </xf>
    <xf borderId="0" fillId="2" fontId="45" numFmtId="0" xfId="0" applyAlignment="1" applyFont="1">
      <alignment horizontal="center" readingOrder="0" vertical="center"/>
    </xf>
    <xf borderId="18" fillId="2" fontId="5" numFmtId="0" xfId="0" applyAlignment="1" applyBorder="1" applyFont="1">
      <alignment horizontal="center" readingOrder="0" vertical="center"/>
    </xf>
    <xf borderId="5" fillId="2" fontId="9" numFmtId="0" xfId="0" applyAlignment="1" applyBorder="1" applyFont="1">
      <alignment horizontal="center" readingOrder="0" vertical="center"/>
    </xf>
    <xf borderId="8" fillId="0" fontId="10" numFmtId="0" xfId="0" applyAlignment="1" applyBorder="1" applyFont="1">
      <alignment horizontal="center" readingOrder="0" vertical="center"/>
    </xf>
    <xf borderId="2" fillId="5" fontId="5" numFmtId="0" xfId="0" applyAlignment="1" applyBorder="1" applyFont="1">
      <alignment horizontal="center" readingOrder="0" vertical="center"/>
    </xf>
    <xf borderId="17" fillId="2" fontId="11" numFmtId="0" xfId="0" applyAlignment="1" applyBorder="1" applyFont="1">
      <alignment horizontal="center" readingOrder="0" vertical="center"/>
    </xf>
    <xf borderId="8" fillId="2" fontId="9" numFmtId="0" xfId="0" applyAlignment="1" applyBorder="1" applyFont="1">
      <alignment horizontal="center" readingOrder="0" shrinkToFit="0" vertical="center" wrapText="1"/>
    </xf>
    <xf borderId="2" fillId="6" fontId="13" numFmtId="0" xfId="0" applyAlignment="1" applyBorder="1" applyFont="1">
      <alignment horizontal="center" readingOrder="0" vertical="center"/>
    </xf>
    <xf borderId="6" fillId="2" fontId="11" numFmtId="0" xfId="0" applyAlignment="1" applyBorder="1" applyFont="1">
      <alignment horizontal="center" readingOrder="0" vertical="center"/>
    </xf>
    <xf borderId="17" fillId="2" fontId="5" numFmtId="0" xfId="0" applyAlignment="1" applyBorder="1" applyFont="1">
      <alignment horizontal="center" readingOrder="0" vertical="center"/>
    </xf>
    <xf borderId="6" fillId="2" fontId="5" numFmtId="0" xfId="0" applyAlignment="1" applyBorder="1" applyFont="1">
      <alignment horizontal="center" readingOrder="0" shrinkToFit="0" vertical="center" wrapText="1"/>
    </xf>
    <xf borderId="2" fillId="6" fontId="9" numFmtId="0" xfId="0" applyAlignment="1" applyBorder="1" applyFont="1">
      <alignment horizontal="center" readingOrder="0" vertical="center"/>
    </xf>
    <xf borderId="8" fillId="2" fontId="10" numFmtId="0" xfId="0" applyAlignment="1" applyBorder="1" applyFont="1">
      <alignment horizontal="center" readingOrder="0" shrinkToFit="0" vertical="center" wrapText="1"/>
    </xf>
    <xf borderId="0" fillId="2" fontId="44" numFmtId="0" xfId="0" applyAlignment="1" applyFont="1">
      <alignment horizontal="center" readingOrder="0" shrinkToFit="0" vertical="center" wrapText="1"/>
    </xf>
    <xf borderId="23" fillId="2" fontId="46" numFmtId="0" xfId="0" applyAlignment="1" applyBorder="1" applyFont="1">
      <alignment horizontal="center" vertical="center"/>
    </xf>
    <xf borderId="10" fillId="2" fontId="8" numFmtId="0" xfId="0" applyAlignment="1" applyBorder="1" applyFont="1">
      <alignment horizontal="center" readingOrder="0" vertical="center"/>
    </xf>
    <xf borderId="9" fillId="2" fontId="6" numFmtId="0" xfId="0" applyAlignment="1" applyBorder="1" applyFont="1">
      <alignment horizontal="center" readingOrder="0" vertical="center"/>
    </xf>
    <xf borderId="20" fillId="2" fontId="5" numFmtId="0" xfId="0" applyAlignment="1" applyBorder="1" applyFont="1">
      <alignment horizontal="center" readingOrder="0" vertical="center"/>
    </xf>
    <xf borderId="24" fillId="2" fontId="5" numFmtId="0" xfId="0" applyAlignment="1" applyBorder="1" applyFont="1">
      <alignment horizontal="center" readingOrder="0" vertical="center"/>
    </xf>
    <xf borderId="14" fillId="2" fontId="9" numFmtId="0" xfId="0" applyAlignment="1" applyBorder="1" applyFont="1">
      <alignment horizontal="center" readingOrder="0" vertical="center"/>
    </xf>
    <xf borderId="9" fillId="6" fontId="13" numFmtId="0" xfId="0" applyAlignment="1" applyBorder="1" applyFont="1">
      <alignment horizontal="center" readingOrder="0" vertical="center"/>
    </xf>
    <xf borderId="23" fillId="2" fontId="9" numFmtId="0" xfId="0" applyAlignment="1" applyBorder="1" applyFont="1">
      <alignment horizontal="center" readingOrder="0" vertical="center"/>
    </xf>
    <xf borderId="25" fillId="2" fontId="11" numFmtId="0" xfId="0" applyAlignment="1" applyBorder="1" applyFont="1">
      <alignment horizontal="center" readingOrder="0" vertical="center"/>
    </xf>
    <xf borderId="6" fillId="7" fontId="16" numFmtId="0" xfId="0" applyAlignment="1" applyBorder="1" applyFont="1">
      <alignment horizontal="center" readingOrder="0" vertical="center"/>
    </xf>
    <xf borderId="2" fillId="7" fontId="15" numFmtId="0" xfId="0" applyAlignment="1" applyBorder="1" applyFont="1">
      <alignment horizontal="center" readingOrder="0" vertical="center"/>
    </xf>
    <xf borderId="14" fillId="7" fontId="15" numFmtId="0" xfId="0" applyAlignment="1" applyBorder="1" applyFont="1">
      <alignment horizontal="center" readingOrder="0" vertical="center"/>
    </xf>
    <xf borderId="5" fillId="6" fontId="39" numFmtId="0" xfId="0" applyAlignment="1" applyBorder="1" applyFont="1">
      <alignment horizontal="center" readingOrder="0" vertical="center"/>
    </xf>
    <xf borderId="13" fillId="7" fontId="15" numFmtId="0" xfId="0" applyAlignment="1" applyBorder="1" applyFont="1">
      <alignment horizontal="center" readingOrder="0" vertical="center"/>
    </xf>
    <xf borderId="3" fillId="7" fontId="16" numFmtId="0" xfId="0" applyAlignment="1" applyBorder="1" applyFont="1">
      <alignment horizontal="center" readingOrder="0" vertical="center"/>
    </xf>
    <xf borderId="3" fillId="7" fontId="15" numFmtId="0" xfId="0" applyAlignment="1" applyBorder="1" applyFont="1">
      <alignment horizontal="center" readingOrder="0" vertical="center"/>
    </xf>
    <xf borderId="14" fillId="7" fontId="16" numFmtId="0" xfId="0" applyAlignment="1" applyBorder="1" applyFont="1">
      <alignment horizontal="center" readingOrder="0" vertical="center"/>
    </xf>
    <xf borderId="14" fillId="7" fontId="37" numFmtId="0" xfId="0" applyAlignment="1" applyBorder="1" applyFont="1">
      <alignment horizontal="center" readingOrder="0" vertical="center"/>
    </xf>
    <xf borderId="26" fillId="7" fontId="15" numFmtId="0" xfId="0" applyAlignment="1" applyBorder="1" applyFont="1">
      <alignment horizontal="center" readingOrder="0" vertical="center"/>
    </xf>
    <xf borderId="3" fillId="7" fontId="15" numFmtId="0" xfId="0" applyAlignment="1" applyBorder="1" applyFont="1">
      <alignment horizontal="center" readingOrder="0" shrinkToFit="0" vertical="center" wrapText="1"/>
    </xf>
    <xf borderId="6" fillId="7" fontId="15" numFmtId="0" xfId="0" applyAlignment="1" applyBorder="1" applyFont="1">
      <alignment horizontal="center" readingOrder="0" vertical="center"/>
    </xf>
    <xf borderId="6" fillId="7" fontId="39" numFmtId="0" xfId="0" applyAlignment="1" applyBorder="1" applyFont="1">
      <alignment horizontal="center" readingOrder="0" vertical="center"/>
    </xf>
    <xf borderId="3" fillId="6" fontId="39" numFmtId="0" xfId="0" applyAlignment="1" applyBorder="1" applyFont="1">
      <alignment horizontal="center" readingOrder="0" vertical="center"/>
    </xf>
    <xf borderId="2" fillId="7" fontId="17" numFmtId="0" xfId="0" applyAlignment="1" applyBorder="1" applyFont="1">
      <alignment horizontal="center" readingOrder="0" vertical="center"/>
    </xf>
    <xf borderId="6" fillId="7" fontId="17" numFmtId="0" xfId="0" applyAlignment="1" applyBorder="1" applyFont="1">
      <alignment horizontal="center" vertical="center"/>
    </xf>
    <xf borderId="14" fillId="6" fontId="39" numFmtId="0" xfId="0" applyAlignment="1" applyBorder="1" applyFont="1">
      <alignment horizontal="center" readingOrder="0" vertical="center"/>
    </xf>
    <xf borderId="6" fillId="7" fontId="20" numFmtId="0" xfId="0" applyAlignment="1" applyBorder="1" applyFont="1">
      <alignment horizontal="center" readingOrder="0" vertical="center"/>
    </xf>
    <xf borderId="6" fillId="7" fontId="17" numFmtId="0" xfId="0" applyAlignment="1" applyBorder="1" applyFont="1">
      <alignment horizontal="center" readingOrder="0" vertical="center"/>
    </xf>
    <xf borderId="19" fillId="2" fontId="47" numFmtId="0" xfId="0" applyAlignment="1" applyBorder="1" applyFont="1">
      <alignment horizontal="center" vertical="center"/>
    </xf>
    <xf borderId="6" fillId="7" fontId="39" numFmtId="0" xfId="0" applyAlignment="1" applyBorder="1" applyFont="1">
      <alignment horizontal="center" readingOrder="0" shrinkToFit="0" vertical="center" wrapText="1"/>
    </xf>
    <xf borderId="6" fillId="6" fontId="39" numFmtId="0" xfId="0" applyAlignment="1" applyBorder="1" applyFont="1">
      <alignment horizontal="center" readingOrder="0" vertical="center"/>
    </xf>
    <xf borderId="22" fillId="7" fontId="16" numFmtId="0" xfId="0" applyAlignment="1" applyBorder="1" applyFont="1">
      <alignment horizontal="center" readingOrder="0" vertical="center"/>
    </xf>
    <xf borderId="6" fillId="7" fontId="48" numFmtId="0" xfId="0" applyAlignment="1" applyBorder="1" applyFont="1">
      <alignment horizontal="center" readingOrder="0" vertical="center"/>
    </xf>
    <xf borderId="2" fillId="7" fontId="20" numFmtId="0" xfId="0" applyAlignment="1" applyBorder="1" applyFont="1">
      <alignment horizontal="center" readingOrder="0" vertical="center"/>
    </xf>
    <xf borderId="2" fillId="9" fontId="17" numFmtId="0" xfId="0" applyAlignment="1" applyBorder="1" applyFont="1">
      <alignment horizontal="center" vertical="center"/>
    </xf>
    <xf borderId="0" fillId="13" fontId="25" numFmtId="0" xfId="0" applyAlignment="1" applyFont="1">
      <alignment vertical="center"/>
    </xf>
    <xf borderId="18" fillId="0" fontId="8" numFmtId="0" xfId="0" applyAlignment="1" applyBorder="1" applyFont="1">
      <alignment horizontal="center" readingOrder="0" vertical="center"/>
    </xf>
    <xf borderId="16" fillId="2" fontId="10" numFmtId="0" xfId="0" applyAlignment="1" applyBorder="1" applyFont="1">
      <alignment horizontal="center" readingOrder="0" vertical="center"/>
    </xf>
    <xf borderId="3" fillId="2" fontId="10" numFmtId="0" xfId="0" applyAlignment="1" applyBorder="1" applyFont="1">
      <alignment horizontal="center" readingOrder="0" vertical="center"/>
    </xf>
    <xf borderId="3" fillId="2" fontId="10" numFmtId="0" xfId="0" applyAlignment="1" applyBorder="1" applyFont="1">
      <alignment vertical="bottom"/>
    </xf>
    <xf borderId="5" fillId="2" fontId="10" numFmtId="0" xfId="0" applyAlignment="1" applyBorder="1" applyFont="1">
      <alignment horizontal="center" readingOrder="0" vertical="center"/>
    </xf>
    <xf borderId="5" fillId="2" fontId="8" numFmtId="0" xfId="0" applyAlignment="1" applyBorder="1" applyFont="1">
      <alignment horizontal="center" vertical="center"/>
    </xf>
    <xf borderId="21" fillId="0" fontId="18" numFmtId="0" xfId="0" applyBorder="1" applyFont="1"/>
    <xf borderId="8" fillId="0" fontId="18" numFmtId="0" xfId="0" applyBorder="1" applyFont="1"/>
    <xf borderId="5" fillId="2" fontId="8" numFmtId="0" xfId="0" applyAlignment="1" applyBorder="1" applyFont="1">
      <alignment horizontal="center" readingOrder="0" vertical="center"/>
    </xf>
    <xf borderId="19" fillId="0" fontId="47" numFmtId="0" xfId="0" applyAlignment="1" applyBorder="1" applyFont="1">
      <alignment horizontal="center" vertical="center"/>
    </xf>
    <xf borderId="2" fillId="10" fontId="5" numFmtId="0" xfId="0" applyAlignment="1" applyBorder="1" applyFont="1">
      <alignment horizontal="center" readingOrder="0" vertical="center"/>
    </xf>
    <xf borderId="18" fillId="2" fontId="10" numFmtId="0" xfId="0" applyAlignment="1" applyBorder="1" applyFont="1">
      <alignment horizontal="center" vertical="center"/>
    </xf>
    <xf borderId="3" fillId="2" fontId="10" numFmtId="0" xfId="0" applyAlignment="1" applyBorder="1" applyFont="1">
      <alignment vertical="center"/>
    </xf>
    <xf borderId="18" fillId="2" fontId="10" numFmtId="0" xfId="0" applyAlignment="1" applyBorder="1" applyFont="1">
      <alignment vertical="center"/>
    </xf>
    <xf borderId="2" fillId="2" fontId="8" numFmtId="0" xfId="0" applyAlignment="1" applyBorder="1" applyFont="1">
      <alignment horizontal="center" readingOrder="0" vertical="center"/>
    </xf>
    <xf borderId="2" fillId="10" fontId="6" numFmtId="0" xfId="0" applyAlignment="1" applyBorder="1" applyFont="1">
      <alignment horizontal="center" readingOrder="0" vertical="center"/>
    </xf>
    <xf borderId="18" fillId="2" fontId="10" numFmtId="0" xfId="0" applyBorder="1" applyFont="1"/>
    <xf borderId="3" fillId="2" fontId="10" numFmtId="0" xfId="0" applyAlignment="1" applyBorder="1" applyFont="1">
      <alignment vertical="center"/>
    </xf>
    <xf borderId="17" fillId="10" fontId="10" numFmtId="0" xfId="0" applyAlignment="1" applyBorder="1" applyFont="1">
      <alignment horizontal="center" readingOrder="0" vertical="center"/>
    </xf>
    <xf borderId="18" fillId="2" fontId="10" numFmtId="0" xfId="0" applyAlignment="1" applyBorder="1" applyFont="1">
      <alignment vertical="center"/>
    </xf>
    <xf borderId="16" fillId="10" fontId="10" numFmtId="0" xfId="0" applyAlignment="1" applyBorder="1" applyFont="1">
      <alignment horizontal="center" readingOrder="0" vertical="center"/>
    </xf>
    <xf borderId="18" fillId="2" fontId="10" numFmtId="0" xfId="0" applyAlignment="1" applyBorder="1" applyFont="1">
      <alignment vertical="bottom"/>
    </xf>
    <xf borderId="3" fillId="2" fontId="10" numFmtId="0" xfId="0" applyBorder="1" applyFont="1"/>
    <xf borderId="2" fillId="15" fontId="5" numFmtId="0" xfId="0" applyAlignment="1" applyBorder="1" applyFill="1" applyFont="1">
      <alignment horizontal="center" readingOrder="0" vertical="center"/>
    </xf>
    <xf borderId="2" fillId="2" fontId="22" numFmtId="0" xfId="0" applyAlignment="1" applyBorder="1" applyFont="1">
      <alignment horizontal="center" vertical="center"/>
    </xf>
    <xf borderId="2" fillId="2" fontId="22" numFmtId="0" xfId="0" applyAlignment="1" applyBorder="1" applyFont="1">
      <alignment horizontal="center" readingOrder="0" vertical="center"/>
    </xf>
    <xf borderId="2" fillId="2" fontId="5" numFmtId="0" xfId="0" applyAlignment="1" applyBorder="1" applyFont="1">
      <alignment horizontal="center" readingOrder="0" vertical="center"/>
    </xf>
    <xf borderId="4" fillId="2" fontId="8" numFmtId="0" xfId="0" applyAlignment="1" applyBorder="1" applyFont="1">
      <alignment horizontal="center" readingOrder="0" vertical="center"/>
    </xf>
    <xf borderId="2" fillId="2" fontId="8" numFmtId="0" xfId="0" applyAlignment="1" applyBorder="1" applyFont="1">
      <alignment horizontal="left" vertical="center"/>
    </xf>
    <xf borderId="8" fillId="0" fontId="6" numFmtId="0" xfId="0" applyBorder="1" applyFont="1"/>
    <xf borderId="8" fillId="2" fontId="22" numFmtId="0" xfId="0" applyAlignment="1" applyBorder="1" applyFont="1">
      <alignment horizontal="left" vertical="center"/>
    </xf>
    <xf borderId="2" fillId="2" fontId="9" numFmtId="0" xfId="0" applyAlignment="1" applyBorder="1" applyFont="1">
      <alignment horizontal="left" vertical="center"/>
    </xf>
    <xf borderId="0" fillId="2" fontId="22" numFmtId="0" xfId="0" applyAlignment="1" applyFont="1">
      <alignment horizontal="left" vertical="center"/>
    </xf>
    <xf borderId="0" fillId="2" fontId="10" numFmtId="0" xfId="0" applyAlignment="1" applyFont="1">
      <alignment horizontal="center" vertical="center"/>
    </xf>
    <xf borderId="0" fillId="2" fontId="22" numFmtId="0" xfId="0" applyAlignment="1" applyFont="1">
      <alignment horizontal="center" vertical="center"/>
    </xf>
    <xf borderId="3" fillId="5" fontId="10" numFmtId="0" xfId="0" applyAlignment="1" applyBorder="1" applyFont="1">
      <alignment horizontal="center" readingOrder="0" vertical="center"/>
    </xf>
    <xf borderId="5" fillId="0" fontId="8" numFmtId="0" xfId="0" applyAlignment="1" applyBorder="1" applyFont="1">
      <alignment horizontal="left" vertical="center"/>
    </xf>
    <xf borderId="0" fillId="2" fontId="49" numFmtId="0" xfId="0" applyAlignment="1" applyFont="1">
      <alignment horizontal="center" readingOrder="0" shrinkToFit="0" vertical="center" wrapText="1"/>
    </xf>
    <xf borderId="0" fillId="0" fontId="3" numFmtId="0" xfId="0" applyAlignment="1" applyFont="1">
      <alignment horizontal="left" vertical="center"/>
    </xf>
    <xf borderId="2" fillId="4" fontId="31" numFmtId="0" xfId="0" applyAlignment="1" applyBorder="1" applyFont="1">
      <alignment horizontal="center" readingOrder="0" vertical="center"/>
    </xf>
    <xf borderId="19" fillId="0" fontId="42" numFmtId="0" xfId="0" applyAlignment="1" applyBorder="1" applyFont="1">
      <alignment horizontal="left" vertical="center"/>
    </xf>
    <xf borderId="0" fillId="0" fontId="42" numFmtId="0" xfId="0" applyAlignment="1" applyFont="1">
      <alignment horizontal="left" vertical="center"/>
    </xf>
    <xf borderId="2" fillId="3" fontId="31" numFmtId="0" xfId="0" applyAlignment="1" applyBorder="1" applyFont="1">
      <alignment horizontal="center" readingOrder="0" shrinkToFit="0" vertical="center" wrapText="1"/>
    </xf>
    <xf borderId="3" fillId="3" fontId="31" numFmtId="0" xfId="0" applyAlignment="1" applyBorder="1" applyFont="1">
      <alignment horizontal="center" readingOrder="0" shrinkToFit="0" vertical="center" wrapText="1"/>
    </xf>
    <xf borderId="2" fillId="4" fontId="31" numFmtId="0" xfId="0" applyAlignment="1" applyBorder="1" applyFont="1">
      <alignment horizontal="center" readingOrder="0" shrinkToFit="0" vertical="center" wrapText="1"/>
    </xf>
    <xf borderId="19" fillId="0" fontId="1" numFmtId="0" xfId="0" applyAlignment="1" applyBorder="1" applyFont="1">
      <alignment horizontal="left" vertical="center"/>
    </xf>
    <xf borderId="0" fillId="0" fontId="1" numFmtId="0" xfId="0" applyAlignment="1" applyFont="1">
      <alignment horizontal="left" vertical="center"/>
    </xf>
    <xf borderId="2" fillId="4" fontId="7" numFmtId="0" xfId="0" applyAlignment="1" applyBorder="1" applyFont="1">
      <alignment horizontal="center" readingOrder="0" vertical="center"/>
    </xf>
    <xf borderId="3" fillId="5" fontId="8" numFmtId="0" xfId="0" applyAlignment="1" applyBorder="1" applyFont="1">
      <alignment horizontal="center" readingOrder="0" vertical="center"/>
    </xf>
    <xf borderId="19" fillId="0" fontId="50" numFmtId="0" xfId="0" applyAlignment="1" applyBorder="1" applyFont="1">
      <alignment horizontal="left" vertical="center"/>
    </xf>
    <xf borderId="0" fillId="0" fontId="50" numFmtId="0" xfId="0" applyAlignment="1" applyFont="1">
      <alignment horizontal="left" vertical="center"/>
    </xf>
    <xf borderId="18" fillId="5" fontId="5" numFmtId="0" xfId="0" applyAlignment="1" applyBorder="1" applyFont="1">
      <alignment horizontal="center" readingOrder="0" vertical="center"/>
    </xf>
    <xf borderId="0" fillId="2" fontId="6" numFmtId="0" xfId="0" applyAlignment="1" applyFont="1">
      <alignment vertical="center"/>
    </xf>
    <xf borderId="19" fillId="0" fontId="51" numFmtId="0" xfId="0" applyAlignment="1" applyBorder="1" applyFont="1">
      <alignment horizontal="left" vertical="center"/>
    </xf>
    <xf borderId="0" fillId="0" fontId="9" numFmtId="0" xfId="0" applyAlignment="1" applyFont="1">
      <alignment horizontal="left" vertical="center"/>
    </xf>
    <xf borderId="2" fillId="2" fontId="52" numFmtId="0" xfId="0" applyAlignment="1" applyBorder="1" applyFont="1">
      <alignment horizontal="center" readingOrder="0" vertical="center"/>
    </xf>
    <xf borderId="19" fillId="2" fontId="1" numFmtId="0" xfId="0" applyAlignment="1" applyBorder="1" applyFont="1">
      <alignment horizontal="left" vertical="center"/>
    </xf>
    <xf borderId="17" fillId="2" fontId="6" numFmtId="0" xfId="0" applyAlignment="1" applyBorder="1" applyFont="1">
      <alignment horizontal="center" readingOrder="0" vertical="center"/>
    </xf>
    <xf borderId="20" fillId="2" fontId="53" numFmtId="0" xfId="0" applyAlignment="1" applyBorder="1" applyFont="1">
      <alignment horizontal="center" readingOrder="0" vertical="center"/>
    </xf>
    <xf borderId="0" fillId="0" fontId="13" numFmtId="0" xfId="0" applyAlignment="1" applyFont="1">
      <alignment horizontal="left" readingOrder="0" vertical="center"/>
    </xf>
    <xf borderId="3" fillId="7" fontId="15" numFmtId="0" xfId="0" applyAlignment="1" applyBorder="1" applyFont="1">
      <alignment horizontal="center" readingOrder="0" vertical="center"/>
    </xf>
    <xf borderId="2" fillId="6" fontId="39" numFmtId="0" xfId="0" applyAlignment="1" applyBorder="1" applyFont="1">
      <alignment horizontal="center" readingOrder="0" vertical="center"/>
    </xf>
    <xf borderId="0" fillId="8" fontId="8" numFmtId="0" xfId="0" applyAlignment="1" applyFont="1">
      <alignment horizontal="left" vertical="center"/>
    </xf>
    <xf borderId="0" fillId="8" fontId="47" numFmtId="0" xfId="0" applyAlignment="1" applyFont="1">
      <alignment horizontal="center" vertical="center"/>
    </xf>
    <xf borderId="0" fillId="8" fontId="6" numFmtId="0" xfId="0" applyAlignment="1" applyFont="1">
      <alignment vertical="center"/>
    </xf>
    <xf borderId="0" fillId="8" fontId="11" numFmtId="0" xfId="0" applyAlignment="1" applyFont="1">
      <alignment vertical="center"/>
    </xf>
    <xf borderId="0" fillId="0" fontId="54" numFmtId="0" xfId="0" applyAlignment="1" applyFont="1">
      <alignment horizontal="center" readingOrder="0" vertical="center"/>
    </xf>
    <xf borderId="11" fillId="7" fontId="16" numFmtId="0" xfId="0" applyAlignment="1" applyBorder="1" applyFont="1">
      <alignment horizontal="center" vertical="center"/>
    </xf>
    <xf borderId="6" fillId="7" fontId="16" numFmtId="0" xfId="0" applyAlignment="1" applyBorder="1" applyFont="1">
      <alignment horizontal="center" vertical="center"/>
    </xf>
    <xf borderId="0" fillId="2" fontId="8" numFmtId="0" xfId="0" applyAlignment="1" applyFont="1">
      <alignment horizontal="left" vertical="center"/>
    </xf>
    <xf borderId="0" fillId="2" fontId="27" numFmtId="0" xfId="0" applyAlignment="1" applyFont="1">
      <alignment horizontal="left" readingOrder="0" vertical="center"/>
    </xf>
    <xf borderId="2" fillId="2" fontId="10" numFmtId="0" xfId="0" applyAlignment="1" applyBorder="1" applyFont="1">
      <alignment horizontal="center" readingOrder="0" vertical="center"/>
    </xf>
    <xf borderId="0" fillId="0" fontId="47" numFmtId="0" xfId="0" applyAlignment="1" applyFont="1">
      <alignment horizontal="center" vertical="center"/>
    </xf>
    <xf borderId="2" fillId="8" fontId="9" numFmtId="0" xfId="0" applyAlignment="1" applyBorder="1" applyFont="1">
      <alignment horizontal="center" readingOrder="0" vertical="center"/>
    </xf>
    <xf borderId="19" fillId="2" fontId="8" numFmtId="0" xfId="0" applyAlignment="1" applyBorder="1" applyFont="1">
      <alignment horizontal="left" vertical="center"/>
    </xf>
    <xf borderId="3" fillId="2" fontId="22" numFmtId="0" xfId="0" applyAlignment="1" applyBorder="1" applyFont="1">
      <alignment horizontal="center" readingOrder="0" vertical="center"/>
    </xf>
    <xf borderId="18" fillId="2" fontId="52" numFmtId="0" xfId="0" applyAlignment="1" applyBorder="1" applyFont="1">
      <alignment vertical="center"/>
    </xf>
    <xf borderId="0" fillId="2" fontId="47" numFmtId="0" xfId="0" applyAlignment="1" applyFont="1">
      <alignment horizontal="center" vertical="center"/>
    </xf>
    <xf borderId="19" fillId="0" fontId="8" numFmtId="0" xfId="0" applyAlignment="1" applyBorder="1" applyFont="1">
      <alignment horizontal="left" vertical="center"/>
    </xf>
    <xf borderId="3" fillId="2" fontId="10" numFmtId="0" xfId="0" applyAlignment="1" applyBorder="1" applyFont="1">
      <alignment horizontal="center" vertical="center"/>
    </xf>
    <xf borderId="2" fillId="2" fontId="10" numFmtId="0" xfId="0" applyAlignment="1" applyBorder="1" applyFont="1">
      <alignment vertical="center"/>
    </xf>
    <xf borderId="0" fillId="8" fontId="17" numFmtId="0" xfId="0" applyAlignment="1" applyFont="1">
      <alignment horizontal="center" vertical="center"/>
    </xf>
    <xf borderId="21" fillId="2" fontId="8" numFmtId="0" xfId="0" applyAlignment="1" applyBorder="1" applyFont="1">
      <alignment horizontal="center" readingOrder="0" vertical="center"/>
    </xf>
    <xf borderId="0" fillId="0" fontId="8" numFmtId="0" xfId="0" applyAlignment="1" applyFont="1">
      <alignment vertical="center"/>
    </xf>
    <xf borderId="5" fillId="2" fontId="8" numFmtId="0" xfId="0" applyAlignment="1" applyBorder="1" applyFont="1">
      <alignment horizontal="center" vertical="center"/>
    </xf>
    <xf borderId="0" fillId="2" fontId="55" numFmtId="0" xfId="0" applyAlignment="1" applyFont="1">
      <alignment horizontal="center" vertical="center"/>
    </xf>
    <xf borderId="0" fillId="0" fontId="10" numFmtId="0" xfId="0" applyAlignment="1" applyFont="1">
      <alignment vertical="center"/>
    </xf>
    <xf borderId="0" fillId="2" fontId="8" numFmtId="0" xfId="0" applyAlignment="1" applyFont="1">
      <alignment horizontal="center" vertical="center"/>
    </xf>
    <xf borderId="5" fillId="0" fontId="56" numFmtId="49" xfId="0" applyAlignment="1" applyBorder="1" applyFont="1" applyNumberFormat="1">
      <alignment horizontal="center" readingOrder="0" vertical="center"/>
    </xf>
    <xf borderId="17" fillId="0" fontId="10" numFmtId="49" xfId="0" applyAlignment="1" applyBorder="1" applyFont="1" applyNumberFormat="1">
      <alignment horizontal="center" vertical="center"/>
    </xf>
    <xf borderId="0" fillId="0" fontId="10" numFmtId="49" xfId="0" applyAlignment="1" applyFont="1" applyNumberFormat="1">
      <alignment horizontal="center" vertical="center"/>
    </xf>
    <xf borderId="0" fillId="0" fontId="8" numFmtId="49" xfId="0" applyAlignment="1" applyFont="1" applyNumberFormat="1">
      <alignment horizontal="center" vertical="center"/>
    </xf>
    <xf borderId="0" fillId="0" fontId="8" numFmtId="0" xfId="0" applyAlignment="1" applyFont="1">
      <alignment horizontal="center" vertical="center"/>
    </xf>
    <xf borderId="3" fillId="0" fontId="10" numFmtId="49" xfId="0" applyAlignment="1" applyBorder="1" applyFont="1" applyNumberFormat="1">
      <alignment horizontal="center" vertical="center"/>
    </xf>
    <xf borderId="18" fillId="16" fontId="31" numFmtId="49" xfId="0" applyAlignment="1" applyBorder="1" applyFill="1" applyFont="1" applyNumberFormat="1">
      <alignment horizontal="center" readingOrder="0" vertical="center"/>
    </xf>
    <xf borderId="18" fillId="4" fontId="31" numFmtId="49" xfId="0" applyAlignment="1" applyBorder="1" applyFont="1" applyNumberFormat="1">
      <alignment horizontal="center" readingOrder="0" vertical="center"/>
    </xf>
    <xf borderId="18" fillId="4" fontId="10" numFmtId="49" xfId="0" applyAlignment="1" applyBorder="1" applyFont="1" applyNumberFormat="1">
      <alignment horizontal="center" readingOrder="0" vertical="center"/>
    </xf>
    <xf borderId="0" fillId="2" fontId="10" numFmtId="49" xfId="0" applyAlignment="1" applyFont="1" applyNumberFormat="1">
      <alignment horizontal="center" vertical="center"/>
    </xf>
    <xf borderId="0" fillId="0" fontId="10" numFmtId="0" xfId="0" applyAlignment="1" applyFont="1">
      <alignment horizontal="center" vertical="center"/>
    </xf>
    <xf borderId="17" fillId="0" fontId="8" numFmtId="0" xfId="0" applyAlignment="1" applyBorder="1" applyFont="1">
      <alignment horizontal="center" vertical="center"/>
    </xf>
    <xf borderId="17" fillId="2" fontId="8" numFmtId="49" xfId="0" applyAlignment="1" applyBorder="1" applyFont="1" applyNumberFormat="1">
      <alignment horizontal="center" vertical="center"/>
    </xf>
    <xf borderId="17" fillId="0" fontId="8" numFmtId="49" xfId="0" applyAlignment="1" applyBorder="1" applyFont="1" applyNumberFormat="1">
      <alignment horizontal="center" vertical="center"/>
    </xf>
    <xf borderId="18" fillId="16" fontId="31" numFmtId="49" xfId="0" applyAlignment="1" applyBorder="1" applyFont="1" applyNumberFormat="1">
      <alignment horizontal="center" vertical="center"/>
    </xf>
    <xf borderId="18" fillId="4" fontId="10" numFmtId="49" xfId="0" applyAlignment="1" applyBorder="1" applyFont="1" applyNumberFormat="1">
      <alignment horizontal="center" vertical="center"/>
    </xf>
    <xf borderId="1" fillId="0" fontId="10" numFmtId="49" xfId="0" applyAlignment="1" applyBorder="1" applyFont="1" applyNumberFormat="1">
      <alignment horizontal="center" vertical="center"/>
    </xf>
    <xf borderId="1" fillId="0" fontId="8" numFmtId="49" xfId="0" applyAlignment="1" applyBorder="1" applyFont="1" applyNumberFormat="1">
      <alignment horizontal="center" readingOrder="0" vertical="center"/>
    </xf>
    <xf borderId="2" fillId="0" fontId="11" numFmtId="0" xfId="0" applyAlignment="1" applyBorder="1" applyFont="1">
      <alignment horizontal="center" readingOrder="0" vertical="center"/>
    </xf>
    <xf borderId="2" fillId="0" fontId="6" numFmtId="49" xfId="0" applyAlignment="1" applyBorder="1" applyFont="1" applyNumberFormat="1">
      <alignment horizontal="center" readingOrder="0" vertical="center"/>
    </xf>
    <xf borderId="2" fillId="0" fontId="6" numFmtId="0" xfId="0" applyAlignment="1" applyBorder="1" applyFont="1">
      <alignment horizontal="center" readingOrder="0" vertical="center"/>
    </xf>
    <xf borderId="1" fillId="0" fontId="8" numFmtId="0" xfId="0" applyAlignment="1" applyBorder="1" applyFont="1">
      <alignment horizontal="center" vertical="center"/>
    </xf>
    <xf borderId="2" fillId="0" fontId="8" numFmtId="49" xfId="0" applyAlignment="1" applyBorder="1" applyFont="1" applyNumberFormat="1">
      <alignment horizontal="center" readingOrder="0" vertical="center"/>
    </xf>
    <xf borderId="2" fillId="0" fontId="10" numFmtId="49" xfId="0" applyAlignment="1" applyBorder="1" applyFont="1" applyNumberFormat="1">
      <alignment horizontal="center" readingOrder="0" vertical="center"/>
    </xf>
    <xf borderId="18" fillId="16" fontId="33" numFmtId="49" xfId="0" applyAlignment="1" applyBorder="1" applyFont="1" applyNumberFormat="1">
      <alignment horizontal="center" shrinkToFit="0" vertical="center" wrapText="1"/>
    </xf>
    <xf borderId="18" fillId="4" fontId="33" numFmtId="49" xfId="0" applyAlignment="1" applyBorder="1" applyFont="1" applyNumberFormat="1">
      <alignment horizontal="center" shrinkToFit="0" vertical="center" wrapText="1"/>
    </xf>
    <xf borderId="18" fillId="4" fontId="57" numFmtId="49" xfId="0" applyAlignment="1" applyBorder="1" applyFont="1" applyNumberFormat="1">
      <alignment horizontal="center" shrinkToFit="0" vertical="center" wrapText="1"/>
    </xf>
    <xf borderId="2" fillId="0" fontId="5" numFmtId="0" xfId="0" applyAlignment="1" applyBorder="1" applyFont="1">
      <alignment horizontal="center" vertical="center"/>
    </xf>
    <xf borderId="2" fillId="0" fontId="10" numFmtId="49" xfId="0" applyAlignment="1" applyBorder="1" applyFont="1" applyNumberFormat="1">
      <alignment horizontal="center" vertical="center"/>
    </xf>
    <xf borderId="2" fillId="0" fontId="10" numFmtId="0" xfId="0" applyAlignment="1" applyBorder="1" applyFont="1">
      <alignment horizontal="center" vertical="center"/>
    </xf>
    <xf borderId="2" fillId="0" fontId="22" numFmtId="0" xfId="0" applyAlignment="1" applyBorder="1" applyFont="1">
      <alignment horizontal="center" readingOrder="0" vertical="center"/>
    </xf>
    <xf borderId="3" fillId="0" fontId="21" numFmtId="49" xfId="0" applyAlignment="1" applyBorder="1" applyFont="1" applyNumberFormat="1">
      <alignment horizontal="center" vertical="center"/>
    </xf>
    <xf borderId="18" fillId="16" fontId="33" numFmtId="49" xfId="0" applyAlignment="1" applyBorder="1" applyFont="1" applyNumberFormat="1">
      <alignment horizontal="center" readingOrder="0" shrinkToFit="0" vertical="center" wrapText="1"/>
    </xf>
    <xf borderId="18" fillId="4" fontId="33" numFmtId="49" xfId="0" applyAlignment="1" applyBorder="1" applyFont="1" applyNumberFormat="1">
      <alignment horizontal="center" readingOrder="0" shrinkToFit="0" vertical="center" wrapText="1"/>
    </xf>
    <xf borderId="1" fillId="0" fontId="8" numFmtId="49" xfId="0" applyAlignment="1" applyBorder="1" applyFont="1" applyNumberFormat="1">
      <alignment horizontal="center" vertical="center"/>
    </xf>
    <xf borderId="0" fillId="0" fontId="52" numFmtId="0" xfId="0" applyAlignment="1" applyFont="1">
      <alignment horizontal="center" vertical="center"/>
    </xf>
    <xf borderId="2" fillId="0" fontId="9" numFmtId="0" xfId="0" applyAlignment="1" applyBorder="1" applyFont="1">
      <alignment horizontal="center" readingOrder="0" vertical="center"/>
    </xf>
    <xf borderId="2" fillId="0" fontId="9" numFmtId="49" xfId="0" applyAlignment="1" applyBorder="1" applyFont="1" applyNumberFormat="1">
      <alignment horizontal="center" readingOrder="0" vertical="center"/>
    </xf>
    <xf borderId="2" fillId="0" fontId="9" numFmtId="0" xfId="0" applyAlignment="1" applyBorder="1" applyFont="1">
      <alignment horizontal="center" vertical="center"/>
    </xf>
    <xf borderId="6" fillId="0" fontId="10" numFmtId="49" xfId="0" applyAlignment="1" applyBorder="1" applyFont="1" applyNumberFormat="1">
      <alignment horizontal="center" vertical="center"/>
    </xf>
    <xf borderId="7" fillId="0" fontId="10" numFmtId="49" xfId="0" applyAlignment="1" applyBorder="1" applyFont="1" applyNumberFormat="1">
      <alignment horizontal="center" vertical="center"/>
    </xf>
    <xf borderId="11" fillId="0" fontId="18" numFmtId="0" xfId="0" applyBorder="1" applyFont="1"/>
    <xf borderId="2" fillId="0" fontId="5" numFmtId="0" xfId="0" applyAlignment="1" applyBorder="1" applyFont="1">
      <alignment horizontal="center" shrinkToFit="0" vertical="center" wrapText="1"/>
    </xf>
    <xf borderId="8" fillId="2" fontId="52" numFmtId="0" xfId="0" applyAlignment="1" applyBorder="1" applyFont="1">
      <alignment horizontal="center" vertical="center"/>
    </xf>
    <xf borderId="3" fillId="0" fontId="18" numFmtId="0" xfId="0" applyBorder="1" applyFont="1"/>
    <xf borderId="16" fillId="0" fontId="18" numFmtId="0" xfId="0" applyBorder="1" applyFont="1"/>
    <xf borderId="2" fillId="0" fontId="52" numFmtId="0" xfId="0" applyAlignment="1" applyBorder="1" applyFont="1">
      <alignment horizontal="center" vertical="center"/>
    </xf>
    <xf borderId="2" fillId="2" fontId="58" numFmtId="0" xfId="0" applyAlignment="1" applyBorder="1" applyFont="1">
      <alignment horizontal="center" readingOrder="0" vertical="center"/>
    </xf>
    <xf borderId="0" fillId="0" fontId="59" numFmtId="0" xfId="0" applyAlignment="1" applyFont="1">
      <alignment horizontal="center" readingOrder="0" vertical="center"/>
    </xf>
    <xf borderId="2" fillId="0" fontId="8" numFmtId="49" xfId="0" applyAlignment="1" applyBorder="1" applyFont="1" applyNumberFormat="1">
      <alignment horizontal="center" vertical="center"/>
    </xf>
    <xf borderId="2" fillId="0" fontId="8" numFmtId="0" xfId="0" applyAlignment="1" applyBorder="1" applyFont="1">
      <alignment horizontal="center" vertical="center"/>
    </xf>
    <xf borderId="2" fillId="0" fontId="52" numFmtId="0" xfId="0" applyAlignment="1" applyBorder="1" applyFont="1">
      <alignment horizontal="center" shrinkToFit="0" vertical="center" wrapText="1"/>
    </xf>
    <xf borderId="2" fillId="0" fontId="9" numFmtId="0" xfId="0" applyAlignment="1" applyBorder="1" applyFont="1">
      <alignment horizontal="center" vertical="center"/>
    </xf>
    <xf borderId="2" fillId="2" fontId="10" numFmtId="49" xfId="0" applyAlignment="1" applyBorder="1" applyFont="1" applyNumberFormat="1">
      <alignment horizontal="center" vertical="center"/>
    </xf>
    <xf borderId="2" fillId="2" fontId="10" numFmtId="0" xfId="0" applyAlignment="1" applyBorder="1" applyFont="1">
      <alignment horizontal="center" vertical="center"/>
    </xf>
    <xf borderId="0" fillId="0" fontId="59" numFmtId="0" xfId="0" applyAlignment="1" applyFont="1">
      <alignment horizontal="center" vertical="center"/>
    </xf>
    <xf borderId="2" fillId="2" fontId="10" numFmtId="49" xfId="0" applyAlignment="1" applyBorder="1" applyFont="1" applyNumberFormat="1">
      <alignment horizontal="center" shrinkToFit="0" vertical="center" wrapText="1"/>
    </xf>
    <xf borderId="18" fillId="0" fontId="8" numFmtId="0" xfId="0" applyAlignment="1" applyBorder="1" applyFont="1">
      <alignment horizontal="center" vertical="center"/>
    </xf>
    <xf borderId="18" fillId="0" fontId="8" numFmtId="49" xfId="0" applyAlignment="1" applyBorder="1" applyFont="1" applyNumberFormat="1">
      <alignment horizontal="center" vertical="center"/>
    </xf>
    <xf borderId="2" fillId="0" fontId="6" numFmtId="0" xfId="0" applyAlignment="1" applyBorder="1" applyFont="1">
      <alignment horizontal="center" vertical="center"/>
    </xf>
    <xf borderId="2" fillId="0" fontId="22" numFmtId="49" xfId="0" applyAlignment="1" applyBorder="1" applyFont="1" applyNumberFormat="1">
      <alignment horizontal="center" readingOrder="0" vertical="center"/>
    </xf>
    <xf borderId="17" fillId="0" fontId="9" numFmtId="0" xfId="0" applyAlignment="1" applyBorder="1" applyFont="1">
      <alignment horizontal="center" vertical="center"/>
    </xf>
    <xf borderId="2" fillId="0" fontId="52" numFmtId="0" xfId="0" applyAlignment="1" applyBorder="1" applyFont="1">
      <alignment horizontal="center" readingOrder="0" shrinkToFit="0" vertical="center" wrapText="1"/>
    </xf>
    <xf borderId="2" fillId="0" fontId="59" numFmtId="0" xfId="0" applyAlignment="1" applyBorder="1" applyFont="1">
      <alignment horizontal="center" readingOrder="0" vertical="center"/>
    </xf>
    <xf borderId="18" fillId="17" fontId="10" numFmtId="49" xfId="0" applyAlignment="1" applyBorder="1" applyFill="1" applyFont="1" applyNumberFormat="1">
      <alignment horizontal="center" vertical="center"/>
    </xf>
    <xf borderId="2" fillId="0" fontId="9" numFmtId="49" xfId="0" applyAlignment="1" applyBorder="1" applyFont="1" applyNumberFormat="1">
      <alignment horizontal="center" vertical="center"/>
    </xf>
    <xf borderId="3" fillId="9" fontId="40" numFmtId="49" xfId="0" applyAlignment="1" applyBorder="1" applyFont="1" applyNumberFormat="1">
      <alignment horizontal="center" vertical="center"/>
    </xf>
    <xf borderId="18" fillId="9" fontId="60" numFmtId="49" xfId="0" applyAlignment="1" applyBorder="1" applyFont="1" applyNumberFormat="1">
      <alignment horizontal="center" vertical="center"/>
    </xf>
    <xf borderId="0" fillId="13" fontId="27" numFmtId="49" xfId="0" applyAlignment="1" applyFont="1" applyNumberFormat="1">
      <alignment horizontal="center" shrinkToFit="0" vertical="center" wrapText="1"/>
    </xf>
    <xf borderId="18" fillId="2" fontId="10" numFmtId="49" xfId="0" applyAlignment="1" applyBorder="1" applyFont="1" applyNumberFormat="1">
      <alignment horizontal="center" vertical="center"/>
    </xf>
    <xf borderId="6" fillId="0" fontId="8" numFmtId="49" xfId="0" applyAlignment="1" applyBorder="1" applyFont="1" applyNumberFormat="1">
      <alignment horizontal="center" readingOrder="0" vertical="center"/>
    </xf>
    <xf borderId="14" fillId="0" fontId="18" numFmtId="0" xfId="0" applyBorder="1" applyFont="1"/>
    <xf borderId="0" fillId="0" fontId="8" numFmtId="0" xfId="0" applyAlignment="1" applyFont="1">
      <alignment horizontal="center" readingOrder="0" vertical="center"/>
    </xf>
    <xf borderId="0" fillId="18" fontId="61" numFmtId="49" xfId="0" applyAlignment="1" applyFill="1" applyFont="1" applyNumberFormat="1">
      <alignment horizontal="center" vertical="center"/>
    </xf>
    <xf borderId="0" fillId="2" fontId="8" numFmtId="49" xfId="0" applyAlignment="1" applyFont="1" applyNumberFormat="1">
      <alignment horizontal="center" vertical="center"/>
    </xf>
    <xf borderId="17" fillId="19" fontId="31" numFmtId="49" xfId="0" applyAlignment="1" applyBorder="1" applyFill="1" applyFont="1" applyNumberFormat="1">
      <alignment horizontal="center" vertical="center"/>
    </xf>
    <xf borderId="0" fillId="2" fontId="31" numFmtId="49" xfId="0" applyAlignment="1" applyFont="1" applyNumberFormat="1">
      <alignment horizontal="center" vertical="center"/>
    </xf>
    <xf borderId="0" fillId="0" fontId="31" numFmtId="49" xfId="0" applyAlignment="1" applyFont="1" applyNumberFormat="1">
      <alignment horizontal="center" vertical="center"/>
    </xf>
    <xf borderId="0" fillId="0" fontId="4" numFmtId="0" xfId="0" applyAlignment="1" applyFont="1">
      <alignment horizontal="center" vertical="center"/>
    </xf>
    <xf borderId="0" fillId="0" fontId="4" numFmtId="49" xfId="0" applyAlignment="1" applyFont="1" applyNumberFormat="1">
      <alignment horizontal="center" vertical="center"/>
    </xf>
    <xf borderId="0" fillId="0" fontId="30" numFmtId="0" xfId="0" applyAlignment="1" applyFont="1">
      <alignment horizontal="center" vertical="center"/>
    </xf>
    <xf borderId="2" fillId="0" fontId="10" numFmtId="49" xfId="0" applyAlignment="1" applyBorder="1" applyFont="1" applyNumberFormat="1">
      <alignment horizontal="center" shrinkToFit="0" vertical="center" wrapText="1"/>
    </xf>
    <xf borderId="2" fillId="0" fontId="5" numFmtId="0" xfId="0" applyAlignment="1" applyBorder="1" applyFont="1">
      <alignment horizontal="center" readingOrder="0" shrinkToFit="0" vertical="center" wrapText="1"/>
    </xf>
    <xf borderId="0" fillId="0" fontId="10" numFmtId="49" xfId="0" applyAlignment="1" applyFont="1" applyNumberFormat="1">
      <alignment horizontal="center" readingOrder="0" vertical="center"/>
    </xf>
    <xf borderId="5" fillId="0" fontId="10" numFmtId="0" xfId="0" applyAlignment="1" applyBorder="1" applyFont="1">
      <alignment horizontal="center" vertical="center"/>
    </xf>
    <xf borderId="2" fillId="2" fontId="5" numFmtId="49" xfId="0" applyAlignment="1" applyBorder="1" applyFont="1" applyNumberFormat="1">
      <alignment horizontal="center" readingOrder="0" vertical="center"/>
    </xf>
    <xf borderId="2" fillId="2" fontId="5" numFmtId="0" xfId="0" applyAlignment="1" applyBorder="1" applyFont="1">
      <alignment horizontal="center"/>
    </xf>
    <xf borderId="2" fillId="2" fontId="5" numFmtId="49" xfId="0" applyAlignment="1" applyBorder="1" applyFont="1" applyNumberFormat="1">
      <alignment horizontal="center"/>
    </xf>
    <xf borderId="2" fillId="2" fontId="10" numFmtId="49" xfId="0" applyAlignment="1" applyBorder="1" applyFont="1" applyNumberFormat="1">
      <alignment horizontal="center" readingOrder="0" vertical="center"/>
    </xf>
    <xf borderId="2" fillId="0" fontId="31" numFmtId="0" xfId="0" applyAlignment="1" applyBorder="1" applyFont="1">
      <alignment horizontal="center" vertical="center"/>
    </xf>
    <xf borderId="8" fillId="0" fontId="31" numFmtId="0" xfId="0" applyAlignment="1" applyBorder="1" applyFont="1">
      <alignment horizontal="center" vertical="center"/>
    </xf>
    <xf borderId="8" fillId="2" fontId="31" numFmtId="0" xfId="0" applyAlignment="1" applyBorder="1" applyFont="1">
      <alignment horizontal="center" vertical="center"/>
    </xf>
    <xf borderId="8" fillId="2" fontId="31" numFmtId="0" xfId="0" applyAlignment="1" applyBorder="1" applyFont="1">
      <alignment horizontal="center" readingOrder="0" vertical="center"/>
    </xf>
    <xf borderId="8" fillId="0" fontId="31" numFmtId="0" xfId="0" applyAlignment="1" applyBorder="1" applyFont="1">
      <alignment horizontal="center" shrinkToFit="0" vertical="center" wrapText="1"/>
    </xf>
    <xf borderId="8" fillId="0" fontId="10" numFmtId="0" xfId="0" applyAlignment="1" applyBorder="1" applyFont="1">
      <alignment vertical="center"/>
    </xf>
    <xf borderId="2" fillId="18" fontId="62" numFmtId="166" xfId="0" applyAlignment="1" applyBorder="1" applyFont="1" applyNumberFormat="1">
      <alignment horizontal="center" readingOrder="0" vertical="center"/>
    </xf>
    <xf borderId="14" fillId="0" fontId="10" numFmtId="0" xfId="0" applyAlignment="1" applyBorder="1" applyFont="1">
      <alignment horizontal="center" vertical="center"/>
    </xf>
    <xf borderId="18" fillId="2" fontId="10" numFmtId="0" xfId="0" applyBorder="1" applyFont="1"/>
    <xf borderId="18" fillId="2" fontId="10" numFmtId="166" xfId="0" applyAlignment="1" applyBorder="1" applyFont="1" applyNumberFormat="1">
      <alignment horizontal="center"/>
    </xf>
    <xf borderId="18" fillId="2" fontId="10" numFmtId="166" xfId="0" applyBorder="1" applyFont="1" applyNumberFormat="1"/>
    <xf borderId="18" fillId="2" fontId="10" numFmtId="166" xfId="0" applyAlignment="1" applyBorder="1" applyFont="1" applyNumberFormat="1">
      <alignment horizontal="center" vertical="center"/>
    </xf>
    <xf borderId="18" fillId="0" fontId="10" numFmtId="0" xfId="0" applyBorder="1" applyFont="1"/>
    <xf borderId="2" fillId="20" fontId="8" numFmtId="0" xfId="0" applyAlignment="1" applyBorder="1" applyFill="1" applyFont="1">
      <alignment readingOrder="0" shrinkToFit="0" vertical="center" wrapText="1"/>
    </xf>
    <xf borderId="8" fillId="21" fontId="8" numFmtId="0" xfId="0" applyAlignment="1" applyBorder="1" applyFill="1" applyFont="1">
      <alignment readingOrder="0" shrinkToFit="0" vertical="center" wrapText="1"/>
    </xf>
    <xf borderId="8" fillId="22" fontId="8" numFmtId="0" xfId="0" applyAlignment="1" applyBorder="1" applyFill="1" applyFont="1">
      <alignment readingOrder="0" shrinkToFit="0" vertical="center" wrapText="1"/>
    </xf>
    <xf borderId="8" fillId="2" fontId="8" numFmtId="0" xfId="0" applyAlignment="1" applyBorder="1" applyFont="1">
      <alignment readingOrder="0" shrinkToFit="0" vertical="center" wrapText="1"/>
    </xf>
    <xf borderId="18" fillId="2" fontId="10" numFmtId="166" xfId="0" applyAlignment="1" applyBorder="1" applyFont="1" applyNumberFormat="1">
      <alignment horizontal="center" readingOrder="0" vertical="center"/>
    </xf>
    <xf borderId="8" fillId="23" fontId="8" numFmtId="0" xfId="0" applyAlignment="1" applyBorder="1" applyFill="1" applyFont="1">
      <alignment readingOrder="0" shrinkToFit="0" vertical="center" wrapText="1"/>
    </xf>
    <xf borderId="2" fillId="2" fontId="10" numFmtId="0" xfId="0" applyAlignment="1" applyBorder="1" applyFont="1">
      <alignment readingOrder="0"/>
    </xf>
    <xf borderId="18" fillId="2" fontId="10" numFmtId="0" xfId="0" applyAlignment="1" applyBorder="1" applyFont="1">
      <alignment horizontal="center" readingOrder="0"/>
    </xf>
    <xf borderId="2" fillId="5" fontId="8" numFmtId="0" xfId="0" applyAlignment="1" applyBorder="1" applyFont="1">
      <alignment readingOrder="0" shrinkToFit="0" vertical="center" wrapText="1"/>
    </xf>
    <xf borderId="18" fillId="2" fontId="10" numFmtId="166" xfId="0" applyAlignment="1" applyBorder="1" applyFont="1" applyNumberFormat="1">
      <alignment vertical="center"/>
    </xf>
    <xf borderId="8" fillId="2" fontId="10" numFmtId="0" xfId="0" applyAlignment="1" applyBorder="1" applyFont="1">
      <alignment horizontal="center" vertical="center"/>
    </xf>
    <xf borderId="18" fillId="2" fontId="10" numFmtId="0" xfId="0" applyAlignment="1" applyBorder="1" applyFont="1">
      <alignment vertical="center"/>
    </xf>
    <xf borderId="18" fillId="18" fontId="10" numFmtId="0" xfId="0" applyAlignment="1" applyBorder="1" applyFont="1">
      <alignment horizontal="center" readingOrder="0" vertical="center"/>
    </xf>
    <xf borderId="18" fillId="2" fontId="10" numFmtId="166" xfId="0" applyAlignment="1" applyBorder="1" applyFont="1" applyNumberFormat="1">
      <alignment vertical="center"/>
    </xf>
    <xf borderId="18" fillId="2" fontId="10" numFmtId="166" xfId="0" applyAlignment="1" applyBorder="1" applyFont="1" applyNumberFormat="1">
      <alignment horizontal="center" vertical="center"/>
    </xf>
    <xf borderId="2" fillId="2" fontId="10" numFmtId="49" xfId="0" applyAlignment="1" applyBorder="1" applyFont="1" applyNumberFormat="1">
      <alignment horizontal="center" readingOrder="0" shrinkToFit="0" vertical="center" wrapText="1"/>
    </xf>
    <xf borderId="8" fillId="2" fontId="10" numFmtId="0" xfId="0" applyAlignment="1" applyBorder="1" applyFont="1">
      <alignment horizontal="center" shrinkToFit="0" vertical="center" wrapText="1"/>
    </xf>
    <xf borderId="18" fillId="2" fontId="10" numFmtId="49" xfId="0" applyAlignment="1" applyBorder="1" applyFont="1" applyNumberFormat="1">
      <alignment horizontal="center" shrinkToFit="0" vertical="center" wrapText="1"/>
    </xf>
    <xf borderId="2" fillId="2" fontId="10" numFmtId="49" xfId="0" applyAlignment="1" applyBorder="1" applyFont="1" applyNumberFormat="1">
      <alignment horizontal="center" readingOrder="0" shrinkToFit="0" vertical="center" wrapText="1"/>
    </xf>
    <xf borderId="8" fillId="2" fontId="10" numFmtId="0" xfId="0" applyAlignment="1" applyBorder="1" applyFont="1">
      <alignment horizontal="center" readingOrder="0" shrinkToFit="0" vertical="center" wrapText="1"/>
    </xf>
    <xf borderId="18" fillId="2" fontId="10" numFmtId="0" xfId="0" applyAlignment="1" applyBorder="1" applyFont="1">
      <alignment readingOrder="0" vertical="center"/>
    </xf>
    <xf borderId="18" fillId="2" fontId="10" numFmtId="0" xfId="0" applyAlignment="1" applyBorder="1" applyFont="1">
      <alignment horizontal="center"/>
    </xf>
    <xf borderId="2" fillId="2" fontId="10" numFmtId="49" xfId="0" applyAlignment="1" applyBorder="1" applyFont="1" applyNumberFormat="1">
      <alignment horizontal="center"/>
    </xf>
    <xf borderId="8" fillId="20" fontId="8" numFmtId="0" xfId="0" applyAlignment="1" applyBorder="1" applyFont="1">
      <alignment readingOrder="0" shrinkToFit="0" vertical="center" wrapText="1"/>
    </xf>
    <xf borderId="2" fillId="0" fontId="6" numFmtId="0" xfId="0" applyAlignment="1" applyBorder="1" applyFont="1">
      <alignment horizontal="center" vertical="center"/>
    </xf>
    <xf borderId="2" fillId="2" fontId="10" numFmtId="49" xfId="0" applyAlignment="1" applyBorder="1" applyFont="1" applyNumberFormat="1">
      <alignment horizontal="center" shrinkToFit="0" vertical="center" wrapText="1"/>
    </xf>
    <xf borderId="8" fillId="2" fontId="10" numFmtId="0" xfId="0" applyAlignment="1" applyBorder="1" applyFont="1">
      <alignment horizontal="center" shrinkToFit="0" vertical="center" wrapText="1"/>
    </xf>
    <xf borderId="18" fillId="2" fontId="10" numFmtId="0" xfId="0" applyAlignment="1" applyBorder="1" applyFont="1">
      <alignment readingOrder="0"/>
    </xf>
    <xf borderId="0" fillId="2" fontId="10" numFmtId="0" xfId="0" applyFont="1"/>
    <xf borderId="0" fillId="2" fontId="8" numFmtId="0" xfId="0" applyAlignment="1" applyFont="1">
      <alignment horizontal="center" readingOrder="0" vertical="center"/>
    </xf>
    <xf borderId="0" fillId="2" fontId="10" numFmtId="0" xfId="0" applyAlignment="1" applyFont="1">
      <alignment horizontal="center" readingOrder="0" vertical="center"/>
    </xf>
    <xf borderId="0" fillId="2" fontId="10" numFmtId="166" xfId="0" applyFont="1" applyNumberFormat="1"/>
    <xf borderId="0" fillId="2" fontId="10" numFmtId="0" xfId="0" applyAlignment="1" applyFont="1">
      <alignment horizontal="center" readingOrder="0"/>
    </xf>
    <xf borderId="0" fillId="2" fontId="10" numFmtId="49" xfId="0" applyAlignment="1" applyFont="1" applyNumberFormat="1">
      <alignment horizontal="center" readingOrder="0"/>
    </xf>
    <xf borderId="0" fillId="2" fontId="10" numFmtId="0" xfId="0" applyAlignment="1" applyFont="1">
      <alignment horizontal="center"/>
    </xf>
    <xf borderId="0" fillId="2" fontId="10" numFmtId="166" xfId="0" applyAlignment="1" applyFont="1" applyNumberFormat="1">
      <alignment horizontal="center" readingOrder="0" vertical="center"/>
    </xf>
    <xf borderId="17" fillId="2" fontId="10" numFmtId="0" xfId="0" applyBorder="1" applyFont="1"/>
    <xf borderId="17" fillId="2" fontId="10" numFmtId="166" xfId="0" applyAlignment="1" applyBorder="1" applyFont="1" applyNumberFormat="1">
      <alignment horizontal="center"/>
    </xf>
    <xf borderId="17" fillId="2" fontId="10" numFmtId="166" xfId="0" applyBorder="1" applyFont="1" applyNumberFormat="1"/>
    <xf borderId="17" fillId="2" fontId="10" numFmtId="166" xfId="0" applyAlignment="1" applyBorder="1" applyFont="1" applyNumberFormat="1">
      <alignment horizontal="center" vertical="center"/>
    </xf>
    <xf borderId="18" fillId="2" fontId="10" numFmtId="167" xfId="0" applyAlignment="1" applyBorder="1" applyFont="1" applyNumberFormat="1">
      <alignment horizontal="center" vertical="center"/>
    </xf>
    <xf borderId="8" fillId="2" fontId="10" numFmtId="49" xfId="0" applyAlignment="1" applyBorder="1" applyFont="1" applyNumberFormat="1">
      <alignment horizontal="center" readingOrder="0" vertical="center"/>
    </xf>
    <xf borderId="2" fillId="2" fontId="10" numFmtId="49" xfId="0" applyAlignment="1" applyBorder="1" applyFont="1" applyNumberFormat="1">
      <alignment horizontal="center" readingOrder="0"/>
    </xf>
    <xf borderId="8" fillId="2" fontId="10" numFmtId="0" xfId="0" applyAlignment="1" applyBorder="1" applyFont="1">
      <alignment horizontal="center" readingOrder="0" shrinkToFit="0" wrapText="1"/>
    </xf>
    <xf borderId="18" fillId="2" fontId="63" numFmtId="0" xfId="0" applyAlignment="1" applyBorder="1" applyFont="1">
      <alignment horizontal="center" shrinkToFit="0" wrapText="1"/>
    </xf>
    <xf borderId="18" fillId="2" fontId="5" numFmtId="0" xfId="0" applyAlignment="1" applyBorder="1" applyFont="1">
      <alignment horizontal="left" readingOrder="0" shrinkToFit="0" vertical="center" wrapText="1"/>
    </xf>
    <xf borderId="2" fillId="2" fontId="10" numFmtId="49" xfId="0" applyAlignment="1" applyBorder="1" applyFont="1" applyNumberFormat="1">
      <alignment horizontal="center"/>
    </xf>
    <xf borderId="8" fillId="2" fontId="10" numFmtId="49" xfId="0" applyAlignment="1" applyBorder="1" applyFont="1" applyNumberFormat="1">
      <alignment horizontal="center" shrinkToFit="0" wrapText="1"/>
    </xf>
    <xf borderId="8" fillId="2" fontId="10" numFmtId="49" xfId="0" applyAlignment="1" applyBorder="1" applyFont="1" applyNumberFormat="1">
      <alignment horizontal="center" shrinkToFit="0" wrapText="1"/>
    </xf>
    <xf borderId="0" fillId="2" fontId="10" numFmtId="166" xfId="0" applyAlignment="1" applyFont="1" applyNumberFormat="1">
      <alignment horizontal="center"/>
    </xf>
    <xf borderId="0" fillId="2" fontId="10" numFmtId="166" xfId="0" applyAlignment="1" applyFont="1" applyNumberFormat="1">
      <alignment horizontal="center" vertical="center"/>
    </xf>
    <xf borderId="17" fillId="2" fontId="10" numFmtId="0" xfId="0" applyAlignment="1" applyBorder="1" applyFont="1">
      <alignment readingOrder="0"/>
    </xf>
    <xf borderId="18" fillId="2" fontId="10" numFmtId="0" xfId="0" applyAlignment="1" applyBorder="1" applyFont="1">
      <alignment horizontal="center" vertical="center"/>
    </xf>
    <xf borderId="18" fillId="2" fontId="10" numFmtId="49" xfId="0" applyAlignment="1" applyBorder="1" applyFont="1" applyNumberFormat="1">
      <alignment horizontal="center" readingOrder="0" vertical="center"/>
    </xf>
    <xf borderId="18" fillId="0" fontId="10" numFmtId="0" xfId="0" applyAlignment="1" applyBorder="1" applyFont="1">
      <alignment horizontal="center" vertical="center"/>
    </xf>
    <xf borderId="18" fillId="0" fontId="10" numFmtId="49" xfId="0" applyAlignment="1" applyBorder="1" applyFont="1" applyNumberFormat="1">
      <alignment horizontal="center" vertical="center"/>
    </xf>
    <xf borderId="8" fillId="0" fontId="10" numFmtId="49" xfId="0" applyAlignment="1" applyBorder="1" applyFont="1" applyNumberFormat="1">
      <alignment horizontal="center" readingOrder="0" vertical="center"/>
    </xf>
    <xf borderId="2" fillId="0" fontId="10" numFmtId="0" xfId="0" applyAlignment="1" applyBorder="1" applyFont="1">
      <alignment horizontal="center" vertical="center"/>
    </xf>
    <xf quotePrefix="1" borderId="18" fillId="0" fontId="10" numFmtId="49" xfId="0" applyAlignment="1" applyBorder="1" applyFont="1" applyNumberFormat="1">
      <alignment horizontal="center" readingOrder="0" vertical="center"/>
    </xf>
    <xf borderId="18" fillId="0" fontId="10" numFmtId="0" xfId="0" applyAlignment="1" applyBorder="1" applyFont="1">
      <alignment horizontal="center" vertical="center"/>
    </xf>
    <xf borderId="2" fillId="2" fontId="10" numFmtId="166" xfId="0" applyBorder="1" applyFont="1" applyNumberFormat="1"/>
    <xf borderId="2" fillId="2" fontId="10" numFmtId="166" xfId="0" applyAlignment="1" applyBorder="1" applyFont="1" applyNumberFormat="1">
      <alignment horizontal="center"/>
    </xf>
    <xf borderId="2" fillId="3" fontId="10" numFmtId="49" xfId="0" applyAlignment="1" applyBorder="1" applyFont="1" applyNumberFormat="1">
      <alignment horizontal="center" readingOrder="0" vertical="center"/>
    </xf>
    <xf borderId="2" fillId="3" fontId="10" numFmtId="0" xfId="0" applyAlignment="1" applyBorder="1" applyFont="1">
      <alignment horizontal="center" readingOrder="0" shrinkToFit="0" vertical="center" wrapText="1"/>
    </xf>
    <xf borderId="2" fillId="2" fontId="10" numFmtId="49" xfId="0" applyAlignment="1" applyBorder="1" applyFont="1" applyNumberFormat="1">
      <alignment horizontal="center" readingOrder="0" shrinkToFit="0" wrapText="1"/>
    </xf>
    <xf borderId="0" fillId="2" fontId="64" numFmtId="0" xfId="0" applyAlignment="1" applyFont="1">
      <alignment horizontal="center" readingOrder="0" vertical="center"/>
    </xf>
    <xf borderId="3" fillId="2" fontId="10" numFmtId="0" xfId="0" applyAlignment="1" applyBorder="1" applyFont="1">
      <alignment vertical="center"/>
    </xf>
    <xf borderId="3" fillId="3" fontId="10" numFmtId="49" xfId="0" applyAlignment="1" applyBorder="1" applyFont="1" applyNumberFormat="1">
      <alignment horizontal="center" readingOrder="0"/>
    </xf>
    <xf borderId="3" fillId="3" fontId="10" numFmtId="49" xfId="0" applyAlignment="1" applyBorder="1" applyFont="1" applyNumberFormat="1">
      <alignment horizontal="center" shrinkToFit="0" vertical="center" wrapText="1"/>
    </xf>
    <xf borderId="2" fillId="2" fontId="10" numFmtId="49" xfId="0" applyAlignment="1" applyBorder="1" applyFont="1" applyNumberFormat="1">
      <alignment horizontal="center" readingOrder="0" vertical="center"/>
    </xf>
    <xf borderId="0" fillId="0" fontId="10" numFmtId="0" xfId="0" applyAlignment="1" applyFont="1">
      <alignment readingOrder="0" vertical="bottom"/>
    </xf>
    <xf borderId="0" fillId="0" fontId="10" numFmtId="0" xfId="0" applyAlignment="1" applyFont="1">
      <alignment vertical="bottom"/>
    </xf>
    <xf borderId="0" fillId="0" fontId="10" numFmtId="166" xfId="0" applyAlignment="1" applyFont="1" applyNumberFormat="1">
      <alignment vertical="bottom"/>
    </xf>
    <xf borderId="0" fillId="0" fontId="10" numFmtId="0" xfId="0" applyAlignment="1" applyFont="1">
      <alignment vertical="bottom"/>
    </xf>
    <xf borderId="2" fillId="2" fontId="8" numFmtId="167" xfId="0" applyAlignment="1" applyBorder="1" applyFont="1" applyNumberFormat="1">
      <alignment horizontal="center" readingOrder="0" shrinkToFit="0" vertical="center" wrapText="1"/>
    </xf>
    <xf borderId="18" fillId="2" fontId="8" numFmtId="167" xfId="0" applyAlignment="1" applyBorder="1" applyFont="1" applyNumberFormat="1">
      <alignment horizontal="center" readingOrder="0" shrinkToFit="0" vertical="center" wrapText="1"/>
    </xf>
    <xf borderId="2" fillId="2" fontId="8" numFmtId="49" xfId="0" applyAlignment="1" applyBorder="1" applyFont="1" applyNumberFormat="1">
      <alignment horizontal="center" readingOrder="0" vertical="center"/>
    </xf>
    <xf borderId="8" fillId="2" fontId="8" numFmtId="49" xfId="0" applyAlignment="1" applyBorder="1" applyFont="1" applyNumberFormat="1">
      <alignment horizontal="center" readingOrder="0" vertical="center"/>
    </xf>
    <xf borderId="18" fillId="2" fontId="10" numFmtId="167" xfId="0" applyAlignment="1" applyBorder="1" applyFont="1" applyNumberFormat="1">
      <alignment horizontal="center" shrinkToFit="0" vertical="center" wrapText="1"/>
    </xf>
    <xf borderId="2" fillId="24" fontId="45" numFmtId="0" xfId="0" applyAlignment="1" applyBorder="1" applyFill="1" applyFont="1">
      <alignment horizontal="left" readingOrder="0"/>
    </xf>
    <xf borderId="2" fillId="3" fontId="10" numFmtId="49" xfId="0" applyAlignment="1" applyBorder="1" applyFont="1" applyNumberFormat="1">
      <alignment horizontal="center"/>
    </xf>
    <xf borderId="2" fillId="3" fontId="10" numFmtId="0" xfId="0" applyAlignment="1" applyBorder="1" applyFont="1">
      <alignment horizontal="center" shrinkToFit="0" wrapText="1"/>
    </xf>
    <xf borderId="2" fillId="3" fontId="10" numFmtId="49" xfId="0" applyAlignment="1" applyBorder="1" applyFont="1" applyNumberFormat="1">
      <alignment horizontal="center" readingOrder="0"/>
    </xf>
    <xf borderId="2" fillId="3" fontId="10" numFmtId="0" xfId="0" applyAlignment="1" applyBorder="1" applyFont="1">
      <alignment horizontal="center" readingOrder="0" shrinkToFit="0" wrapText="1"/>
    </xf>
    <xf borderId="2" fillId="3" fontId="10" numFmtId="49" xfId="0" applyAlignment="1" applyBorder="1" applyFont="1" applyNumberFormat="1">
      <alignment horizontal="center" vertical="center"/>
    </xf>
    <xf borderId="2" fillId="3" fontId="10" numFmtId="0" xfId="0" applyAlignment="1" applyBorder="1" applyFont="1">
      <alignment horizontal="center" shrinkToFit="0" vertical="center" wrapText="1"/>
    </xf>
    <xf borderId="2" fillId="25" fontId="10" numFmtId="49" xfId="0" applyAlignment="1" applyBorder="1" applyFill="1" applyFont="1" applyNumberFormat="1">
      <alignment horizontal="center" vertical="center"/>
    </xf>
    <xf borderId="2" fillId="25" fontId="10" numFmtId="49" xfId="0" applyAlignment="1" applyBorder="1" applyFont="1" applyNumberFormat="1">
      <alignment horizontal="center" shrinkToFit="0" vertical="center" wrapText="1"/>
    </xf>
    <xf borderId="18" fillId="2" fontId="8" numFmtId="0" xfId="0" applyAlignment="1" applyBorder="1" applyFont="1">
      <alignment readingOrder="0" shrinkToFit="0" vertical="center" wrapText="1"/>
    </xf>
    <xf borderId="2" fillId="25" fontId="10" numFmtId="0" xfId="0" applyAlignment="1" applyBorder="1" applyFont="1">
      <alignment horizontal="center" vertical="center"/>
    </xf>
    <xf borderId="2" fillId="2" fontId="10" numFmtId="0" xfId="0" applyBorder="1" applyFont="1"/>
    <xf borderId="2" fillId="25" fontId="64" numFmtId="49" xfId="0" applyAlignment="1" applyBorder="1" applyFont="1" applyNumberFormat="1">
      <alignment horizontal="center" vertical="center"/>
    </xf>
    <xf borderId="2" fillId="25" fontId="64" numFmtId="0" xfId="0" applyAlignment="1" applyBorder="1" applyFont="1">
      <alignment horizontal="center" vertical="center"/>
    </xf>
    <xf borderId="2" fillId="25" fontId="64" numFmtId="49" xfId="0" applyAlignment="1" applyBorder="1" applyFont="1" applyNumberFormat="1">
      <alignment horizontal="center" readingOrder="0" vertical="center"/>
    </xf>
    <xf borderId="8" fillId="25" fontId="64" numFmtId="0" xfId="0" applyAlignment="1" applyBorder="1" applyFont="1">
      <alignment horizontal="center" readingOrder="0" vertical="center"/>
    </xf>
    <xf borderId="2" fillId="2" fontId="6" numFmtId="0" xfId="0" applyAlignment="1" applyBorder="1" applyFont="1">
      <alignment readingOrder="0" vertical="center"/>
    </xf>
    <xf borderId="6" fillId="4" fontId="10" numFmtId="49" xfId="0" applyAlignment="1" applyBorder="1" applyFont="1" applyNumberFormat="1">
      <alignment horizontal="center" vertical="center"/>
    </xf>
    <xf borderId="6" fillId="4" fontId="10" numFmtId="0" xfId="0" applyAlignment="1" applyBorder="1" applyFont="1">
      <alignment horizontal="center" vertical="center"/>
    </xf>
    <xf borderId="2" fillId="2" fontId="10" numFmtId="166" xfId="0" applyAlignment="1" applyBorder="1" applyFont="1" applyNumberFormat="1">
      <alignment vertical="center"/>
    </xf>
    <xf borderId="2" fillId="4" fontId="10" numFmtId="49" xfId="0" applyAlignment="1" applyBorder="1" applyFont="1" applyNumberFormat="1">
      <alignment horizontal="center" vertical="center"/>
    </xf>
    <xf borderId="2" fillId="4" fontId="10" numFmtId="49" xfId="0" applyAlignment="1" applyBorder="1" applyFont="1" applyNumberFormat="1">
      <alignment horizontal="center" shrinkToFit="0" vertical="center" wrapText="1"/>
    </xf>
    <xf borderId="2" fillId="2" fontId="10" numFmtId="0" xfId="0" applyAlignment="1" applyBorder="1" applyFont="1">
      <alignment horizontal="center"/>
    </xf>
    <xf borderId="1" fillId="2" fontId="10" numFmtId="49" xfId="0" applyAlignment="1" applyBorder="1" applyFont="1" applyNumberFormat="1">
      <alignment horizontal="center" vertical="center"/>
    </xf>
    <xf borderId="2" fillId="2" fontId="10" numFmtId="166" xfId="0" applyAlignment="1" applyBorder="1" applyFont="1" applyNumberFormat="1">
      <alignment horizontal="center" vertical="center"/>
    </xf>
    <xf borderId="2" fillId="4" fontId="10" numFmtId="49" xfId="0" applyAlignment="1" applyBorder="1" applyFont="1" applyNumberFormat="1">
      <alignment horizontal="center" readingOrder="0" vertical="center"/>
    </xf>
    <xf borderId="2" fillId="4" fontId="10" numFmtId="0" xfId="0" applyAlignment="1" applyBorder="1" applyFont="1">
      <alignment horizontal="center" vertical="center"/>
    </xf>
    <xf borderId="2" fillId="2" fontId="10" numFmtId="0" xfId="0" applyAlignment="1" applyBorder="1" applyFont="1">
      <alignment vertical="center"/>
    </xf>
    <xf borderId="2" fillId="4" fontId="10" numFmtId="0" xfId="0" applyAlignment="1" applyBorder="1" applyFont="1">
      <alignment horizontal="center" readingOrder="0" vertical="center"/>
    </xf>
    <xf borderId="2" fillId="23" fontId="10" numFmtId="0" xfId="0" applyAlignment="1" applyBorder="1" applyFont="1">
      <alignment readingOrder="0"/>
    </xf>
    <xf borderId="2" fillId="20" fontId="10" numFmtId="0" xfId="0" applyAlignment="1" applyBorder="1" applyFont="1">
      <alignment readingOrder="0"/>
    </xf>
    <xf borderId="2" fillId="2" fontId="10" numFmtId="0" xfId="0" applyAlignment="1" applyBorder="1" applyFont="1">
      <alignment horizontal="center"/>
    </xf>
    <xf borderId="2" fillId="2" fontId="10" numFmtId="0" xfId="0" applyAlignment="1" applyBorder="1" applyFont="1">
      <alignment horizontal="center" readingOrder="0" shrinkToFit="0" vertical="center" wrapText="1"/>
    </xf>
    <xf borderId="0" fillId="2" fontId="11" numFmtId="0" xfId="0" applyAlignment="1" applyFont="1">
      <alignment horizontal="center" readingOrder="0" vertical="center"/>
    </xf>
    <xf borderId="2" fillId="2" fontId="10" numFmtId="49" xfId="0" applyAlignment="1" applyBorder="1" applyFont="1" applyNumberFormat="1">
      <alignment horizontal="center" shrinkToFit="0" wrapText="1"/>
    </xf>
    <xf borderId="2" fillId="20" fontId="6" numFmtId="0" xfId="0" applyAlignment="1" applyBorder="1" applyFont="1">
      <alignment readingOrder="0" vertical="center"/>
    </xf>
    <xf borderId="2" fillId="2" fontId="64" numFmtId="49" xfId="0" applyAlignment="1" applyBorder="1" applyFont="1" applyNumberFormat="1">
      <alignment horizontal="center" vertical="center"/>
    </xf>
    <xf borderId="2" fillId="2" fontId="64" numFmtId="0" xfId="0" applyAlignment="1" applyBorder="1" applyFont="1">
      <alignment horizontal="center" vertical="center"/>
    </xf>
    <xf borderId="18" fillId="2" fontId="8" numFmtId="0" xfId="0" applyAlignment="1" applyBorder="1" applyFont="1">
      <alignment horizontal="center" readingOrder="0" shrinkToFit="0" vertical="center" wrapText="1"/>
    </xf>
    <xf borderId="0" fillId="2" fontId="10" numFmtId="0" xfId="0" applyAlignment="1" applyFont="1">
      <alignment readingOrder="0"/>
    </xf>
    <xf borderId="6" fillId="2" fontId="10" numFmtId="0" xfId="0" applyAlignment="1" applyBorder="1" applyFont="1">
      <alignment horizontal="center" readingOrder="0" vertical="center"/>
    </xf>
    <xf borderId="2" fillId="2" fontId="10" numFmtId="0" xfId="0" applyAlignment="1" applyBorder="1" applyFont="1">
      <alignment horizontal="center" readingOrder="0"/>
    </xf>
    <xf borderId="8" fillId="2" fontId="10" numFmtId="166" xfId="0" applyAlignment="1" applyBorder="1" applyFont="1" applyNumberFormat="1">
      <alignment horizontal="center" readingOrder="0" vertical="center"/>
    </xf>
    <xf borderId="2" fillId="2" fontId="8" numFmtId="0" xfId="0" applyAlignment="1" applyBorder="1" applyFont="1">
      <alignment readingOrder="0" shrinkToFit="0" vertical="center" wrapText="1"/>
    </xf>
    <xf borderId="8" fillId="2" fontId="10" numFmtId="49" xfId="0" applyAlignment="1" applyBorder="1" applyFont="1" applyNumberFormat="1">
      <alignment horizontal="center" readingOrder="0" shrinkToFit="0" wrapText="1"/>
    </xf>
    <xf borderId="2" fillId="2" fontId="10" numFmtId="49" xfId="0" applyAlignment="1" applyBorder="1" applyFont="1" applyNumberFormat="1">
      <alignment horizontal="center" readingOrder="0"/>
    </xf>
    <xf borderId="8" fillId="2" fontId="10" numFmtId="49" xfId="0" applyAlignment="1" applyBorder="1" applyFont="1" applyNumberFormat="1">
      <alignment horizontal="center" readingOrder="0" shrinkToFit="0" wrapText="1"/>
    </xf>
    <xf borderId="2" fillId="18" fontId="10" numFmtId="0" xfId="0" applyAlignment="1" applyBorder="1" applyFont="1">
      <alignment horizontal="center" readingOrder="0" vertical="center"/>
    </xf>
    <xf borderId="2" fillId="2" fontId="10" numFmtId="49" xfId="0" applyAlignment="1" applyBorder="1" applyFont="1" applyNumberFormat="1">
      <alignment horizontal="center" vertical="center"/>
    </xf>
    <xf borderId="17" fillId="2" fontId="10" numFmtId="0" xfId="0" applyAlignment="1" applyBorder="1" applyFont="1">
      <alignment horizontal="center"/>
    </xf>
    <xf borderId="8" fillId="2" fontId="10" numFmtId="0" xfId="0" applyAlignment="1" applyBorder="1" applyFont="1">
      <alignment horizontal="center" readingOrder="0"/>
    </xf>
    <xf borderId="18" fillId="2" fontId="10" numFmtId="168" xfId="0" applyAlignment="1" applyBorder="1" applyFont="1" applyNumberFormat="1">
      <alignment horizontal="center" readingOrder="0"/>
    </xf>
    <xf borderId="2" fillId="24" fontId="65" numFmtId="0" xfId="0" applyAlignment="1" applyBorder="1" applyFont="1">
      <alignment horizontal="center" readingOrder="0" shrinkToFit="0" wrapText="1"/>
    </xf>
    <xf borderId="2" fillId="24" fontId="66" numFmtId="0" xfId="0" applyAlignment="1" applyBorder="1" applyFont="1">
      <alignment horizontal="center" shrinkToFit="0" vertical="top" wrapText="1"/>
    </xf>
    <xf borderId="2" fillId="2" fontId="10" numFmtId="0" xfId="0" applyAlignment="1" applyBorder="1" applyFont="1">
      <alignment horizontal="center"/>
    </xf>
    <xf borderId="8" fillId="2" fontId="10" numFmtId="49" xfId="0" applyAlignment="1" applyBorder="1" applyFont="1" applyNumberFormat="1">
      <alignment horizontal="center" readingOrder="0"/>
    </xf>
    <xf borderId="18" fillId="20" fontId="10" numFmtId="0" xfId="0" applyAlignment="1" applyBorder="1" applyFont="1">
      <alignment readingOrder="0" vertical="center"/>
    </xf>
    <xf borderId="2" fillId="2" fontId="10" numFmtId="0" xfId="0" applyAlignment="1" applyBorder="1" applyFont="1">
      <alignment horizontal="center" shrinkToFit="0" vertical="center" wrapText="1"/>
    </xf>
    <xf borderId="2" fillId="2" fontId="8" numFmtId="49" xfId="0" applyAlignment="1" applyBorder="1" applyFont="1" applyNumberFormat="1">
      <alignment horizontal="center" vertical="center"/>
    </xf>
    <xf borderId="2" fillId="2" fontId="8" numFmtId="0" xfId="0" applyAlignment="1" applyBorder="1" applyFont="1">
      <alignment horizontal="center" shrinkToFit="0" vertical="center" wrapText="1"/>
    </xf>
    <xf borderId="2" fillId="2" fontId="8" numFmtId="49" xfId="0" applyAlignment="1" applyBorder="1" applyFont="1" applyNumberFormat="1">
      <alignment horizontal="center" readingOrder="0" vertical="center"/>
    </xf>
    <xf borderId="2" fillId="2" fontId="8" numFmtId="0" xfId="0" applyAlignment="1" applyBorder="1" applyFont="1">
      <alignment horizontal="center" readingOrder="0" shrinkToFit="0" vertical="center" wrapText="1"/>
    </xf>
    <xf borderId="2" fillId="2" fontId="10" numFmtId="168" xfId="0" applyAlignment="1" applyBorder="1" applyFont="1" applyNumberFormat="1">
      <alignment horizontal="center" readingOrder="0" vertical="center"/>
    </xf>
    <xf borderId="8" fillId="2" fontId="10" numFmtId="0" xfId="0" applyAlignment="1" applyBorder="1" applyFont="1">
      <alignment horizontal="center"/>
    </xf>
    <xf borderId="1" fillId="2" fontId="6" numFmtId="49" xfId="0" applyAlignment="1" applyBorder="1" applyFont="1" applyNumberFormat="1">
      <alignment horizontal="center" readingOrder="0"/>
    </xf>
    <xf borderId="2" fillId="2" fontId="10" numFmtId="49" xfId="0" applyAlignment="1" applyBorder="1" applyFont="1" applyNumberFormat="1">
      <alignment horizontal="center" shrinkToFit="0" wrapText="1"/>
    </xf>
    <xf borderId="2" fillId="2" fontId="10" numFmtId="166" xfId="0" applyAlignment="1" applyBorder="1" applyFont="1" applyNumberFormat="1">
      <alignment horizontal="center" readingOrder="0" vertical="center"/>
    </xf>
    <xf borderId="2" fillId="2" fontId="10" numFmtId="168" xfId="0" applyAlignment="1" applyBorder="1" applyFont="1" applyNumberFormat="1">
      <alignment horizontal="center" readingOrder="0"/>
    </xf>
    <xf borderId="8" fillId="2" fontId="10" numFmtId="0" xfId="0" applyAlignment="1" applyBorder="1" applyFont="1">
      <alignment horizontal="center" shrinkToFit="0" wrapText="1"/>
    </xf>
    <xf borderId="8" fillId="2" fontId="10" numFmtId="0" xfId="0" applyAlignment="1" applyBorder="1" applyFont="1">
      <alignment horizontal="center" shrinkToFit="0" wrapText="1"/>
    </xf>
    <xf borderId="2" fillId="2" fontId="10" numFmtId="0" xfId="0" applyAlignment="1" applyBorder="1" applyFont="1">
      <alignment horizontal="center" shrinkToFit="0" wrapText="1"/>
    </xf>
    <xf borderId="18" fillId="2" fontId="10" numFmtId="168" xfId="0" applyAlignment="1" applyBorder="1" applyFont="1" applyNumberFormat="1">
      <alignment horizontal="center" readingOrder="0" vertical="center"/>
    </xf>
    <xf borderId="0" fillId="2" fontId="6" numFmtId="0" xfId="0" applyAlignment="1" applyFont="1">
      <alignment readingOrder="0" vertical="center"/>
    </xf>
    <xf borderId="2" fillId="2" fontId="10" numFmtId="166" xfId="0" applyAlignment="1" applyBorder="1" applyFont="1" applyNumberFormat="1">
      <alignment horizontal="center" readingOrder="0"/>
    </xf>
    <xf borderId="2" fillId="2" fontId="10" numFmtId="0" xfId="0" applyAlignment="1" applyBorder="1" applyFont="1">
      <alignment horizontal="center" readingOrder="0"/>
    </xf>
    <xf borderId="18" fillId="2" fontId="10" numFmtId="0" xfId="0" applyAlignment="1" applyBorder="1" applyFont="1">
      <alignment horizontal="center" readingOrder="0" shrinkToFit="0" wrapText="1"/>
    </xf>
    <xf borderId="2" fillId="2" fontId="10" numFmtId="0" xfId="0" applyAlignment="1" applyBorder="1" applyFont="1">
      <alignment horizontal="center" shrinkToFit="0" wrapText="1"/>
    </xf>
    <xf borderId="0" fillId="2" fontId="6" numFmtId="166" xfId="0" applyAlignment="1" applyFont="1" applyNumberFormat="1">
      <alignment horizontal="center" vertical="center"/>
    </xf>
    <xf borderId="8" fillId="2" fontId="10" numFmtId="166" xfId="0" applyBorder="1" applyFont="1" applyNumberFormat="1"/>
    <xf borderId="8" fillId="2" fontId="10" numFmtId="166" xfId="0" applyAlignment="1" applyBorder="1" applyFont="1" applyNumberFormat="1">
      <alignment horizontal="center"/>
    </xf>
    <xf borderId="8" fillId="2" fontId="10" numFmtId="0" xfId="0" applyBorder="1" applyFont="1"/>
    <xf borderId="6" fillId="2" fontId="10" numFmtId="0" xfId="0" applyAlignment="1" applyBorder="1" applyFont="1">
      <alignment readingOrder="0" vertical="center"/>
    </xf>
    <xf borderId="8" fillId="2" fontId="10" numFmtId="0" xfId="0" applyAlignment="1" applyBorder="1" applyFont="1">
      <alignment horizontal="left" readingOrder="0" vertical="center"/>
    </xf>
    <xf borderId="8" fillId="2" fontId="10" numFmtId="0" xfId="0" applyAlignment="1" applyBorder="1" applyFont="1">
      <alignment readingOrder="0" vertical="center"/>
    </xf>
    <xf borderId="21" fillId="2" fontId="10" numFmtId="0" xfId="0" applyAlignment="1" applyBorder="1" applyFont="1">
      <alignment readingOrder="0"/>
    </xf>
    <xf borderId="0" fillId="0" fontId="6" numFmtId="166" xfId="0" applyAlignment="1" applyFont="1" applyNumberFormat="1">
      <alignment horizontal="center" vertical="center"/>
    </xf>
    <xf borderId="0" fillId="0" fontId="6" numFmtId="0" xfId="0" applyFont="1"/>
    <xf borderId="0" fillId="0" fontId="6" numFmtId="0" xfId="0" applyAlignment="1" applyFont="1">
      <alignment horizontal="center" readingOrder="0"/>
    </xf>
    <xf borderId="18" fillId="0" fontId="10" numFmtId="0" xfId="0" applyAlignment="1" applyBorder="1" applyFont="1">
      <alignment vertical="center"/>
    </xf>
    <xf borderId="2" fillId="2" fontId="10" numFmtId="0" xfId="0" applyAlignment="1" applyBorder="1" applyFont="1">
      <alignment readingOrder="0" vertical="center"/>
    </xf>
    <xf borderId="14" fillId="0" fontId="10" numFmtId="0" xfId="0" applyAlignment="1" applyBorder="1" applyFont="1">
      <alignment horizontal="center" readingOrder="0" vertical="center"/>
    </xf>
    <xf borderId="8" fillId="2" fontId="10" numFmtId="0" xfId="0" applyAlignment="1" applyBorder="1" applyFont="1">
      <alignment horizontal="center" shrinkToFit="0" vertical="center" wrapText="1"/>
    </xf>
    <xf borderId="2" fillId="2" fontId="9" numFmtId="0" xfId="0" applyAlignment="1" applyBorder="1" applyFont="1">
      <alignment horizontal="center" readingOrder="0" shrinkToFit="0" vertical="center" wrapText="1"/>
    </xf>
    <xf borderId="0" fillId="21" fontId="6" numFmtId="0" xfId="0" applyAlignment="1" applyFont="1">
      <alignment readingOrder="0" vertical="center"/>
    </xf>
    <xf borderId="0" fillId="0" fontId="10" numFmtId="0" xfId="0" applyAlignment="1" applyFont="1">
      <alignment vertical="center"/>
    </xf>
    <xf borderId="0" fillId="2" fontId="10" numFmtId="0" xfId="0" applyAlignment="1" applyFont="1">
      <alignment vertical="center"/>
    </xf>
    <xf borderId="0" fillId="0" fontId="10" numFmtId="166" xfId="0" applyAlignment="1" applyFont="1" applyNumberFormat="1">
      <alignment horizontal="center" vertical="center"/>
    </xf>
    <xf borderId="17" fillId="0" fontId="10" numFmtId="0" xfId="0" applyAlignment="1" applyBorder="1" applyFont="1">
      <alignment vertical="center"/>
    </xf>
    <xf borderId="17" fillId="2" fontId="10" numFmtId="0" xfId="0" applyAlignment="1" applyBorder="1" applyFont="1">
      <alignment vertical="center"/>
    </xf>
    <xf borderId="17" fillId="0" fontId="10" numFmtId="166" xfId="0" applyAlignment="1" applyBorder="1" applyFont="1" applyNumberFormat="1">
      <alignment horizontal="center" vertical="center"/>
    </xf>
    <xf borderId="8" fillId="2" fontId="10" numFmtId="49" xfId="0" applyAlignment="1" applyBorder="1" applyFont="1" applyNumberFormat="1">
      <alignment horizontal="center" vertical="center"/>
    </xf>
    <xf borderId="8" fillId="0" fontId="10" numFmtId="0" xfId="0" applyAlignment="1" applyBorder="1" applyFont="1">
      <alignment horizontal="center" shrinkToFit="0" vertical="center" wrapText="1"/>
    </xf>
    <xf borderId="18" fillId="2" fontId="63" numFmtId="0" xfId="0" applyAlignment="1" applyBorder="1" applyFont="1">
      <alignment horizontal="center" shrinkToFit="0" vertical="center" wrapText="1"/>
    </xf>
    <xf borderId="18" fillId="23" fontId="5" numFmtId="0" xfId="0" applyAlignment="1" applyBorder="1" applyFont="1">
      <alignment horizontal="left" readingOrder="0" shrinkToFit="0" vertical="center" wrapText="1"/>
    </xf>
    <xf borderId="2" fillId="2" fontId="10" numFmtId="0" xfId="0" applyAlignment="1" applyBorder="1" applyFont="1">
      <alignment horizontal="center" shrinkToFit="0" wrapText="1"/>
    </xf>
    <xf borderId="18" fillId="20" fontId="5" numFmtId="0" xfId="0" applyAlignment="1" applyBorder="1" applyFont="1">
      <alignment horizontal="left" readingOrder="0" shrinkToFit="0" vertical="center" wrapText="1"/>
    </xf>
    <xf borderId="2" fillId="0" fontId="10" numFmtId="49" xfId="0" applyAlignment="1" applyBorder="1" applyFont="1" applyNumberFormat="1">
      <alignment horizontal="center" vertical="center"/>
    </xf>
    <xf borderId="8" fillId="0" fontId="10" numFmtId="49" xfId="0" applyAlignment="1" applyBorder="1" applyFont="1" applyNumberFormat="1">
      <alignment horizontal="center" shrinkToFit="0" vertical="center" wrapText="1"/>
    </xf>
    <xf borderId="6" fillId="0" fontId="10" numFmtId="0" xfId="0" applyAlignment="1" applyBorder="1" applyFont="1">
      <alignment horizontal="center" readingOrder="0" vertical="center"/>
    </xf>
    <xf borderId="8" fillId="2" fontId="10" numFmtId="166" xfId="0" applyAlignment="1" applyBorder="1" applyFont="1" applyNumberFormat="1">
      <alignment horizontal="center" vertical="center"/>
    </xf>
    <xf borderId="8" fillId="2" fontId="10" numFmtId="0" xfId="0" applyAlignment="1" applyBorder="1" applyFont="1">
      <alignment vertical="center"/>
    </xf>
    <xf borderId="2" fillId="0" fontId="10" numFmtId="0" xfId="0" applyAlignment="1" applyBorder="1" applyFont="1">
      <alignment horizontal="center" shrinkToFit="0" vertical="center" wrapText="1"/>
    </xf>
    <xf borderId="1" fillId="20" fontId="10" numFmtId="0" xfId="0" applyAlignment="1" applyBorder="1" applyFont="1">
      <alignment readingOrder="0" vertical="center"/>
    </xf>
    <xf borderId="11" fillId="21" fontId="8" numFmtId="0" xfId="0" applyAlignment="1" applyBorder="1" applyFont="1">
      <alignment readingOrder="0" shrinkToFit="0" vertical="center" wrapText="1"/>
    </xf>
    <xf borderId="18" fillId="0" fontId="10" numFmtId="0" xfId="0" applyAlignment="1" applyBorder="1" applyFont="1">
      <alignment horizontal="center" readingOrder="0" vertical="center"/>
    </xf>
    <xf borderId="2" fillId="21" fontId="10" numFmtId="0" xfId="0" applyAlignment="1" applyBorder="1" applyFont="1">
      <alignment readingOrder="0" vertical="center"/>
    </xf>
    <xf borderId="17" fillId="2" fontId="10" numFmtId="0" xfId="0" applyAlignment="1" applyBorder="1" applyFont="1">
      <alignment readingOrder="0" vertical="center"/>
    </xf>
    <xf borderId="0" fillId="0" fontId="10" numFmtId="166" xfId="0" applyAlignment="1" applyFont="1" applyNumberFormat="1">
      <alignment vertical="center"/>
    </xf>
    <xf borderId="0" fillId="0" fontId="10" numFmtId="0" xfId="0" applyAlignment="1" applyFont="1">
      <alignment vertical="center"/>
    </xf>
    <xf borderId="18" fillId="21" fontId="10" numFmtId="0" xfId="0" applyAlignment="1" applyBorder="1" applyFont="1">
      <alignment readingOrder="0" vertical="center"/>
    </xf>
    <xf borderId="8" fillId="0" fontId="8" numFmtId="0" xfId="0" applyAlignment="1" applyBorder="1" applyFont="1">
      <alignment horizontal="center" vertical="center"/>
    </xf>
    <xf borderId="8" fillId="0" fontId="8" numFmtId="49" xfId="0" applyAlignment="1" applyBorder="1" applyFont="1" applyNumberFormat="1">
      <alignment horizontal="center" vertical="center"/>
    </xf>
    <xf borderId="8" fillId="0" fontId="10" numFmtId="0" xfId="0" applyAlignment="1" applyBorder="1" applyFont="1">
      <alignment horizontal="center" vertical="center"/>
    </xf>
    <xf borderId="2" fillId="23" fontId="6" numFmtId="0" xfId="0" applyAlignment="1" applyBorder="1" applyFont="1">
      <alignment readingOrder="0" vertical="center"/>
    </xf>
    <xf borderId="8" fillId="2" fontId="10" numFmtId="49" xfId="0" applyAlignment="1" applyBorder="1" applyFont="1" applyNumberFormat="1">
      <alignment horizontal="center" shrinkToFit="0" vertical="center" wrapText="1"/>
    </xf>
    <xf borderId="8" fillId="0" fontId="10" numFmtId="0" xfId="0" applyAlignment="1" applyBorder="1" applyFont="1">
      <alignment horizontal="center" shrinkToFit="0" vertical="center" wrapText="1"/>
    </xf>
    <xf borderId="2" fillId="20" fontId="10" numFmtId="0" xfId="0" applyAlignment="1" applyBorder="1" applyFont="1">
      <alignment readingOrder="0" vertical="center"/>
    </xf>
    <xf borderId="0" fillId="21" fontId="8" numFmtId="0" xfId="0" applyAlignment="1" applyFont="1">
      <alignment readingOrder="0" shrinkToFit="0" vertical="center" wrapText="1"/>
    </xf>
    <xf borderId="3" fillId="0" fontId="10" numFmtId="49" xfId="0" applyAlignment="1" applyBorder="1" applyFont="1" applyNumberFormat="1">
      <alignment horizontal="center" readingOrder="0" shrinkToFit="0" vertical="center" wrapText="1"/>
    </xf>
    <xf borderId="2" fillId="0" fontId="10" numFmtId="49" xfId="0" applyAlignment="1" applyBorder="1" applyFont="1" applyNumberFormat="1">
      <alignment horizontal="center" readingOrder="0" shrinkToFit="0" vertical="center" wrapText="1"/>
    </xf>
    <xf borderId="8" fillId="0" fontId="10" numFmtId="0" xfId="0" applyAlignment="1" applyBorder="1" applyFont="1">
      <alignment horizontal="center" readingOrder="0" shrinkToFit="0" vertical="center" wrapText="1"/>
    </xf>
    <xf borderId="18" fillId="23" fontId="10" numFmtId="0" xfId="0" applyAlignment="1" applyBorder="1" applyFont="1">
      <alignment readingOrder="0" vertical="center"/>
    </xf>
    <xf borderId="0" fillId="2" fontId="10" numFmtId="0" xfId="0" applyAlignment="1" applyFont="1">
      <alignment horizontal="center" vertical="center"/>
    </xf>
    <xf borderId="8" fillId="0" fontId="10" numFmtId="49" xfId="0" applyAlignment="1" applyBorder="1" applyFont="1" applyNumberFormat="1">
      <alignment horizontal="center" vertical="center"/>
    </xf>
    <xf borderId="2" fillId="0" fontId="8" numFmtId="0" xfId="0" applyAlignment="1" applyBorder="1" applyFont="1">
      <alignment horizontal="center" readingOrder="0" shrinkToFit="0" vertical="center" wrapText="1"/>
    </xf>
    <xf borderId="2" fillId="0" fontId="8" numFmtId="49" xfId="0" applyAlignment="1" applyBorder="1" applyFont="1" applyNumberFormat="1">
      <alignment horizontal="center" readingOrder="0" vertical="center"/>
    </xf>
    <xf borderId="2" fillId="0" fontId="8" numFmtId="0" xfId="0" applyAlignment="1" applyBorder="1" applyFont="1">
      <alignment horizontal="center" readingOrder="0" shrinkToFit="0" vertical="center" wrapText="1"/>
    </xf>
    <xf borderId="0" fillId="2" fontId="8" numFmtId="0" xfId="0" applyAlignment="1" applyFont="1">
      <alignment readingOrder="0" shrinkToFit="0" vertical="center" wrapText="1"/>
    </xf>
    <xf borderId="2" fillId="20" fontId="10" numFmtId="0" xfId="0" applyAlignment="1" applyBorder="1" applyFont="1">
      <alignment horizontal="left" readingOrder="0" vertical="center"/>
    </xf>
    <xf borderId="1" fillId="0" fontId="6" numFmtId="49" xfId="0" applyAlignment="1" applyBorder="1" applyFont="1" applyNumberFormat="1">
      <alignment horizontal="center" readingOrder="0" vertical="center"/>
    </xf>
    <xf borderId="18" fillId="0" fontId="10" numFmtId="166" xfId="0" applyAlignment="1" applyBorder="1" applyFont="1" applyNumberFormat="1">
      <alignment horizontal="center" vertical="center"/>
    </xf>
    <xf borderId="18" fillId="2" fontId="10" numFmtId="0" xfId="0" applyAlignment="1" applyBorder="1" applyFont="1">
      <alignment horizontal="center" readingOrder="0" vertical="center"/>
    </xf>
    <xf borderId="0" fillId="20" fontId="6" numFmtId="0" xfId="0" applyAlignment="1" applyFont="1">
      <alignment readingOrder="0" vertical="center"/>
    </xf>
    <xf borderId="2" fillId="0" fontId="6" numFmtId="0" xfId="0" applyAlignment="1" applyBorder="1" applyFont="1">
      <alignment vertical="center"/>
    </xf>
    <xf borderId="2" fillId="2" fontId="10" numFmtId="166" xfId="0" applyAlignment="1" applyBorder="1" applyFont="1" applyNumberFormat="1">
      <alignment horizontal="center" readingOrder="0" vertical="center"/>
    </xf>
    <xf borderId="2" fillId="2" fontId="10" numFmtId="0" xfId="0" applyAlignment="1" applyBorder="1" applyFont="1">
      <alignment horizontal="center" readingOrder="0" vertical="center"/>
    </xf>
    <xf borderId="2" fillId="0" fontId="10" numFmtId="166" xfId="0" applyAlignment="1" applyBorder="1" applyFont="1" applyNumberFormat="1">
      <alignment horizontal="center" readingOrder="0" vertical="center"/>
    </xf>
    <xf borderId="2" fillId="0" fontId="10" numFmtId="0" xfId="0" applyAlignment="1" applyBorder="1" applyFont="1">
      <alignment vertical="center"/>
    </xf>
    <xf borderId="2" fillId="26" fontId="6" numFmtId="0" xfId="0" applyAlignment="1" applyBorder="1" applyFill="1" applyFont="1">
      <alignment readingOrder="0" vertical="center"/>
    </xf>
    <xf borderId="2" fillId="21" fontId="6" numFmtId="0" xfId="0" applyAlignment="1" applyBorder="1" applyFont="1">
      <alignment readingOrder="0" vertical="center"/>
    </xf>
    <xf borderId="8" fillId="2" fontId="10" numFmtId="0" xfId="0" applyAlignment="1" applyBorder="1" applyFont="1">
      <alignment horizontal="center" readingOrder="0" vertical="center"/>
    </xf>
    <xf borderId="18" fillId="20" fontId="10" numFmtId="0" xfId="0" applyAlignment="1" applyBorder="1" applyFont="1">
      <alignment horizontal="left" readingOrder="0" vertical="center"/>
    </xf>
    <xf borderId="8" fillId="0" fontId="10" numFmtId="166" xfId="0" applyAlignment="1" applyBorder="1" applyFont="1" applyNumberFormat="1">
      <alignment horizontal="center" vertical="center"/>
    </xf>
    <xf borderId="6" fillId="20" fontId="10" numFmtId="0" xfId="0" applyAlignment="1" applyBorder="1" applyFont="1">
      <alignment readingOrder="0" vertical="center"/>
    </xf>
    <xf borderId="8" fillId="20" fontId="10" numFmtId="0" xfId="0" applyAlignment="1" applyBorder="1" applyFont="1">
      <alignment horizontal="left" readingOrder="0" vertical="center"/>
    </xf>
    <xf borderId="8" fillId="21" fontId="10" numFmtId="0" xfId="0" applyAlignment="1" applyBorder="1" applyFont="1">
      <alignment horizontal="left" readingOrder="0" vertical="center"/>
    </xf>
    <xf borderId="8" fillId="0" fontId="10" numFmtId="49" xfId="0" applyAlignment="1" applyBorder="1" applyFont="1" applyNumberFormat="1">
      <alignment horizontal="center" shrinkToFit="0" vertical="center" wrapText="1"/>
    </xf>
    <xf borderId="8" fillId="0" fontId="10" numFmtId="49" xfId="0" applyAlignment="1" applyBorder="1" applyFont="1" applyNumberFormat="1">
      <alignment horizontal="center" readingOrder="0" shrinkToFit="0" vertical="center" wrapText="1"/>
    </xf>
    <xf borderId="2" fillId="0" fontId="10" numFmtId="166" xfId="0" applyAlignment="1" applyBorder="1" applyFont="1" applyNumberFormat="1">
      <alignment horizontal="center" vertical="center"/>
    </xf>
    <xf borderId="8" fillId="20" fontId="10" numFmtId="0" xfId="0" applyAlignment="1" applyBorder="1" applyFont="1">
      <alignment readingOrder="0" vertical="center"/>
    </xf>
    <xf borderId="21" fillId="2" fontId="10" numFmtId="0" xfId="0" applyAlignment="1" applyBorder="1" applyFont="1">
      <alignment readingOrder="0" vertical="center"/>
    </xf>
    <xf borderId="2" fillId="27" fontId="6" numFmtId="0" xfId="0" applyAlignment="1" applyBorder="1" applyFill="1" applyFont="1">
      <alignment readingOrder="0" vertical="center"/>
    </xf>
    <xf borderId="2" fillId="16" fontId="6" numFmtId="0" xfId="0" applyAlignment="1" applyBorder="1" applyFont="1">
      <alignment readingOrder="0" vertical="center"/>
    </xf>
    <xf borderId="2" fillId="0" fontId="30" numFmtId="0" xfId="0" applyAlignment="1" applyBorder="1" applyFont="1">
      <alignment horizontal="center" readingOrder="0" vertical="center"/>
    </xf>
    <xf borderId="2" fillId="2" fontId="67" numFmtId="0" xfId="0" applyAlignment="1" applyBorder="1" applyFont="1">
      <alignment horizontal="center" readingOrder="0" vertical="center"/>
    </xf>
    <xf borderId="2" fillId="0" fontId="30" numFmtId="0" xfId="0" applyAlignment="1" applyBorder="1" applyFont="1">
      <alignment horizontal="center" readingOrder="0" shrinkToFit="0" vertical="center" wrapText="1"/>
    </xf>
    <xf borderId="8" fillId="18" fontId="62" numFmtId="166" xfId="0" applyAlignment="1" applyBorder="1" applyFont="1" applyNumberFormat="1">
      <alignment horizontal="center" readingOrder="0" vertical="center"/>
    </xf>
    <xf borderId="0" fillId="0" fontId="30" numFmtId="0" xfId="0" applyAlignment="1" applyFont="1">
      <alignment horizontal="center" readingOrder="0" vertical="center"/>
    </xf>
    <xf borderId="6" fillId="0" fontId="8" numFmtId="0" xfId="0" applyAlignment="1" applyBorder="1" applyFont="1">
      <alignment horizontal="center" readingOrder="0" vertical="center"/>
    </xf>
    <xf borderId="2" fillId="2" fontId="10" numFmtId="0" xfId="0" applyAlignment="1" applyBorder="1" applyFont="1">
      <alignment shrinkToFit="0" vertical="center" wrapText="1"/>
    </xf>
    <xf borderId="2" fillId="2" fontId="5" numFmtId="166" xfId="0" applyAlignment="1" applyBorder="1" applyFont="1" applyNumberFormat="1">
      <alignment horizontal="center" readingOrder="0" vertical="center"/>
    </xf>
    <xf borderId="2" fillId="0" fontId="8" numFmtId="0" xfId="0" applyAlignment="1" applyBorder="1" applyFont="1">
      <alignment vertical="center"/>
    </xf>
    <xf borderId="2" fillId="0" fontId="6" numFmtId="166" xfId="0" applyAlignment="1" applyBorder="1" applyFont="1" applyNumberFormat="1">
      <alignment horizontal="center" vertical="center"/>
    </xf>
    <xf borderId="18" fillId="0" fontId="6" numFmtId="166" xfId="0" applyAlignment="1" applyBorder="1" applyFont="1" applyNumberFormat="1">
      <alignment horizontal="center" vertical="center"/>
    </xf>
    <xf borderId="2" fillId="0" fontId="6" numFmtId="0" xfId="0" applyAlignment="1" applyBorder="1" applyFont="1">
      <alignment horizontal="center" readingOrder="0" vertical="center"/>
    </xf>
    <xf borderId="2" fillId="8" fontId="68" numFmtId="0" xfId="0" applyAlignment="1" applyBorder="1" applyFont="1">
      <alignment horizontal="center" readingOrder="0" shrinkToFit="0" vertical="center" wrapText="1"/>
    </xf>
    <xf borderId="2" fillId="8" fontId="9" numFmtId="166" xfId="0" applyAlignment="1" applyBorder="1" applyFont="1" applyNumberFormat="1">
      <alignment horizontal="center" readingOrder="0" vertical="center"/>
    </xf>
    <xf borderId="2" fillId="2" fontId="9" numFmtId="0" xfId="0" applyAlignment="1" applyBorder="1" applyFont="1">
      <alignment horizontal="center" readingOrder="0" vertical="center"/>
    </xf>
    <xf borderId="2" fillId="20" fontId="8" numFmtId="0" xfId="0" applyAlignment="1" applyBorder="1" applyFont="1">
      <alignment horizontal="left" readingOrder="0" shrinkToFit="0" vertical="center" wrapText="1"/>
    </xf>
    <xf borderId="6" fillId="21" fontId="6" numFmtId="0" xfId="0" applyAlignment="1" applyBorder="1" applyFont="1">
      <alignment readingOrder="0" vertical="center"/>
    </xf>
    <xf borderId="2" fillId="0" fontId="6" numFmtId="166" xfId="0" applyAlignment="1" applyBorder="1" applyFont="1" applyNumberFormat="1">
      <alignment horizontal="center" vertical="center"/>
    </xf>
    <xf borderId="18" fillId="0" fontId="6" numFmtId="166" xfId="0" applyAlignment="1" applyBorder="1" applyFont="1" applyNumberFormat="1">
      <alignment horizontal="center" vertical="center"/>
    </xf>
    <xf borderId="2" fillId="0" fontId="10" numFmtId="0" xfId="0" applyAlignment="1" applyBorder="1" applyFont="1">
      <alignment horizontal="center" shrinkToFit="0" vertical="center" wrapText="1"/>
    </xf>
    <xf borderId="2" fillId="20" fontId="6" numFmtId="0" xfId="0" applyAlignment="1" applyBorder="1" applyFont="1">
      <alignment readingOrder="0" shrinkToFit="0" vertical="center" wrapText="1"/>
    </xf>
    <xf borderId="2" fillId="2" fontId="63" numFmtId="0" xfId="0" applyAlignment="1" applyBorder="1" applyFont="1">
      <alignment horizontal="center" readingOrder="0" shrinkToFit="0" vertical="center" wrapText="1"/>
    </xf>
    <xf borderId="3" fillId="2" fontId="5" numFmtId="166" xfId="0" applyAlignment="1" applyBorder="1" applyFont="1" applyNumberFormat="1">
      <alignment horizontal="center" readingOrder="0" vertical="center"/>
    </xf>
    <xf borderId="2" fillId="2" fontId="6" numFmtId="0" xfId="0" applyAlignment="1" applyBorder="1" applyFont="1">
      <alignment vertical="center"/>
    </xf>
    <xf borderId="2" fillId="2" fontId="8" numFmtId="0" xfId="0" applyAlignment="1" applyBorder="1" applyFont="1">
      <alignment horizontal="center" shrinkToFit="0" vertical="center" wrapText="1"/>
    </xf>
    <xf borderId="2" fillId="2" fontId="8" numFmtId="0" xfId="0" applyAlignment="1" applyBorder="1" applyFont="1">
      <alignment horizontal="left" readingOrder="0" shrinkToFit="0" vertical="center" wrapText="1"/>
    </xf>
    <xf borderId="2" fillId="2" fontId="8" numFmtId="167" xfId="0" applyAlignment="1" applyBorder="1" applyFont="1" applyNumberFormat="1">
      <alignment horizontal="center" readingOrder="0" vertical="center"/>
    </xf>
    <xf borderId="3" fillId="2" fontId="5" numFmtId="166" xfId="0" applyAlignment="1" applyBorder="1" applyFont="1" applyNumberFormat="1">
      <alignment horizontal="center" readingOrder="0" vertical="center"/>
    </xf>
    <xf borderId="18" fillId="2" fontId="8" numFmtId="0" xfId="0" applyAlignment="1" applyBorder="1" applyFont="1">
      <alignment horizontal="center" shrinkToFit="0" vertical="center" wrapText="1"/>
    </xf>
    <xf borderId="0" fillId="2" fontId="8" numFmtId="0" xfId="0" applyAlignment="1" applyFont="1">
      <alignment horizontal="center" readingOrder="0" shrinkToFit="0" vertical="center" wrapText="1"/>
    </xf>
    <xf borderId="2" fillId="2" fontId="63" numFmtId="0" xfId="0" applyAlignment="1" applyBorder="1" applyFont="1">
      <alignment horizontal="center" readingOrder="0" shrinkToFit="0" vertical="center" wrapText="1"/>
    </xf>
    <xf borderId="2" fillId="2" fontId="5" numFmtId="166" xfId="0" applyAlignment="1" applyBorder="1" applyFont="1" applyNumberFormat="1">
      <alignment horizontal="center" readingOrder="0" vertical="center"/>
    </xf>
    <xf borderId="2" fillId="2" fontId="6" numFmtId="0" xfId="0" applyAlignment="1" applyBorder="1" applyFont="1">
      <alignment vertical="center"/>
    </xf>
    <xf borderId="0" fillId="2" fontId="9" numFmtId="0" xfId="0" applyAlignment="1" applyFont="1">
      <alignment horizontal="center" readingOrder="0" shrinkToFit="0" vertical="center" wrapText="1"/>
    </xf>
    <xf borderId="8" fillId="2" fontId="10" numFmtId="166" xfId="0" applyAlignment="1" applyBorder="1" applyFont="1" applyNumberFormat="1">
      <alignment horizontal="center" readingOrder="0" vertical="center"/>
    </xf>
    <xf borderId="8" fillId="2" fontId="63" numFmtId="0" xfId="0" applyAlignment="1" applyBorder="1" applyFont="1">
      <alignment horizontal="center" readingOrder="0" shrinkToFit="0" vertical="center" wrapText="1"/>
    </xf>
    <xf borderId="2" fillId="2" fontId="9" numFmtId="0" xfId="0" applyAlignment="1" applyBorder="1" applyFont="1">
      <alignment horizontal="center" vertical="center"/>
    </xf>
    <xf borderId="2" fillId="2" fontId="9" numFmtId="0" xfId="0" applyAlignment="1" applyBorder="1" applyFont="1">
      <alignment horizontal="center" readingOrder="0" shrinkToFit="0" vertical="center" wrapText="1"/>
    </xf>
    <xf borderId="2" fillId="2" fontId="9" numFmtId="166" xfId="0" applyAlignment="1" applyBorder="1" applyFont="1" applyNumberFormat="1">
      <alignment horizontal="center" readingOrder="0" vertical="center"/>
    </xf>
    <xf borderId="18" fillId="2" fontId="63" numFmtId="0" xfId="0" applyAlignment="1" applyBorder="1" applyFont="1">
      <alignment horizontal="center" shrinkToFit="0" vertical="center" wrapText="1"/>
    </xf>
    <xf borderId="5" fillId="0" fontId="8" numFmtId="0" xfId="0" applyAlignment="1" applyBorder="1" applyFont="1">
      <alignment readingOrder="0" vertical="center"/>
    </xf>
    <xf borderId="0" fillId="2" fontId="9" numFmtId="166" xfId="0" applyAlignment="1" applyFont="1" applyNumberFormat="1">
      <alignment horizontal="center" readingOrder="0" vertical="center"/>
    </xf>
    <xf borderId="0" fillId="2" fontId="9" numFmtId="166" xfId="0" applyAlignment="1" applyFont="1" applyNumberFormat="1">
      <alignment horizontal="center" vertical="center"/>
    </xf>
    <xf borderId="0" fillId="2" fontId="9" numFmtId="166" xfId="0" applyAlignment="1" applyFont="1" applyNumberFormat="1">
      <alignment vertical="center"/>
    </xf>
    <xf borderId="0" fillId="2" fontId="8" numFmtId="0" xfId="0" applyAlignment="1" applyFont="1">
      <alignment vertical="center"/>
    </xf>
    <xf borderId="0" fillId="2" fontId="8" numFmtId="0" xfId="0" applyAlignment="1" applyFont="1">
      <alignment shrinkToFit="0" vertical="center" wrapText="1"/>
    </xf>
    <xf borderId="0" fillId="0" fontId="6" numFmtId="0" xfId="0" applyAlignment="1" applyFont="1">
      <alignment shrinkToFit="0" vertical="center" wrapText="1"/>
    </xf>
    <xf borderId="0" fillId="0" fontId="11" numFmtId="166" xfId="0" applyAlignment="1" applyFont="1" applyNumberFormat="1">
      <alignment horizontal="center" vertical="center"/>
    </xf>
    <xf borderId="17" fillId="2" fontId="8" numFmtId="0" xfId="0" applyAlignment="1" applyBorder="1" applyFont="1">
      <alignment shrinkToFit="0" vertical="center" wrapText="1"/>
    </xf>
    <xf borderId="2" fillId="2" fontId="9" numFmtId="167" xfId="0" applyAlignment="1" applyBorder="1" applyFont="1" applyNumberFormat="1">
      <alignment horizontal="center" readingOrder="0" vertical="center"/>
    </xf>
    <xf borderId="0" fillId="0" fontId="6" numFmtId="0" xfId="0" applyAlignment="1" applyFont="1">
      <alignment horizontal="center" readingOrder="0" shrinkToFit="0" vertical="center" wrapText="1"/>
    </xf>
    <xf borderId="0" fillId="2" fontId="9" numFmtId="0" xfId="0" applyAlignment="1" applyFont="1">
      <alignment horizontal="center" shrinkToFit="0" vertical="center" wrapText="1"/>
    </xf>
    <xf borderId="2" fillId="2" fontId="9" numFmtId="167" xfId="0" applyAlignment="1" applyBorder="1" applyFont="1" applyNumberFormat="1">
      <alignment horizontal="center" readingOrder="0" vertical="center"/>
    </xf>
    <xf borderId="2" fillId="21" fontId="9" numFmtId="0" xfId="0" applyAlignment="1" applyBorder="1" applyFont="1">
      <alignment horizontal="left" readingOrder="0" shrinkToFit="0" vertical="center" wrapText="1"/>
    </xf>
    <xf borderId="0" fillId="2" fontId="8" numFmtId="0" xfId="0" applyAlignment="1" applyFont="1">
      <alignment horizontal="center" shrinkToFit="0" vertical="center" wrapText="1"/>
    </xf>
    <xf borderId="2" fillId="8" fontId="10" numFmtId="166" xfId="0" applyAlignment="1" applyBorder="1" applyFont="1" applyNumberFormat="1">
      <alignment horizontal="center" readingOrder="0" vertical="center"/>
    </xf>
    <xf borderId="0" fillId="21" fontId="8" numFmtId="0" xfId="0" applyAlignment="1" applyFont="1">
      <alignment readingOrder="0" shrinkToFit="0" vertical="center" wrapText="1"/>
    </xf>
    <xf borderId="0" fillId="21" fontId="9" numFmtId="0" xfId="0" applyAlignment="1" applyFont="1">
      <alignment horizontal="left" readingOrder="0" shrinkToFit="0" vertical="center" wrapText="1"/>
    </xf>
    <xf borderId="0" fillId="0" fontId="6" numFmtId="0" xfId="0" applyAlignment="1" applyFont="1">
      <alignment vertical="center"/>
    </xf>
    <xf borderId="2" fillId="0" fontId="6" numFmtId="0" xfId="0" applyAlignment="1" applyBorder="1" applyFont="1">
      <alignment horizontal="center" readingOrder="0" shrinkToFit="0" vertical="center" wrapText="1"/>
    </xf>
    <xf borderId="2" fillId="2" fontId="22" numFmtId="0" xfId="0" applyAlignment="1" applyBorder="1" applyFont="1">
      <alignment horizontal="left" readingOrder="0" shrinkToFit="0" vertical="center" wrapText="1"/>
    </xf>
    <xf borderId="0" fillId="27" fontId="6" numFmtId="0" xfId="0" applyAlignment="1" applyFont="1">
      <alignment readingOrder="0" vertical="center"/>
    </xf>
    <xf borderId="2" fillId="2" fontId="6" numFmtId="166" xfId="0" applyAlignment="1" applyBorder="1" applyFont="1" applyNumberFormat="1">
      <alignment horizontal="center" vertical="center"/>
    </xf>
    <xf borderId="2" fillId="2" fontId="6" numFmtId="0" xfId="0" applyAlignment="1" applyBorder="1" applyFont="1">
      <alignment horizontal="center" readingOrder="0" shrinkToFit="0" vertical="center" wrapText="1"/>
    </xf>
    <xf borderId="0" fillId="2" fontId="9" numFmtId="166" xfId="0" applyAlignment="1" applyFont="1" applyNumberFormat="1">
      <alignment horizontal="center" shrinkToFit="0" vertical="center" wrapText="1"/>
    </xf>
    <xf borderId="27" fillId="2" fontId="9" numFmtId="0" xfId="0" applyAlignment="1" applyBorder="1" applyFont="1">
      <alignment horizontal="center" readingOrder="0" shrinkToFit="0" vertical="center" wrapText="1"/>
    </xf>
    <xf borderId="27" fillId="2" fontId="9" numFmtId="166" xfId="0" applyAlignment="1" applyBorder="1" applyFont="1" applyNumberFormat="1">
      <alignment horizontal="center" readingOrder="0" shrinkToFit="0" vertical="center" wrapText="1"/>
    </xf>
    <xf borderId="27" fillId="2" fontId="9" numFmtId="0" xfId="0" applyAlignment="1" applyBorder="1" applyFont="1">
      <alignment horizontal="center" readingOrder="0" vertical="center"/>
    </xf>
    <xf borderId="27" fillId="2" fontId="9" numFmtId="0" xfId="0" applyAlignment="1" applyBorder="1" applyFont="1">
      <alignment horizontal="left" readingOrder="0" shrinkToFit="0" vertical="center" wrapText="1"/>
    </xf>
    <xf borderId="0" fillId="2" fontId="63" numFmtId="0" xfId="0" applyAlignment="1" applyFont="1">
      <alignment horizontal="center" readingOrder="0" shrinkToFit="0" vertical="center" wrapText="1"/>
    </xf>
    <xf borderId="0" fillId="2" fontId="5" numFmtId="166" xfId="0" applyAlignment="1" applyFont="1" applyNumberFormat="1">
      <alignment horizontal="center" readingOrder="0" vertical="center"/>
    </xf>
    <xf borderId="0" fillId="2" fontId="9" numFmtId="0" xfId="0" applyAlignment="1" applyFont="1">
      <alignment horizontal="center" vertical="center"/>
    </xf>
    <xf borderId="2" fillId="2" fontId="9" numFmtId="166" xfId="0" applyAlignment="1" applyBorder="1" applyFont="1" applyNumberFormat="1">
      <alignment horizontal="center" readingOrder="0" shrinkToFit="0" vertical="center" wrapText="1"/>
    </xf>
    <xf borderId="2" fillId="2" fontId="9" numFmtId="166" xfId="0" applyAlignment="1" applyBorder="1" applyFont="1" applyNumberFormat="1">
      <alignment horizontal="center" readingOrder="0" shrinkToFit="0" vertical="center" wrapText="1"/>
    </xf>
    <xf borderId="8" fillId="2" fontId="63" numFmtId="0" xfId="0" applyAlignment="1" applyBorder="1" applyFont="1">
      <alignment horizontal="center" readingOrder="0" shrinkToFit="0" vertical="center" wrapText="1"/>
    </xf>
    <xf borderId="2" fillId="0" fontId="6" numFmtId="0" xfId="0" applyAlignment="1" applyBorder="1" applyFont="1">
      <alignment readingOrder="0" shrinkToFit="0" vertical="center" wrapText="1"/>
    </xf>
    <xf borderId="2" fillId="2" fontId="9" numFmtId="166" xfId="0" applyAlignment="1" applyBorder="1" applyFont="1" applyNumberFormat="1">
      <alignment horizontal="center" readingOrder="0" vertical="center"/>
    </xf>
    <xf borderId="2" fillId="2" fontId="63" numFmtId="0" xfId="0" applyAlignment="1" applyBorder="1" applyFont="1">
      <alignment horizontal="center" readingOrder="0" shrinkToFit="0" vertical="center" wrapText="1"/>
    </xf>
    <xf borderId="2" fillId="20" fontId="9" numFmtId="0" xfId="0" applyAlignment="1" applyBorder="1" applyFont="1">
      <alignment horizontal="left" readingOrder="0" vertical="center"/>
    </xf>
    <xf borderId="0" fillId="0" fontId="6" numFmtId="0" xfId="0" applyAlignment="1" applyFont="1">
      <alignment readingOrder="0" shrinkToFit="0" vertical="center" wrapText="1"/>
    </xf>
    <xf borderId="2" fillId="2" fontId="8" numFmtId="0" xfId="0" applyAlignment="1" applyBorder="1" applyFont="1">
      <alignment horizontal="center" vertical="center"/>
    </xf>
    <xf borderId="2" fillId="2" fontId="5" numFmtId="168" xfId="0" applyAlignment="1" applyBorder="1" applyFont="1" applyNumberFormat="1">
      <alignment horizontal="center" readingOrder="0" vertical="center"/>
    </xf>
    <xf borderId="2" fillId="20" fontId="10" numFmtId="0" xfId="0" applyAlignment="1" applyBorder="1" applyFont="1">
      <alignment shrinkToFit="0" wrapText="1"/>
    </xf>
    <xf borderId="17" fillId="5" fontId="10" numFmtId="0" xfId="0" applyAlignment="1" applyBorder="1" applyFont="1">
      <alignment shrinkToFit="0" wrapText="1"/>
    </xf>
    <xf borderId="0" fillId="0" fontId="6" numFmtId="0" xfId="0" applyAlignment="1" applyFont="1">
      <alignment readingOrder="0" shrinkToFit="0" vertical="center" wrapText="1"/>
    </xf>
    <xf borderId="0" fillId="2" fontId="9" numFmtId="166" xfId="0" applyAlignment="1" applyFont="1" applyNumberFormat="1">
      <alignment horizontal="center" readingOrder="0" shrinkToFit="0" vertical="center" wrapText="1"/>
    </xf>
    <xf borderId="0" fillId="0" fontId="10" numFmtId="0" xfId="0" applyAlignment="1" applyFont="1">
      <alignment horizontal="center" shrinkToFit="0" vertical="center" wrapText="1"/>
    </xf>
    <xf borderId="0" fillId="2" fontId="63" numFmtId="0" xfId="0" applyAlignment="1" applyFont="1">
      <alignment horizontal="center" readingOrder="0" shrinkToFit="0" vertical="center" wrapText="1"/>
    </xf>
    <xf borderId="0" fillId="2" fontId="9" numFmtId="0" xfId="0" applyAlignment="1" applyFont="1">
      <alignment horizontal="center" readingOrder="0" vertical="center"/>
    </xf>
    <xf borderId="0" fillId="0" fontId="10" numFmtId="0" xfId="0" applyAlignment="1" applyFont="1">
      <alignment horizontal="center" vertical="center"/>
    </xf>
    <xf borderId="8" fillId="0" fontId="6" numFmtId="166" xfId="0" applyAlignment="1" applyBorder="1" applyFont="1" applyNumberFormat="1">
      <alignment horizontal="center" vertical="center"/>
    </xf>
    <xf borderId="2" fillId="2" fontId="10" numFmtId="0" xfId="0" applyAlignment="1" applyBorder="1" applyFont="1">
      <alignment horizontal="center" vertical="center"/>
    </xf>
    <xf borderId="2" fillId="0" fontId="8" numFmtId="0" xfId="0" applyAlignment="1" applyBorder="1" applyFont="1">
      <alignment readingOrder="0" vertical="center"/>
    </xf>
    <xf borderId="2" fillId="20" fontId="5" numFmtId="0" xfId="0" applyAlignment="1" applyBorder="1" applyFont="1">
      <alignment horizontal="left" readingOrder="0" vertical="center"/>
    </xf>
    <xf borderId="2" fillId="23" fontId="5" numFmtId="0" xfId="0" applyAlignment="1" applyBorder="1" applyFont="1">
      <alignment horizontal="left" readingOrder="0" vertical="center"/>
    </xf>
    <xf borderId="0" fillId="23" fontId="5" numFmtId="0" xfId="0" applyAlignment="1" applyFont="1">
      <alignment horizontal="left" readingOrder="0" vertical="center"/>
    </xf>
    <xf borderId="8" fillId="0" fontId="10" numFmtId="166" xfId="0" applyAlignment="1" applyBorder="1" applyFont="1" applyNumberFormat="1">
      <alignment vertical="center"/>
    </xf>
    <xf borderId="18" fillId="27" fontId="10" numFmtId="0" xfId="0" applyAlignment="1" applyBorder="1" applyFont="1">
      <alignment readingOrder="0" vertical="center"/>
    </xf>
    <xf borderId="18" fillId="5" fontId="8" numFmtId="0" xfId="0" applyAlignment="1" applyBorder="1" applyFont="1">
      <alignment readingOrder="0" shrinkToFit="0" vertical="center" wrapText="1"/>
    </xf>
    <xf borderId="0" fillId="23" fontId="8" numFmtId="0" xfId="0" applyAlignment="1" applyFont="1">
      <alignment readingOrder="0" shrinkToFit="0" vertical="center" wrapText="1"/>
    </xf>
    <xf borderId="0" fillId="5" fontId="8" numFmtId="0" xfId="0" applyAlignment="1" applyFont="1">
      <alignment readingOrder="0" shrinkToFit="0" vertical="center" wrapText="1"/>
    </xf>
    <xf borderId="0" fillId="23" fontId="5" numFmtId="0" xfId="0" applyAlignment="1" applyFont="1">
      <alignment horizontal="left" readingOrder="0" vertical="center"/>
    </xf>
    <xf borderId="8" fillId="2" fontId="10" numFmtId="49" xfId="0" applyAlignment="1" applyBorder="1" applyFont="1" applyNumberFormat="1">
      <alignment horizontal="center" vertical="center"/>
    </xf>
    <xf borderId="8" fillId="2" fontId="10" numFmtId="0" xfId="0" applyAlignment="1" applyBorder="1" applyFont="1">
      <alignment horizontal="center" vertical="center"/>
    </xf>
    <xf borderId="0" fillId="21" fontId="6" numFmtId="0" xfId="0" applyAlignment="1" applyFont="1">
      <alignment readingOrder="0"/>
    </xf>
    <xf borderId="0" fillId="23" fontId="6" numFmtId="0" xfId="0" applyAlignment="1" applyFont="1">
      <alignment readingOrder="0" vertical="center"/>
    </xf>
    <xf borderId="0" fillId="5" fontId="9" numFmtId="166" xfId="0" applyAlignment="1" applyFont="1" applyNumberFormat="1">
      <alignment horizontal="center" readingOrder="0" vertical="center"/>
    </xf>
    <xf borderId="0" fillId="5" fontId="8" numFmtId="0" xfId="0" applyAlignment="1" applyFont="1">
      <alignment horizontal="center" readingOrder="0" vertical="center"/>
    </xf>
    <xf borderId="0" fillId="5" fontId="8" numFmtId="0" xfId="0" applyAlignment="1" applyFont="1">
      <alignment horizontal="center" readingOrder="0" shrinkToFit="0" vertical="center" wrapText="1"/>
    </xf>
    <xf borderId="0" fillId="5" fontId="69" numFmtId="0" xfId="0" applyAlignment="1" applyFont="1">
      <alignment horizontal="center" shrinkToFit="0" vertical="center" wrapText="1"/>
    </xf>
    <xf borderId="0" fillId="5" fontId="9" numFmtId="166" xfId="0" applyAlignment="1" applyFont="1" applyNumberFormat="1">
      <alignment horizontal="center" vertical="center"/>
    </xf>
    <xf borderId="0" fillId="5" fontId="8" numFmtId="0" xfId="0" applyAlignment="1" applyFont="1">
      <alignment horizontal="left" readingOrder="0" vertical="center"/>
    </xf>
    <xf borderId="2" fillId="2" fontId="69" numFmtId="0" xfId="0" applyAlignment="1" applyBorder="1" applyFont="1">
      <alignment horizontal="center" readingOrder="0" shrinkToFit="0" vertical="center" wrapText="1"/>
    </xf>
    <xf borderId="2" fillId="2" fontId="8" numFmtId="166" xfId="0" applyAlignment="1" applyBorder="1" applyFont="1" applyNumberFormat="1">
      <alignment horizontal="center" readingOrder="0" vertical="center"/>
    </xf>
    <xf borderId="2" fillId="20" fontId="8" numFmtId="0" xfId="0" applyAlignment="1" applyBorder="1" applyFont="1">
      <alignment horizontal="left" readingOrder="0" vertical="center"/>
    </xf>
    <xf borderId="2" fillId="23" fontId="8" numFmtId="0" xfId="0" applyAlignment="1" applyBorder="1" applyFont="1">
      <alignment horizontal="left" readingOrder="0" vertical="center"/>
    </xf>
    <xf borderId="2" fillId="2" fontId="9" numFmtId="166" xfId="0" applyAlignment="1" applyBorder="1" applyFont="1" applyNumberFormat="1">
      <alignment horizontal="center" vertical="center"/>
    </xf>
    <xf borderId="2" fillId="2" fontId="9" numFmtId="166" xfId="0" applyAlignment="1" applyBorder="1" applyFont="1" applyNumberFormat="1">
      <alignment vertical="center"/>
    </xf>
    <xf borderId="2" fillId="2" fontId="8" numFmtId="0" xfId="0" applyAlignment="1" applyBorder="1" applyFont="1">
      <alignment shrinkToFit="0" vertical="center" wrapText="1"/>
    </xf>
    <xf borderId="0" fillId="20" fontId="6" numFmtId="0" xfId="0" applyAlignment="1" applyFont="1">
      <alignment readingOrder="0" shrinkToFit="0" vertical="center" wrapText="1"/>
    </xf>
    <xf borderId="2" fillId="23" fontId="8" numFmtId="0" xfId="0" applyAlignment="1" applyBorder="1" applyFont="1">
      <alignment readingOrder="0" shrinkToFit="0" vertical="center" wrapText="1"/>
    </xf>
    <xf borderId="18" fillId="0" fontId="10" numFmtId="166" xfId="0" applyAlignment="1" applyBorder="1" applyFont="1" applyNumberFormat="1">
      <alignment vertical="center"/>
    </xf>
    <xf borderId="2" fillId="0" fontId="6" numFmtId="0" xfId="0" applyAlignment="1" applyBorder="1" applyFont="1">
      <alignment shrinkToFit="0" vertical="center" wrapText="1"/>
    </xf>
    <xf borderId="0" fillId="2" fontId="8" numFmtId="0" xfId="0" applyAlignment="1" applyFont="1">
      <alignment readingOrder="0" shrinkToFit="0" vertical="center" wrapText="1"/>
    </xf>
    <xf borderId="28" fillId="2" fontId="10" numFmtId="166" xfId="0" applyAlignment="1" applyBorder="1" applyFont="1" applyNumberFormat="1">
      <alignment horizontal="center" readingOrder="0" vertical="center"/>
    </xf>
    <xf borderId="29" fillId="2" fontId="8" numFmtId="0" xfId="0" applyAlignment="1" applyBorder="1" applyFont="1">
      <alignment horizontal="center" readingOrder="0" shrinkToFit="0" vertical="center" wrapText="1"/>
    </xf>
    <xf borderId="2" fillId="2" fontId="9" numFmtId="0" xfId="0" applyAlignment="1" applyBorder="1" applyFont="1">
      <alignment horizontal="left" readingOrder="0" shrinkToFit="0" vertical="center" wrapText="1"/>
    </xf>
    <xf borderId="2" fillId="2" fontId="8" numFmtId="0" xfId="0" applyAlignment="1" applyBorder="1" applyFont="1">
      <alignment horizontal="center" shrinkToFit="0" vertical="center" wrapText="1"/>
    </xf>
    <xf borderId="2" fillId="2" fontId="9" numFmtId="0" xfId="0" applyAlignment="1" applyBorder="1" applyFont="1">
      <alignment horizontal="left" readingOrder="0" shrinkToFit="0" vertical="center" wrapText="1"/>
    </xf>
    <xf borderId="2" fillId="2" fontId="69" numFmtId="0" xfId="0" applyAlignment="1" applyBorder="1" applyFont="1">
      <alignment horizontal="center" readingOrder="0" vertical="center"/>
    </xf>
    <xf borderId="2" fillId="0" fontId="6" numFmtId="0" xfId="0" applyAlignment="1" applyBorder="1" applyFont="1">
      <alignment horizontal="center" readingOrder="0" shrinkToFit="0" vertical="center" wrapText="1"/>
    </xf>
    <xf borderId="2" fillId="0" fontId="10" numFmtId="166" xfId="0" applyAlignment="1" applyBorder="1" applyFont="1" applyNumberFormat="1">
      <alignment vertical="center"/>
    </xf>
    <xf borderId="2" fillId="2" fontId="10" numFmtId="0" xfId="0" applyAlignment="1" applyBorder="1" applyFont="1">
      <alignment vertical="center"/>
    </xf>
    <xf borderId="2" fillId="2" fontId="10" numFmtId="0" xfId="0" applyAlignment="1" applyBorder="1" applyFont="1">
      <alignment vertical="center"/>
    </xf>
    <xf borderId="18" fillId="2" fontId="5" numFmtId="166" xfId="0" applyAlignment="1" applyBorder="1" applyFont="1" applyNumberFormat="1">
      <alignment horizontal="center" readingOrder="0" vertical="center"/>
    </xf>
    <xf borderId="2" fillId="18" fontId="5" numFmtId="0" xfId="0" applyAlignment="1" applyBorder="1" applyFont="1">
      <alignment horizontal="center" readingOrder="0" vertical="center"/>
    </xf>
    <xf borderId="0" fillId="2" fontId="9" numFmtId="166" xfId="0" applyAlignment="1" applyFont="1" applyNumberFormat="1">
      <alignment horizontal="center" vertical="center"/>
    </xf>
    <xf borderId="0" fillId="2" fontId="8" numFmtId="0" xfId="0" applyAlignment="1" applyFont="1">
      <alignment horizontal="center" readingOrder="0" vertical="center"/>
    </xf>
    <xf borderId="0" fillId="2" fontId="8" numFmtId="0" xfId="0" applyAlignment="1" applyFont="1">
      <alignment horizontal="center" readingOrder="0" shrinkToFit="0" vertical="center" wrapText="1"/>
    </xf>
    <xf borderId="0" fillId="2" fontId="69" numFmtId="0" xfId="0" applyAlignment="1" applyFont="1">
      <alignment horizontal="center" readingOrder="0" shrinkToFit="0" vertical="center" wrapText="1"/>
    </xf>
    <xf borderId="2" fillId="8" fontId="69" numFmtId="0" xfId="0" applyAlignment="1" applyBorder="1" applyFont="1">
      <alignment horizontal="center" readingOrder="0" shrinkToFit="0" vertical="center" wrapText="1"/>
    </xf>
    <xf borderId="2" fillId="2" fontId="6" numFmtId="0" xfId="0" applyAlignment="1" applyBorder="1" applyFont="1">
      <alignment shrinkToFit="0" vertical="center" wrapText="1"/>
    </xf>
    <xf borderId="18" fillId="2" fontId="5" numFmtId="0" xfId="0" applyAlignment="1" applyBorder="1" applyFont="1">
      <alignment horizontal="center" readingOrder="0" vertical="center"/>
    </xf>
    <xf borderId="2" fillId="2" fontId="52" numFmtId="0" xfId="0" applyAlignment="1" applyBorder="1" applyFont="1">
      <alignment horizontal="center" readingOrder="0" shrinkToFit="0" vertical="center" wrapText="1"/>
    </xf>
    <xf borderId="0" fillId="2" fontId="69" numFmtId="166" xfId="0" applyAlignment="1" applyFont="1" applyNumberFormat="1">
      <alignment horizontal="center" readingOrder="0" vertical="center"/>
    </xf>
    <xf borderId="0" fillId="2" fontId="69" numFmtId="0" xfId="0" applyAlignment="1" applyFont="1">
      <alignment horizontal="center" readingOrder="0" vertical="center"/>
    </xf>
    <xf borderId="0" fillId="2" fontId="9" numFmtId="0" xfId="0" applyAlignment="1" applyFont="1">
      <alignment horizontal="center" readingOrder="0" vertical="center"/>
    </xf>
    <xf borderId="0" fillId="2" fontId="9" numFmtId="0" xfId="0" applyAlignment="1" applyFont="1">
      <alignment horizontal="center" readingOrder="0" shrinkToFit="0" vertical="center" wrapText="1"/>
    </xf>
    <xf borderId="2" fillId="2" fontId="8" numFmtId="166" xfId="0" applyAlignment="1" applyBorder="1" applyFont="1" applyNumberFormat="1">
      <alignment horizontal="center" readingOrder="0" vertical="center"/>
    </xf>
    <xf borderId="2" fillId="2" fontId="8" numFmtId="167" xfId="0" applyAlignment="1" applyBorder="1" applyFont="1" applyNumberFormat="1">
      <alignment horizontal="center" shrinkToFit="0" vertical="center" wrapText="1"/>
    </xf>
    <xf borderId="2" fillId="2" fontId="8" numFmtId="49" xfId="0" applyAlignment="1" applyBorder="1" applyFont="1" applyNumberFormat="1">
      <alignment horizontal="center" readingOrder="0" shrinkToFit="0" vertical="center" wrapText="1"/>
    </xf>
    <xf borderId="19" fillId="2" fontId="9" numFmtId="0" xfId="0" applyAlignment="1" applyBorder="1" applyFont="1">
      <alignment horizontal="center" readingOrder="0" shrinkToFit="0" vertical="center" wrapText="1"/>
    </xf>
    <xf borderId="7" fillId="2" fontId="9" numFmtId="166" xfId="0" applyAlignment="1" applyBorder="1" applyFont="1" applyNumberFormat="1">
      <alignment horizontal="center" readingOrder="0" shrinkToFit="0" vertical="center" wrapText="1"/>
    </xf>
    <xf borderId="19" fillId="2" fontId="9" numFmtId="166" xfId="0" applyAlignment="1" applyBorder="1" applyFont="1" applyNumberFormat="1">
      <alignment horizontal="center" readingOrder="0" shrinkToFit="0" vertical="center" wrapText="1"/>
    </xf>
    <xf borderId="18" fillId="0" fontId="10" numFmtId="49" xfId="0" applyAlignment="1" applyBorder="1" applyFont="1" applyNumberFormat="1">
      <alignment horizontal="center" shrinkToFit="0" vertical="center" wrapText="1"/>
    </xf>
    <xf borderId="2" fillId="0" fontId="6" numFmtId="0" xfId="0" applyAlignment="1" applyBorder="1" applyFont="1">
      <alignment readingOrder="0" vertical="center"/>
    </xf>
    <xf borderId="2" fillId="2" fontId="5" numFmtId="169" xfId="0" applyAlignment="1" applyBorder="1" applyFont="1" applyNumberFormat="1">
      <alignment horizontal="center" readingOrder="0" vertical="center"/>
    </xf>
    <xf borderId="2" fillId="2" fontId="69" numFmtId="0" xfId="0" applyAlignment="1" applyBorder="1" applyFont="1">
      <alignment horizontal="center" readingOrder="0" shrinkToFit="0" vertical="center" wrapText="1"/>
    </xf>
    <xf borderId="2" fillId="2" fontId="8" numFmtId="166" xfId="0" applyAlignment="1" applyBorder="1" applyFont="1" applyNumberFormat="1">
      <alignment horizontal="center" readingOrder="0" shrinkToFit="0" vertical="center" wrapText="1"/>
    </xf>
    <xf borderId="2" fillId="2" fontId="10" numFmtId="167" xfId="0" applyAlignment="1" applyBorder="1" applyFont="1" applyNumberFormat="1">
      <alignment horizontal="center" vertical="center"/>
    </xf>
    <xf borderId="3" fillId="2" fontId="10" numFmtId="167" xfId="0" applyAlignment="1" applyBorder="1" applyFont="1" applyNumberFormat="1">
      <alignment horizontal="center" vertical="center"/>
    </xf>
    <xf borderId="2" fillId="20" fontId="8" numFmtId="0" xfId="0" applyAlignment="1" applyBorder="1" applyFont="1">
      <alignment readingOrder="0" shrinkToFit="0" vertical="center" wrapText="1"/>
    </xf>
    <xf borderId="0" fillId="0" fontId="6" numFmtId="166" xfId="0" applyAlignment="1" applyFont="1" applyNumberFormat="1">
      <alignment vertical="center"/>
    </xf>
    <xf borderId="0" fillId="2" fontId="8" numFmtId="166" xfId="0" applyAlignment="1" applyFont="1" applyNumberFormat="1">
      <alignment horizontal="center" vertical="center"/>
    </xf>
    <xf borderId="0" fillId="2" fontId="8" numFmtId="166" xfId="0" applyAlignment="1" applyFont="1" applyNumberFormat="1">
      <alignment vertical="center"/>
    </xf>
    <xf borderId="17" fillId="2" fontId="10" numFmtId="0" xfId="0" applyAlignment="1" applyBorder="1" applyFont="1">
      <alignment vertical="center"/>
    </xf>
    <xf borderId="17" fillId="2" fontId="10" numFmtId="0" xfId="0" applyAlignment="1" applyBorder="1" applyFont="1">
      <alignment shrinkToFit="0" vertical="center" wrapText="1"/>
    </xf>
    <xf borderId="2" fillId="2" fontId="9" numFmtId="49" xfId="0" applyAlignment="1" applyBorder="1" applyFont="1" applyNumberFormat="1">
      <alignment horizontal="center" readingOrder="0" vertical="center"/>
    </xf>
    <xf borderId="2" fillId="2" fontId="9" numFmtId="49" xfId="0" applyAlignment="1" applyBorder="1" applyFont="1" applyNumberFormat="1">
      <alignment horizontal="center" readingOrder="0" shrinkToFit="0" vertical="center" wrapText="1"/>
    </xf>
    <xf borderId="2" fillId="2" fontId="8" numFmtId="0" xfId="0" applyAlignment="1" applyBorder="1" applyFont="1">
      <alignment readingOrder="0" vertical="center"/>
    </xf>
    <xf borderId="18" fillId="2" fontId="10" numFmtId="0" xfId="0" applyAlignment="1" applyBorder="1" applyFont="1">
      <alignment vertical="center"/>
    </xf>
    <xf borderId="2" fillId="21" fontId="8" numFmtId="0" xfId="0" applyAlignment="1" applyBorder="1" applyFont="1">
      <alignment horizontal="left" readingOrder="0" shrinkToFit="0" vertical="center" wrapText="1"/>
    </xf>
    <xf borderId="0" fillId="23" fontId="5" numFmtId="0" xfId="0" applyAlignment="1" applyFont="1">
      <alignment horizontal="left" readingOrder="0" vertical="center"/>
    </xf>
    <xf borderId="2" fillId="21" fontId="8" numFmtId="0" xfId="0" applyAlignment="1" applyBorder="1" applyFont="1">
      <alignment readingOrder="0" shrinkToFit="0" vertical="center" wrapText="1"/>
    </xf>
    <xf borderId="2" fillId="23" fontId="8" numFmtId="0" xfId="0" applyAlignment="1" applyBorder="1" applyFont="1">
      <alignment horizontal="left" readingOrder="0" shrinkToFit="0" vertical="center" wrapText="1"/>
    </xf>
    <xf borderId="5" fillId="0" fontId="6" numFmtId="0" xfId="0" applyAlignment="1" applyBorder="1" applyFont="1">
      <alignment readingOrder="0" vertical="center"/>
    </xf>
    <xf borderId="0" fillId="2" fontId="5" numFmtId="0" xfId="0" applyAlignment="1" applyFont="1">
      <alignment horizontal="left" readingOrder="0" vertical="center"/>
    </xf>
    <xf borderId="8" fillId="2" fontId="9" numFmtId="0" xfId="0" applyAlignment="1" applyBorder="1" applyFont="1">
      <alignment horizontal="center" readingOrder="0" shrinkToFit="0" vertical="center" wrapText="1"/>
    </xf>
    <xf borderId="2" fillId="20" fontId="8" numFmtId="0" xfId="0" applyAlignment="1" applyBorder="1" applyFont="1">
      <alignment readingOrder="0" vertical="center"/>
    </xf>
    <xf borderId="0" fillId="21" fontId="5" numFmtId="0" xfId="0" applyAlignment="1" applyFont="1">
      <alignment horizontal="left" readingOrder="0" vertical="center"/>
    </xf>
    <xf borderId="0" fillId="5" fontId="8" numFmtId="0" xfId="0" applyAlignment="1" applyFont="1">
      <alignment horizontal="center" vertical="center"/>
    </xf>
    <xf borderId="8" fillId="2" fontId="10" numFmtId="166" xfId="0" applyAlignment="1" applyBorder="1" applyFont="1" applyNumberFormat="1">
      <alignment vertical="center"/>
    </xf>
    <xf borderId="21" fillId="2" fontId="5" numFmtId="0" xfId="0" applyAlignment="1" applyBorder="1" applyFont="1">
      <alignment horizontal="center" readingOrder="0" vertical="center"/>
    </xf>
    <xf borderId="8" fillId="2" fontId="10" numFmtId="0" xfId="0" applyAlignment="1" applyBorder="1" applyFont="1">
      <alignment vertical="center"/>
    </xf>
    <xf borderId="8" fillId="0" fontId="10" numFmtId="0" xfId="0" applyAlignment="1" applyBorder="1" applyFont="1">
      <alignment horizontal="center" vertical="center"/>
    </xf>
    <xf borderId="2" fillId="0" fontId="6" numFmtId="0" xfId="0" applyAlignment="1" applyBorder="1" applyFont="1">
      <alignment vertical="center"/>
    </xf>
    <xf borderId="17" fillId="2" fontId="5" numFmtId="0" xfId="0" applyAlignment="1" applyBorder="1" applyFont="1">
      <alignment horizontal="center" readingOrder="0"/>
    </xf>
    <xf borderId="8" fillId="2" fontId="5" numFmtId="0" xfId="0" applyAlignment="1" applyBorder="1" applyFont="1">
      <alignment horizontal="center" readingOrder="0" vertical="center"/>
    </xf>
    <xf borderId="8" fillId="2" fontId="5" numFmtId="166" xfId="0" applyAlignment="1" applyBorder="1" applyFont="1" applyNumberFormat="1">
      <alignment horizontal="center" readingOrder="0" vertical="center"/>
    </xf>
    <xf borderId="2" fillId="0" fontId="6" numFmtId="166" xfId="0" applyAlignment="1" applyBorder="1" applyFont="1" applyNumberFormat="1">
      <alignment vertical="center"/>
    </xf>
    <xf borderId="2" fillId="2" fontId="70" numFmtId="0" xfId="0" applyAlignment="1" applyBorder="1" applyFont="1">
      <alignment horizontal="center" readingOrder="0" shrinkToFit="0" vertical="center" wrapText="1"/>
    </xf>
    <xf borderId="2" fillId="2" fontId="10" numFmtId="0" xfId="0" applyAlignment="1" applyBorder="1" applyFont="1">
      <alignment horizontal="center" shrinkToFit="0" vertical="center" wrapText="1"/>
    </xf>
    <xf borderId="2" fillId="0" fontId="8" numFmtId="0" xfId="0" applyAlignment="1" applyBorder="1" applyFont="1">
      <alignment shrinkToFit="0" vertical="center" wrapText="1"/>
    </xf>
    <xf borderId="2" fillId="0" fontId="9" numFmtId="166" xfId="0" applyAlignment="1" applyBorder="1" applyFont="1" applyNumberFormat="1">
      <alignment horizontal="center" readingOrder="0" vertical="center"/>
    </xf>
    <xf borderId="2" fillId="2" fontId="69" numFmtId="0" xfId="0" applyAlignment="1" applyBorder="1" applyFont="1">
      <alignment horizontal="left" readingOrder="0" shrinkToFit="0" vertical="center" wrapText="1"/>
    </xf>
    <xf borderId="8" fillId="2" fontId="10" numFmtId="166" xfId="0" applyAlignment="1" applyBorder="1" applyFont="1" applyNumberFormat="1">
      <alignment horizontal="center" readingOrder="0" vertical="top"/>
    </xf>
    <xf borderId="2" fillId="2" fontId="8" numFmtId="0" xfId="0" applyAlignment="1" applyBorder="1" applyFont="1">
      <alignment horizontal="center" readingOrder="0" vertical="center"/>
    </xf>
    <xf borderId="18" fillId="2" fontId="10" numFmtId="49" xfId="0" applyAlignment="1" applyBorder="1" applyFont="1" applyNumberFormat="1">
      <alignment horizontal="center" readingOrder="0" shrinkToFit="0" vertical="center" wrapText="1"/>
    </xf>
    <xf borderId="2" fillId="0" fontId="6" numFmtId="168" xfId="0" applyAlignment="1" applyBorder="1" applyFont="1" applyNumberFormat="1">
      <alignment horizontal="center" readingOrder="0" vertical="top"/>
    </xf>
    <xf borderId="2" fillId="5" fontId="6" numFmtId="0" xfId="0" applyAlignment="1" applyBorder="1" applyFont="1">
      <alignment horizontal="left" readingOrder="0" shrinkToFit="0" vertical="center" wrapText="1"/>
    </xf>
    <xf borderId="0" fillId="0" fontId="9" numFmtId="0" xfId="0" applyAlignment="1" applyFont="1">
      <alignment horizontal="center" vertical="center"/>
    </xf>
    <xf borderId="0" fillId="2" fontId="8" numFmtId="0" xfId="0" applyAlignment="1" applyFont="1">
      <alignment horizontal="center" shrinkToFit="0" vertical="center" wrapText="1"/>
    </xf>
    <xf borderId="0" fillId="0" fontId="8" numFmtId="0" xfId="0" applyAlignment="1" applyFont="1">
      <alignment shrinkToFit="0" vertical="center" wrapText="1"/>
    </xf>
    <xf borderId="0" fillId="0" fontId="9" numFmtId="166" xfId="0" applyAlignment="1" applyFont="1" applyNumberFormat="1">
      <alignment horizontal="center" vertical="center"/>
    </xf>
    <xf borderId="8" fillId="0" fontId="10" numFmtId="0" xfId="0" applyAlignment="1" applyBorder="1" applyFont="1">
      <alignment horizontal="center" shrinkToFit="0" vertical="center" wrapText="1"/>
    </xf>
    <xf borderId="2" fillId="0" fontId="8" numFmtId="0" xfId="0" applyAlignment="1" applyBorder="1" applyFont="1">
      <alignment horizontal="center" shrinkToFit="0" vertical="center" wrapText="1"/>
    </xf>
    <xf borderId="6" fillId="2" fontId="63" numFmtId="0" xfId="0" applyAlignment="1" applyBorder="1" applyFont="1">
      <alignment horizontal="center" readingOrder="0" vertical="center"/>
    </xf>
    <xf borderId="2" fillId="21" fontId="8" numFmtId="0" xfId="0" applyAlignment="1" applyBorder="1" applyFont="1">
      <alignment readingOrder="0" vertical="center"/>
    </xf>
    <xf borderId="2" fillId="2" fontId="63" numFmtId="0" xfId="0" applyAlignment="1" applyBorder="1" applyFont="1">
      <alignment horizontal="center" readingOrder="0" vertical="center"/>
    </xf>
    <xf borderId="0" fillId="0" fontId="8" numFmtId="0" xfId="0" applyAlignment="1" applyFont="1">
      <alignment horizontal="center" vertical="center"/>
    </xf>
    <xf borderId="0" fillId="0" fontId="8" numFmtId="0" xfId="0" applyAlignment="1" applyFont="1">
      <alignment horizontal="center" shrinkToFit="0" vertical="center" wrapText="1"/>
    </xf>
    <xf borderId="0" fillId="2" fontId="11" numFmtId="166" xfId="0" applyAlignment="1" applyFont="1" applyNumberFormat="1">
      <alignment horizontal="center" vertical="center"/>
    </xf>
    <xf borderId="0" fillId="2" fontId="11" numFmtId="166" xfId="0" applyAlignment="1" applyFont="1" applyNumberFormat="1">
      <alignment vertical="center"/>
    </xf>
    <xf borderId="2" fillId="18" fontId="8" numFmtId="166" xfId="0" applyAlignment="1" applyBorder="1" applyFont="1" applyNumberFormat="1">
      <alignment horizontal="center" readingOrder="0" vertical="center"/>
    </xf>
    <xf borderId="8" fillId="2" fontId="10" numFmtId="0" xfId="0" applyAlignment="1" applyBorder="1" applyFont="1">
      <alignment vertical="center"/>
    </xf>
    <xf borderId="8" fillId="2" fontId="10" numFmtId="0" xfId="0" applyAlignment="1" applyBorder="1" applyFont="1">
      <alignment vertical="center"/>
    </xf>
    <xf borderId="8" fillId="23" fontId="10" numFmtId="0" xfId="0" applyAlignment="1" applyBorder="1" applyFont="1">
      <alignment readingOrder="0" vertical="center"/>
    </xf>
    <xf borderId="0" fillId="2" fontId="10" numFmtId="0" xfId="0" applyAlignment="1" applyFont="1">
      <alignment vertical="center"/>
    </xf>
    <xf borderId="18" fillId="0" fontId="10" numFmtId="0" xfId="0" applyAlignment="1" applyBorder="1" applyFont="1">
      <alignment horizontal="center" readingOrder="0" vertical="center"/>
    </xf>
    <xf borderId="18" fillId="2" fontId="10" numFmtId="0" xfId="0" applyAlignment="1" applyBorder="1" applyFont="1">
      <alignment vertical="center"/>
    </xf>
    <xf borderId="18" fillId="2" fontId="10" numFmtId="0" xfId="0" applyAlignment="1" applyBorder="1" applyFont="1">
      <alignment vertical="center"/>
    </xf>
    <xf borderId="2" fillId="28" fontId="8" numFmtId="0" xfId="0" applyAlignment="1" applyBorder="1" applyFill="1" applyFont="1">
      <alignment readingOrder="0" vertical="center"/>
    </xf>
    <xf borderId="0" fillId="20" fontId="10" numFmtId="0" xfId="0" applyAlignment="1" applyFont="1">
      <alignment readingOrder="0" vertical="center"/>
    </xf>
    <xf borderId="0" fillId="21" fontId="10" numFmtId="0" xfId="0" applyAlignment="1" applyFont="1">
      <alignment readingOrder="0" vertical="center"/>
    </xf>
    <xf borderId="8" fillId="0" fontId="8" numFmtId="0" xfId="0" applyAlignment="1" applyBorder="1" applyFont="1">
      <alignment readingOrder="0" shrinkToFit="0" vertical="center" wrapText="1"/>
    </xf>
    <xf borderId="2" fillId="2" fontId="22" numFmtId="0" xfId="0" applyAlignment="1" applyBorder="1" applyFont="1">
      <alignment horizontal="center" readingOrder="0" vertical="center"/>
    </xf>
    <xf borderId="0" fillId="29" fontId="8" numFmtId="0" xfId="0" applyAlignment="1" applyFill="1" applyFont="1">
      <alignment readingOrder="0" shrinkToFit="0" vertical="center" wrapText="1"/>
    </xf>
    <xf borderId="0" fillId="2" fontId="8" numFmtId="0" xfId="0" applyAlignment="1" applyFont="1">
      <alignment readingOrder="0" shrinkToFit="0" vertical="center" wrapText="1"/>
    </xf>
    <xf borderId="18" fillId="2" fontId="9" numFmtId="0" xfId="0" applyAlignment="1" applyBorder="1" applyFont="1">
      <alignment horizontal="center" readingOrder="0" vertical="center"/>
    </xf>
    <xf borderId="18" fillId="2" fontId="9" numFmtId="166" xfId="0" applyAlignment="1" applyBorder="1" applyFont="1" applyNumberFormat="1">
      <alignment horizontal="center" readingOrder="0" vertical="center"/>
    </xf>
    <xf borderId="2" fillId="2" fontId="22" numFmtId="0" xfId="0" applyAlignment="1" applyBorder="1" applyFont="1">
      <alignment horizontal="center" readingOrder="0" shrinkToFit="0" vertical="center" wrapText="1"/>
    </xf>
    <xf borderId="0" fillId="2" fontId="10" numFmtId="0" xfId="0" applyAlignment="1" applyFont="1">
      <alignment readingOrder="0" vertical="center"/>
    </xf>
    <xf borderId="18" fillId="2" fontId="10" numFmtId="166" xfId="0" applyAlignment="1" applyBorder="1" applyFont="1" applyNumberFormat="1">
      <alignment horizontal="center" readingOrder="0" vertical="center"/>
    </xf>
    <xf borderId="22" fillId="2" fontId="10" numFmtId="0" xfId="0" applyAlignment="1" applyBorder="1" applyFont="1">
      <alignment horizontal="center" readingOrder="0" vertical="center"/>
    </xf>
    <xf borderId="22" fillId="2" fontId="8" numFmtId="0" xfId="0" applyAlignment="1" applyBorder="1" applyFont="1">
      <alignment horizontal="center" readingOrder="0" vertical="center"/>
    </xf>
    <xf borderId="22" fillId="2" fontId="10" numFmtId="166" xfId="0" applyAlignment="1" applyBorder="1" applyFont="1" applyNumberFormat="1">
      <alignment horizontal="center" readingOrder="0" vertical="center"/>
    </xf>
    <xf borderId="22" fillId="2" fontId="10" numFmtId="166" xfId="0" applyAlignment="1" applyBorder="1" applyFont="1" applyNumberFormat="1">
      <alignment vertical="center"/>
    </xf>
    <xf borderId="22" fillId="2" fontId="10" numFmtId="0" xfId="0" applyAlignment="1" applyBorder="1" applyFont="1">
      <alignment horizontal="center" shrinkToFit="0" vertical="center" wrapText="1"/>
    </xf>
    <xf borderId="22" fillId="2" fontId="10" numFmtId="0" xfId="0" applyAlignment="1" applyBorder="1" applyFont="1">
      <alignment vertical="center"/>
    </xf>
    <xf borderId="22" fillId="2" fontId="10" numFmtId="166" xfId="0" applyAlignment="1" applyBorder="1" applyFont="1" applyNumberFormat="1">
      <alignment horizontal="center" readingOrder="0" vertical="center"/>
    </xf>
    <xf borderId="22" fillId="2" fontId="10" numFmtId="0" xfId="0" applyAlignment="1" applyBorder="1" applyFont="1">
      <alignment vertical="center"/>
    </xf>
    <xf borderId="22" fillId="2" fontId="10" numFmtId="0" xfId="0" applyAlignment="1" applyBorder="1" applyFont="1">
      <alignment readingOrder="0" vertical="center"/>
    </xf>
    <xf borderId="22" fillId="2" fontId="8" numFmtId="0" xfId="0" applyAlignment="1" applyBorder="1" applyFont="1">
      <alignment readingOrder="0" shrinkToFit="0" vertical="center" wrapText="1"/>
    </xf>
    <xf borderId="22" fillId="2" fontId="8" numFmtId="0" xfId="0" applyAlignment="1" applyBorder="1" applyFont="1">
      <alignment readingOrder="0" shrinkToFit="0" vertical="center" wrapText="1"/>
    </xf>
    <xf borderId="17" fillId="0" fontId="10" numFmtId="0" xfId="0" applyAlignment="1" applyBorder="1" applyFont="1">
      <alignment vertical="center"/>
    </xf>
    <xf borderId="17" fillId="2" fontId="10" numFmtId="166" xfId="0" applyAlignment="1" applyBorder="1" applyFont="1" applyNumberFormat="1">
      <alignment vertical="center"/>
    </xf>
    <xf borderId="17" fillId="2" fontId="10" numFmtId="166" xfId="0" applyAlignment="1" applyBorder="1" applyFont="1" applyNumberFormat="1">
      <alignment horizontal="center" vertical="center"/>
    </xf>
    <xf borderId="17" fillId="0" fontId="10" numFmtId="166" xfId="0" applyAlignment="1" applyBorder="1" applyFont="1" applyNumberFormat="1">
      <alignment vertical="center"/>
    </xf>
    <xf borderId="17" fillId="0" fontId="10" numFmtId="0" xfId="0" applyAlignment="1" applyBorder="1" applyFont="1">
      <alignment vertical="center"/>
    </xf>
    <xf borderId="17" fillId="2" fontId="10" numFmtId="0" xfId="0" applyAlignment="1" applyBorder="1" applyFont="1">
      <alignment vertical="center"/>
    </xf>
    <xf borderId="1" fillId="0" fontId="6" numFmtId="0" xfId="0" applyAlignment="1" applyBorder="1" applyFont="1">
      <alignment horizontal="center" readingOrder="0" vertical="center"/>
    </xf>
    <xf borderId="18" fillId="2" fontId="10" numFmtId="49" xfId="0" applyAlignment="1" applyBorder="1" applyFont="1" applyNumberFormat="1">
      <alignment horizontal="center" readingOrder="0" vertical="center"/>
    </xf>
    <xf borderId="2" fillId="0" fontId="6" numFmtId="166" xfId="0" applyAlignment="1" applyBorder="1" applyFont="1" applyNumberFormat="1">
      <alignment horizontal="center" readingOrder="0" vertical="center"/>
    </xf>
    <xf borderId="2" fillId="8" fontId="9" numFmtId="166" xfId="0" applyAlignment="1" applyBorder="1" applyFont="1" applyNumberFormat="1">
      <alignment horizontal="center" readingOrder="0" vertical="center"/>
    </xf>
    <xf borderId="2" fillId="8" fontId="10" numFmtId="49" xfId="0" applyAlignment="1" applyBorder="1" applyFont="1" applyNumberFormat="1">
      <alignment horizontal="center" readingOrder="0" vertical="center"/>
    </xf>
    <xf borderId="2" fillId="8" fontId="10" numFmtId="0" xfId="0" applyAlignment="1" applyBorder="1" applyFont="1">
      <alignment horizontal="center" readingOrder="0" shrinkToFit="0" vertical="center" wrapText="1"/>
    </xf>
    <xf borderId="0" fillId="2" fontId="10" numFmtId="0" xfId="0" applyAlignment="1" applyFont="1">
      <alignment vertical="center"/>
    </xf>
    <xf borderId="0" fillId="2" fontId="10" numFmtId="0" xfId="0" applyAlignment="1" applyFont="1">
      <alignment vertical="center"/>
    </xf>
    <xf borderId="0" fillId="2" fontId="10" numFmtId="166" xfId="0" applyAlignment="1" applyFont="1" applyNumberFormat="1">
      <alignment horizontal="center" vertical="center"/>
    </xf>
    <xf borderId="0" fillId="2" fontId="10" numFmtId="166" xfId="0" applyAlignment="1" applyFont="1" applyNumberFormat="1">
      <alignment vertical="center"/>
    </xf>
    <xf borderId="0" fillId="2" fontId="10" numFmtId="166" xfId="0" applyAlignment="1" applyFont="1" applyNumberFormat="1">
      <alignment vertical="center"/>
    </xf>
    <xf borderId="0" fillId="2" fontId="10" numFmtId="0" xfId="0" applyAlignment="1" applyFont="1">
      <alignment vertical="center"/>
    </xf>
    <xf borderId="0" fillId="2" fontId="10" numFmtId="166" xfId="0" applyAlignment="1" applyFont="1" applyNumberFormat="1">
      <alignment horizontal="center" readingOrder="0" vertical="center"/>
    </xf>
    <xf borderId="0" fillId="2" fontId="10" numFmtId="0" xfId="0" applyAlignment="1" applyFont="1">
      <alignment horizontal="center" shrinkToFit="0" vertical="center" wrapText="1"/>
    </xf>
    <xf borderId="0" fillId="2" fontId="10" numFmtId="0" xfId="0" applyAlignment="1" applyFont="1">
      <alignment vertical="center"/>
    </xf>
    <xf borderId="0" fillId="2" fontId="10" numFmtId="0" xfId="0" applyAlignment="1" applyFont="1">
      <alignment readingOrder="0" vertical="center"/>
    </xf>
    <xf borderId="2" fillId="2" fontId="10" numFmtId="166" xfId="0" applyBorder="1" applyFont="1" applyNumberFormat="1"/>
    <xf borderId="2" fillId="2" fontId="10" numFmtId="0" xfId="0" applyBorder="1" applyFont="1"/>
    <xf borderId="2" fillId="2" fontId="10" numFmtId="166" xfId="0" applyAlignment="1" applyBorder="1" applyFont="1" applyNumberFormat="1">
      <alignment horizontal="center"/>
    </xf>
    <xf borderId="2" fillId="2" fontId="10" numFmtId="0" xfId="0" applyBorder="1" applyFont="1"/>
    <xf borderId="2" fillId="2" fontId="10" numFmtId="0" xfId="0" applyAlignment="1" applyBorder="1" applyFont="1">
      <alignment shrinkToFit="0" wrapText="1"/>
    </xf>
    <xf borderId="0" fillId="2" fontId="10" numFmtId="0" xfId="0" applyFont="1"/>
    <xf borderId="0" fillId="2" fontId="6" numFmtId="0" xfId="0" applyAlignment="1" applyFont="1">
      <alignment readingOrder="0" shrinkToFit="0" vertical="center" wrapText="1"/>
    </xf>
    <xf borderId="2" fillId="27" fontId="10" numFmtId="0" xfId="0" applyAlignment="1" applyBorder="1" applyFont="1">
      <alignment readingOrder="0" vertical="center"/>
    </xf>
    <xf borderId="18" fillId="2" fontId="8" numFmtId="0" xfId="0" applyAlignment="1" applyBorder="1" applyFont="1">
      <alignment readingOrder="0" shrinkToFit="0" vertical="center" wrapText="1"/>
    </xf>
    <xf borderId="2" fillId="18" fontId="30" numFmtId="0" xfId="0" applyAlignment="1" applyBorder="1" applyFont="1">
      <alignment horizontal="center" readingOrder="0" vertical="center"/>
    </xf>
    <xf borderId="8" fillId="2" fontId="10" numFmtId="167" xfId="0" applyAlignment="1" applyBorder="1" applyFont="1" applyNumberFormat="1">
      <alignment horizontal="center" vertical="center"/>
    </xf>
    <xf borderId="8" fillId="2" fontId="10" numFmtId="0" xfId="0" applyAlignment="1" applyBorder="1" applyFont="1">
      <alignment horizontal="center" vertical="center"/>
    </xf>
    <xf borderId="2" fillId="2" fontId="10" numFmtId="0" xfId="0" applyAlignment="1" applyBorder="1" applyFont="1">
      <alignment shrinkToFit="0" vertical="center" wrapText="1"/>
    </xf>
    <xf borderId="3" fillId="2" fontId="5" numFmtId="166" xfId="0" applyAlignment="1" applyBorder="1" applyFont="1" applyNumberFormat="1">
      <alignment horizontal="center" vertical="center"/>
    </xf>
    <xf borderId="6" fillId="5" fontId="8" numFmtId="0" xfId="0" applyAlignment="1" applyBorder="1" applyFont="1">
      <alignment readingOrder="0" shrinkToFit="0" vertical="center" wrapText="1"/>
    </xf>
    <xf borderId="0" fillId="2" fontId="9" numFmtId="0" xfId="0" applyAlignment="1" applyFont="1">
      <alignment vertical="center"/>
    </xf>
    <xf borderId="17" fillId="2" fontId="5" numFmtId="166" xfId="0" applyAlignment="1" applyBorder="1" applyFont="1" applyNumberFormat="1">
      <alignment horizontal="center" vertical="center"/>
    </xf>
    <xf borderId="2" fillId="2" fontId="71" numFmtId="0" xfId="0" applyAlignment="1" applyBorder="1" applyFont="1">
      <alignment horizontal="center" vertical="center"/>
    </xf>
    <xf borderId="2" fillId="2" fontId="35" numFmtId="0" xfId="0" applyAlignment="1" applyBorder="1" applyFont="1">
      <alignment horizontal="center" readingOrder="0" shrinkToFit="0" vertical="center" wrapText="1"/>
    </xf>
    <xf borderId="8" fillId="2" fontId="63" numFmtId="0" xfId="0" applyAlignment="1" applyBorder="1" applyFont="1">
      <alignment horizontal="center" readingOrder="0" vertical="center"/>
    </xf>
    <xf borderId="5" fillId="2" fontId="8" numFmtId="0" xfId="0" applyAlignment="1" applyBorder="1" applyFont="1">
      <alignment horizontal="center" readingOrder="0" shrinkToFit="0" vertical="center" wrapText="1"/>
    </xf>
    <xf borderId="2" fillId="2" fontId="6" numFmtId="0" xfId="0" applyAlignment="1" applyBorder="1" applyFont="1">
      <alignment readingOrder="0" shrinkToFit="0" vertical="center" wrapText="1"/>
    </xf>
    <xf borderId="18" fillId="2" fontId="10" numFmtId="170" xfId="0" applyAlignment="1" applyBorder="1" applyFont="1" applyNumberFormat="1">
      <alignment readingOrder="0" vertical="center"/>
    </xf>
    <xf borderId="17" fillId="0" fontId="35" numFmtId="0" xfId="0" applyAlignment="1" applyBorder="1" applyFont="1">
      <alignment horizontal="center" readingOrder="0" vertical="center"/>
    </xf>
    <xf borderId="0" fillId="2" fontId="8" numFmtId="167" xfId="0" applyAlignment="1" applyFont="1" applyNumberFormat="1">
      <alignment horizontal="center" shrinkToFit="0" vertical="center" wrapText="1"/>
    </xf>
    <xf borderId="0" fillId="2" fontId="9" numFmtId="166" xfId="0" applyAlignment="1" applyFont="1" applyNumberFormat="1">
      <alignment horizontal="center" shrinkToFit="0" vertical="center" wrapText="1"/>
    </xf>
    <xf borderId="0" fillId="2" fontId="8" numFmtId="0" xfId="0" applyAlignment="1" applyFont="1">
      <alignment horizontal="left" readingOrder="0" vertical="center"/>
    </xf>
    <xf borderId="0" fillId="2" fontId="69" numFmtId="0" xfId="0" applyAlignment="1" applyFont="1">
      <alignment horizontal="center" readingOrder="0" vertical="center"/>
    </xf>
    <xf borderId="2" fillId="2" fontId="10" numFmtId="167" xfId="0" applyAlignment="1" applyBorder="1" applyFont="1" applyNumberFormat="1">
      <alignment vertical="center"/>
    </xf>
    <xf borderId="18" fillId="2" fontId="63" numFmtId="0" xfId="0" applyAlignment="1" applyBorder="1" applyFont="1">
      <alignment shrinkToFit="0" vertical="center" wrapText="1"/>
    </xf>
    <xf borderId="2" fillId="2" fontId="5" numFmtId="166" xfId="0" applyAlignment="1" applyBorder="1" applyFont="1" applyNumberFormat="1">
      <alignment horizontal="center" readingOrder="0" shrinkToFit="0" vertical="center" wrapText="1"/>
    </xf>
    <xf borderId="0" fillId="0" fontId="11" numFmtId="0" xfId="0" applyAlignment="1" applyFont="1">
      <alignment horizontal="center" vertical="center"/>
    </xf>
    <xf borderId="8" fillId="2" fontId="10" numFmtId="0" xfId="0" applyAlignment="1" applyBorder="1" applyFont="1">
      <alignment shrinkToFit="0" vertical="center" wrapText="1"/>
    </xf>
    <xf borderId="0" fillId="2" fontId="10" numFmtId="0" xfId="0" applyAlignment="1" applyFont="1">
      <alignment shrinkToFit="0" vertical="center" wrapText="1"/>
    </xf>
    <xf borderId="18" fillId="2" fontId="63" numFmtId="0" xfId="0" applyAlignment="1" applyBorder="1" applyFont="1">
      <alignment horizontal="center" readingOrder="0" shrinkToFit="0" vertical="center" wrapText="1"/>
    </xf>
    <xf borderId="5" fillId="2" fontId="9" numFmtId="0" xfId="0" applyAlignment="1" applyBorder="1" applyFont="1">
      <alignment horizontal="center" readingOrder="0" vertical="center"/>
    </xf>
    <xf borderId="2" fillId="2" fontId="10" numFmtId="167" xfId="0" applyAlignment="1" applyBorder="1" applyFont="1" applyNumberFormat="1">
      <alignment horizontal="center" vertical="center"/>
    </xf>
    <xf borderId="18" fillId="2" fontId="10" numFmtId="167" xfId="0" applyAlignment="1" applyBorder="1" applyFont="1" applyNumberFormat="1">
      <alignment horizontal="center" vertical="center"/>
    </xf>
    <xf borderId="2" fillId="0" fontId="10" numFmtId="0" xfId="0" applyAlignment="1" applyBorder="1" applyFont="1">
      <alignment horizontal="center" shrinkToFit="0" vertical="center" wrapText="1"/>
    </xf>
    <xf borderId="8" fillId="0" fontId="10" numFmtId="0" xfId="0" applyAlignment="1" applyBorder="1" applyFont="1">
      <alignment horizontal="center" shrinkToFit="0" vertical="center" wrapText="1"/>
    </xf>
    <xf borderId="2" fillId="2" fontId="22" numFmtId="0" xfId="0" applyAlignment="1" applyBorder="1" applyFont="1">
      <alignment horizontal="left" readingOrder="0" shrinkToFit="0" vertical="center" wrapText="1"/>
    </xf>
    <xf borderId="5" fillId="2" fontId="9" numFmtId="0" xfId="0" applyAlignment="1" applyBorder="1" applyFont="1">
      <alignment horizontal="center" readingOrder="0" vertical="center"/>
    </xf>
    <xf borderId="0" fillId="2" fontId="6" numFmtId="0" xfId="0" applyAlignment="1" applyFont="1">
      <alignment shrinkToFit="0" vertical="center" wrapText="1"/>
    </xf>
    <xf borderId="5" fillId="2" fontId="5" numFmtId="0" xfId="0" applyAlignment="1" applyBorder="1" applyFont="1">
      <alignment horizontal="center" vertical="center"/>
    </xf>
    <xf borderId="2" fillId="2" fontId="9" numFmtId="0" xfId="0" applyAlignment="1" applyBorder="1" applyFont="1">
      <alignment horizontal="left" readingOrder="0" vertical="center"/>
    </xf>
    <xf borderId="2" fillId="2" fontId="10" numFmtId="167" xfId="0" applyAlignment="1" applyBorder="1" applyFont="1" applyNumberFormat="1">
      <alignment horizontal="center" shrinkToFit="0" vertical="center" wrapText="1"/>
    </xf>
    <xf borderId="2" fillId="0" fontId="6" numFmtId="0" xfId="0" applyAlignment="1" applyBorder="1" applyFont="1">
      <alignment horizontal="center" readingOrder="0"/>
    </xf>
    <xf borderId="6" fillId="20" fontId="8" numFmtId="0" xfId="0" applyAlignment="1" applyBorder="1" applyFont="1">
      <alignment horizontal="left" readingOrder="0" shrinkToFit="0" vertical="center" wrapText="1"/>
    </xf>
    <xf borderId="2" fillId="0" fontId="6" numFmtId="168" xfId="0" applyAlignment="1" applyBorder="1" applyFont="1" applyNumberFormat="1">
      <alignment horizontal="center" readingOrder="0" vertical="center"/>
    </xf>
    <xf borderId="0" fillId="2" fontId="5" numFmtId="166" xfId="0" applyAlignment="1" applyFont="1" applyNumberFormat="1">
      <alignment horizontal="center" vertical="center"/>
    </xf>
    <xf borderId="0" fillId="2" fontId="5" numFmtId="166" xfId="0" applyAlignment="1" applyFont="1" applyNumberFormat="1">
      <alignment horizontal="center" vertical="center"/>
    </xf>
    <xf borderId="0" fillId="2" fontId="8" numFmtId="0" xfId="0" applyAlignment="1" applyFont="1">
      <alignment horizontal="left" readingOrder="0" shrinkToFit="0" vertical="center" wrapText="1"/>
    </xf>
    <xf borderId="0" fillId="0" fontId="5" numFmtId="166" xfId="0" applyAlignment="1" applyFont="1" applyNumberFormat="1">
      <alignment horizontal="center" vertical="center"/>
    </xf>
    <xf borderId="0" fillId="0" fontId="9" numFmtId="0" xfId="0" applyAlignment="1" applyFont="1">
      <alignment horizontal="center" shrinkToFit="0" vertical="center" wrapText="1"/>
    </xf>
    <xf borderId="0" fillId="0" fontId="6" numFmtId="166" xfId="0" applyFont="1" applyNumberFormat="1"/>
    <xf borderId="8" fillId="2" fontId="10" numFmtId="167" xfId="0" applyAlignment="1" applyBorder="1" applyFont="1" applyNumberFormat="1">
      <alignment horizontal="center" shrinkToFit="0" vertical="center" wrapText="1"/>
    </xf>
    <xf borderId="3" fillId="2" fontId="10" numFmtId="166" xfId="0" applyAlignment="1" applyBorder="1" applyFont="1" applyNumberFormat="1">
      <alignment horizontal="center" vertical="center"/>
    </xf>
    <xf borderId="0" fillId="21" fontId="8" numFmtId="0" xfId="0" applyAlignment="1" applyFont="1">
      <alignment readingOrder="0" shrinkToFit="0" vertical="center" wrapText="1"/>
    </xf>
    <xf borderId="0" fillId="22" fontId="8" numFmtId="0" xfId="0" applyAlignment="1" applyFont="1">
      <alignment readingOrder="0" shrinkToFit="0" vertical="center" wrapText="1"/>
    </xf>
    <xf borderId="0" fillId="2" fontId="8" numFmtId="0" xfId="0" applyAlignment="1" applyFont="1">
      <alignment readingOrder="0" shrinkToFit="0" vertical="center" wrapText="1"/>
    </xf>
    <xf borderId="0" fillId="23" fontId="8" numFmtId="0" xfId="0" applyAlignment="1" applyFont="1">
      <alignment readingOrder="0" shrinkToFit="0" vertical="center" wrapText="1"/>
    </xf>
    <xf borderId="0" fillId="5" fontId="8" numFmtId="0" xfId="0" applyAlignment="1" applyFont="1">
      <alignment readingOrder="0" shrinkToFit="0" vertical="center" wrapText="1"/>
    </xf>
    <xf borderId="6" fillId="0" fontId="9" numFmtId="0" xfId="0" applyAlignment="1" applyBorder="1" applyFont="1">
      <alignment horizontal="center" readingOrder="0" vertical="center"/>
    </xf>
    <xf borderId="2" fillId="0" fontId="10" numFmtId="166" xfId="0" applyAlignment="1" applyBorder="1" applyFont="1" applyNumberFormat="1">
      <alignment horizontal="center" readingOrder="0" shrinkToFit="0" vertical="center" wrapText="1"/>
    </xf>
    <xf borderId="2" fillId="0" fontId="8" numFmtId="0" xfId="0" applyAlignment="1" applyBorder="1" applyFont="1">
      <alignment readingOrder="0" shrinkToFit="0" vertical="center" wrapText="1"/>
    </xf>
    <xf borderId="0" fillId="0" fontId="8" numFmtId="0" xfId="0" applyAlignment="1" applyFont="1">
      <alignment readingOrder="0" shrinkToFit="0" vertical="center" wrapText="1"/>
    </xf>
    <xf borderId="0" fillId="0" fontId="8" numFmtId="0" xfId="0" applyAlignment="1" applyFont="1">
      <alignment shrinkToFit="0" vertical="center" wrapText="1"/>
    </xf>
    <xf borderId="2" fillId="2" fontId="10" numFmtId="167" xfId="0" applyAlignment="1" applyBorder="1" applyFont="1" applyNumberFormat="1">
      <alignment horizontal="center" readingOrder="0" vertical="center"/>
    </xf>
    <xf borderId="2" fillId="2" fontId="8" numFmtId="0" xfId="0" applyAlignment="1" applyBorder="1" applyFont="1">
      <alignment horizontal="center" vertical="center"/>
    </xf>
    <xf borderId="2" fillId="0" fontId="6" numFmtId="0" xfId="0" applyAlignment="1" applyBorder="1" applyFont="1">
      <alignment shrinkToFit="0" vertical="center" wrapText="1"/>
    </xf>
    <xf borderId="2" fillId="8" fontId="8" numFmtId="166" xfId="0" applyAlignment="1" applyBorder="1" applyFont="1" applyNumberFormat="1">
      <alignment horizontal="center" readingOrder="0" vertical="center"/>
    </xf>
    <xf borderId="2" fillId="2" fontId="10" numFmtId="0" xfId="0" applyAlignment="1" applyBorder="1" applyFont="1">
      <alignment horizontal="center" vertical="center"/>
    </xf>
    <xf borderId="2" fillId="2" fontId="10" numFmtId="166" xfId="0" applyAlignment="1" applyBorder="1" applyFont="1" applyNumberFormat="1">
      <alignment horizontal="center" shrinkToFit="0" wrapText="1"/>
    </xf>
    <xf borderId="2" fillId="0" fontId="35" numFmtId="0" xfId="0" applyAlignment="1" applyBorder="1" applyFont="1">
      <alignment horizontal="center" readingOrder="0" shrinkToFit="0" vertical="center" wrapText="1"/>
    </xf>
    <xf borderId="2" fillId="0" fontId="6" numFmtId="166" xfId="0" applyAlignment="1" applyBorder="1" applyFont="1" applyNumberFormat="1">
      <alignment horizontal="center" readingOrder="0" shrinkToFit="0" vertical="center" wrapText="1"/>
    </xf>
    <xf borderId="6" fillId="20" fontId="8" numFmtId="0" xfId="0" applyAlignment="1" applyBorder="1" applyFont="1">
      <alignment readingOrder="0" shrinkToFit="0" vertical="center" wrapText="1"/>
    </xf>
    <xf borderId="0" fillId="2" fontId="8" numFmtId="0" xfId="0" applyAlignment="1" applyFont="1">
      <alignment horizontal="center" vertical="center"/>
    </xf>
    <xf borderId="0" fillId="2" fontId="8" numFmtId="0" xfId="0" applyAlignment="1" applyFont="1">
      <alignment vertical="center"/>
    </xf>
    <xf borderId="0" fillId="2" fontId="8" numFmtId="0" xfId="0" applyAlignment="1" applyFont="1">
      <alignment shrinkToFit="0" vertical="center" wrapText="1"/>
    </xf>
    <xf borderId="0" fillId="0" fontId="6" numFmtId="166" xfId="0" applyAlignment="1" applyFont="1" applyNumberFormat="1">
      <alignment horizontal="center" vertical="center"/>
    </xf>
    <xf borderId="2" fillId="2" fontId="63" numFmtId="0" xfId="0" applyAlignment="1" applyBorder="1" applyFont="1">
      <alignment horizontal="center" shrinkToFit="0" vertical="center" wrapText="1"/>
    </xf>
    <xf borderId="3" fillId="2" fontId="10" numFmtId="0" xfId="0" applyAlignment="1" applyBorder="1" applyFont="1">
      <alignment horizontal="center" vertical="center"/>
    </xf>
    <xf borderId="18" fillId="2" fontId="10" numFmtId="0" xfId="0" applyAlignment="1" applyBorder="1" applyFont="1">
      <alignment horizontal="center" vertical="center"/>
    </xf>
    <xf borderId="18" fillId="2" fontId="10" numFmtId="167" xfId="0" applyAlignment="1" applyBorder="1" applyFont="1" applyNumberFormat="1">
      <alignment vertical="center"/>
    </xf>
    <xf borderId="18" fillId="2" fontId="10" numFmtId="166" xfId="0" applyAlignment="1" applyBorder="1" applyFont="1" applyNumberFormat="1">
      <alignment horizontal="center" shrinkToFit="0" vertical="center" wrapText="1"/>
    </xf>
    <xf borderId="2" fillId="2" fontId="10" numFmtId="167" xfId="0" applyAlignment="1" applyBorder="1" applyFont="1" applyNumberFormat="1">
      <alignment vertical="center"/>
    </xf>
    <xf borderId="2" fillId="2" fontId="10" numFmtId="166" xfId="0" applyAlignment="1" applyBorder="1" applyFont="1" applyNumberFormat="1">
      <alignment horizontal="center" readingOrder="0" shrinkToFit="0" vertical="center" wrapText="1"/>
    </xf>
    <xf borderId="2" fillId="23" fontId="6" numFmtId="0" xfId="0" applyAlignment="1" applyBorder="1" applyFont="1">
      <alignment readingOrder="0" shrinkToFit="0" vertical="center" wrapText="1"/>
    </xf>
    <xf borderId="8" fillId="2" fontId="5" numFmtId="167" xfId="0" applyAlignment="1" applyBorder="1" applyFont="1" applyNumberFormat="1">
      <alignment horizontal="center" readingOrder="0" vertical="center"/>
    </xf>
    <xf borderId="8" fillId="2" fontId="10" numFmtId="49" xfId="0" applyAlignment="1" applyBorder="1" applyFont="1" applyNumberFormat="1">
      <alignment horizontal="center" readingOrder="0" vertical="center"/>
    </xf>
    <xf borderId="8" fillId="2" fontId="10" numFmtId="167" xfId="0" applyAlignment="1" applyBorder="1" applyFont="1" applyNumberFormat="1">
      <alignment horizontal="center" readingOrder="0" vertical="center"/>
    </xf>
    <xf borderId="2" fillId="2" fontId="8" numFmtId="168" xfId="0" applyAlignment="1" applyBorder="1" applyFont="1" applyNumberFormat="1">
      <alignment horizontal="center" readingOrder="0" vertical="center"/>
    </xf>
    <xf borderId="0" fillId="2" fontId="10" numFmtId="0" xfId="0" applyAlignment="1" applyFont="1">
      <alignment horizontal="center" readingOrder="0" shrinkToFit="0" vertical="center" wrapText="1"/>
    </xf>
    <xf borderId="0" fillId="2" fontId="8" numFmtId="166" xfId="0" applyAlignment="1" applyFont="1" applyNumberFormat="1">
      <alignment horizontal="center" readingOrder="0" shrinkToFit="0" vertical="center" wrapText="1"/>
    </xf>
    <xf borderId="0" fillId="0" fontId="8" numFmtId="171" xfId="0" applyAlignment="1" applyFont="1" applyNumberFormat="1">
      <alignment horizontal="center" vertical="center"/>
    </xf>
    <xf borderId="0" fillId="2" fontId="10" numFmtId="0" xfId="0" applyAlignment="1" applyFont="1">
      <alignment horizontal="center" vertical="center"/>
    </xf>
    <xf borderId="0" fillId="2" fontId="10" numFmtId="0" xfId="0" applyAlignment="1" applyFont="1">
      <alignment shrinkToFit="0" vertical="center" wrapText="1"/>
    </xf>
    <xf borderId="0" fillId="2" fontId="8" numFmtId="166" xfId="0" applyAlignment="1" applyFont="1" applyNumberFormat="1">
      <alignment horizontal="center" readingOrder="0" shrinkToFit="0" vertical="center" wrapText="1"/>
    </xf>
    <xf borderId="0" fillId="0" fontId="9" numFmtId="0" xfId="0" applyAlignment="1" applyFont="1">
      <alignment horizontal="center" readingOrder="0" vertical="center"/>
    </xf>
    <xf borderId="8" fillId="2" fontId="10" numFmtId="0" xfId="0" applyAlignment="1" applyBorder="1" applyFont="1">
      <alignment shrinkToFit="0" vertical="center" wrapText="1"/>
    </xf>
    <xf borderId="8" fillId="2" fontId="8" numFmtId="166" xfId="0" applyAlignment="1" applyBorder="1" applyFont="1" applyNumberFormat="1">
      <alignment horizontal="center" readingOrder="0" vertical="center"/>
    </xf>
    <xf borderId="18" fillId="2" fontId="9" numFmtId="167" xfId="0" applyAlignment="1" applyBorder="1" applyFont="1" applyNumberFormat="1">
      <alignment horizontal="center" readingOrder="0" vertical="center"/>
    </xf>
    <xf borderId="2" fillId="2" fontId="9" numFmtId="0" xfId="0" applyAlignment="1" applyBorder="1" applyFont="1">
      <alignment horizontal="center" shrinkToFit="0" vertical="center" wrapText="1"/>
    </xf>
    <xf borderId="2" fillId="2" fontId="10" numFmtId="166" xfId="0" applyAlignment="1" applyBorder="1" applyFont="1" applyNumberFormat="1">
      <alignment horizontal="center" readingOrder="0" shrinkToFit="0" vertical="center" wrapText="1"/>
    </xf>
    <xf borderId="18" fillId="2" fontId="63" numFmtId="0" xfId="0" applyAlignment="1" applyBorder="1" applyFont="1">
      <alignment horizontal="center" readingOrder="0" shrinkToFit="0" vertical="center" wrapText="1"/>
    </xf>
    <xf borderId="0" fillId="2" fontId="69" numFmtId="0" xfId="0" applyAlignment="1" applyFont="1">
      <alignment horizontal="center" vertical="center"/>
    </xf>
    <xf borderId="8" fillId="2" fontId="10" numFmtId="0" xfId="0" applyAlignment="1" applyBorder="1" applyFont="1">
      <alignment horizontal="center"/>
    </xf>
    <xf borderId="6" fillId="0" fontId="6" numFmtId="166" xfId="0" applyAlignment="1" applyBorder="1" applyFont="1" applyNumberFormat="1">
      <alignment horizontal="center" readingOrder="0" shrinkToFit="0" vertical="center" wrapText="1"/>
    </xf>
    <xf borderId="2" fillId="2" fontId="10" numFmtId="166" xfId="0" applyAlignment="1" applyBorder="1" applyFont="1" applyNumberFormat="1">
      <alignment horizontal="center" readingOrder="0" shrinkToFit="0" wrapText="1"/>
    </xf>
    <xf borderId="8" fillId="2" fontId="10" numFmtId="167" xfId="0" applyAlignment="1" applyBorder="1" applyFont="1" applyNumberFormat="1">
      <alignment vertical="center"/>
    </xf>
    <xf borderId="8" fillId="2" fontId="10" numFmtId="166" xfId="0" applyAlignment="1" applyBorder="1" applyFont="1" applyNumberFormat="1">
      <alignment horizontal="center" shrinkToFit="0" vertical="center" wrapText="1"/>
    </xf>
    <xf borderId="0" fillId="0" fontId="9" numFmtId="167" xfId="0" applyAlignment="1" applyFont="1" applyNumberFormat="1">
      <alignment horizontal="center" readingOrder="0" vertical="center"/>
    </xf>
    <xf borderId="0" fillId="2" fontId="9" numFmtId="0" xfId="0" applyAlignment="1" applyFont="1">
      <alignment horizontal="center" vertical="center"/>
    </xf>
    <xf borderId="0" fillId="0" fontId="8" numFmtId="0" xfId="0" applyAlignment="1" applyFont="1">
      <alignment vertical="center"/>
    </xf>
    <xf borderId="0" fillId="2" fontId="8" numFmtId="0" xfId="0" applyAlignment="1" applyFont="1">
      <alignment horizontal="left" vertical="center"/>
    </xf>
    <xf borderId="2" fillId="0" fontId="8" numFmtId="0" xfId="0" applyAlignment="1" applyBorder="1" applyFont="1">
      <alignment horizontal="center" readingOrder="0" vertical="center"/>
    </xf>
    <xf borderId="2" fillId="8" fontId="9" numFmtId="172" xfId="0" applyAlignment="1" applyBorder="1" applyFont="1" applyNumberFormat="1">
      <alignment horizontal="center" readingOrder="0" vertical="center"/>
    </xf>
    <xf borderId="8" fillId="8" fontId="9" numFmtId="172" xfId="0" applyAlignment="1" applyBorder="1" applyFont="1" applyNumberFormat="1">
      <alignment horizontal="center" readingOrder="0" vertical="center"/>
    </xf>
    <xf borderId="2" fillId="0" fontId="10" numFmtId="49" xfId="0" applyAlignment="1" applyBorder="1" applyFont="1" applyNumberFormat="1">
      <alignment horizontal="center"/>
    </xf>
    <xf borderId="8" fillId="0" fontId="10" numFmtId="0" xfId="0" applyAlignment="1" applyBorder="1" applyFont="1">
      <alignment horizontal="center" shrinkToFit="0" wrapText="1"/>
    </xf>
    <xf borderId="8" fillId="2" fontId="10" numFmtId="167" xfId="0" applyAlignment="1" applyBorder="1" applyFont="1" applyNumberFormat="1">
      <alignment horizontal="center" shrinkToFit="0" vertical="center" wrapText="1"/>
    </xf>
    <xf borderId="2" fillId="23" fontId="9" numFmtId="0" xfId="0" applyAlignment="1" applyBorder="1" applyFont="1">
      <alignment horizontal="left" readingOrder="0" vertical="center"/>
    </xf>
    <xf borderId="0" fillId="2" fontId="8" numFmtId="0" xfId="0" applyAlignment="1" applyFont="1">
      <alignment horizontal="center" vertical="center"/>
    </xf>
    <xf borderId="8" fillId="2" fontId="63" numFmtId="0" xfId="0" applyAlignment="1" applyBorder="1" applyFont="1">
      <alignment horizontal="center" readingOrder="0" vertical="center"/>
    </xf>
    <xf borderId="0" fillId="2" fontId="69" numFmtId="0" xfId="0" applyAlignment="1" applyFont="1">
      <alignment horizontal="left" vertical="center"/>
    </xf>
    <xf borderId="8" fillId="2" fontId="10" numFmtId="168" xfId="0" applyAlignment="1" applyBorder="1" applyFont="1" applyNumberFormat="1">
      <alignment horizontal="center" readingOrder="0" vertical="center"/>
    </xf>
    <xf borderId="22" fillId="2" fontId="72" numFmtId="0" xfId="0" applyAlignment="1" applyBorder="1" applyFont="1">
      <alignment horizontal="center" readingOrder="0" vertical="center"/>
    </xf>
    <xf borderId="22" fillId="2" fontId="8" numFmtId="166" xfId="0" applyAlignment="1" applyBorder="1" applyFont="1" applyNumberFormat="1">
      <alignment horizontal="center" readingOrder="0" vertical="center"/>
    </xf>
    <xf borderId="2" fillId="2" fontId="35" numFmtId="0" xfId="0" applyAlignment="1" applyBorder="1" applyFont="1">
      <alignment horizontal="center" readingOrder="0" vertical="center"/>
    </xf>
    <xf borderId="2" fillId="0" fontId="9" numFmtId="0" xfId="0" applyAlignment="1" applyBorder="1" applyFont="1">
      <alignment horizontal="left" readingOrder="0" vertical="center"/>
    </xf>
    <xf borderId="8" fillId="2" fontId="5" numFmtId="0" xfId="0" applyAlignment="1" applyBorder="1" applyFont="1">
      <alignment horizontal="center" vertical="center"/>
    </xf>
    <xf borderId="2" fillId="2" fontId="11" numFmtId="0" xfId="0" applyAlignment="1" applyBorder="1" applyFont="1">
      <alignment horizontal="center" vertical="center"/>
    </xf>
    <xf borderId="8" fillId="2" fontId="11" numFmtId="0" xfId="0" applyAlignment="1" applyBorder="1" applyFont="1">
      <alignment vertical="center"/>
    </xf>
    <xf borderId="2" fillId="2" fontId="11" numFmtId="0" xfId="0" applyAlignment="1" applyBorder="1" applyFont="1">
      <alignment horizontal="center" readingOrder="0" shrinkToFit="0" vertical="center" wrapText="1"/>
    </xf>
    <xf borderId="2" fillId="2" fontId="11" numFmtId="166" xfId="0" applyAlignment="1" applyBorder="1" applyFont="1" applyNumberFormat="1">
      <alignment horizontal="center" readingOrder="0" shrinkToFit="0" vertical="center" wrapText="1"/>
    </xf>
    <xf borderId="2" fillId="2" fontId="11" numFmtId="0" xfId="0" applyAlignment="1" applyBorder="1" applyFont="1">
      <alignment vertical="center"/>
    </xf>
    <xf borderId="8" fillId="2" fontId="5" numFmtId="0" xfId="0" applyAlignment="1" applyBorder="1" applyFont="1">
      <alignment horizontal="center" vertical="center"/>
    </xf>
    <xf borderId="8" fillId="2" fontId="5" numFmtId="49" xfId="0" applyAlignment="1" applyBorder="1" applyFont="1" applyNumberFormat="1">
      <alignment horizontal="center" readingOrder="0" vertical="center"/>
    </xf>
    <xf borderId="2" fillId="2" fontId="0" numFmtId="0" xfId="0" applyAlignment="1" applyBorder="1" applyFont="1">
      <alignment horizontal="center" readingOrder="0" vertical="center"/>
    </xf>
    <xf borderId="11" fillId="20" fontId="8" numFmtId="0" xfId="0" applyAlignment="1" applyBorder="1" applyFont="1">
      <alignment readingOrder="0" shrinkToFit="0" vertical="center" wrapText="1"/>
    </xf>
    <xf borderId="8" fillId="18" fontId="5" numFmtId="0" xfId="0" applyAlignment="1" applyBorder="1" applyFont="1">
      <alignment horizontal="center" vertical="center"/>
    </xf>
    <xf borderId="5" fillId="2" fontId="11" numFmtId="0" xfId="0" applyAlignment="1" applyBorder="1" applyFont="1">
      <alignment vertical="center"/>
    </xf>
    <xf borderId="0" fillId="2" fontId="10" numFmtId="167" xfId="0" applyAlignment="1" applyFont="1" applyNumberFormat="1">
      <alignment horizontal="center" vertical="center"/>
    </xf>
    <xf borderId="0" fillId="2" fontId="10" numFmtId="0" xfId="0" applyAlignment="1" applyFont="1">
      <alignment horizontal="center" vertical="center"/>
    </xf>
    <xf borderId="0" fillId="2" fontId="10" numFmtId="0" xfId="0" applyAlignment="1" applyFont="1">
      <alignment shrinkToFit="0" vertical="center" wrapText="1"/>
    </xf>
    <xf borderId="0" fillId="0" fontId="8" numFmtId="0" xfId="0" applyAlignment="1" applyFont="1">
      <alignment horizontal="center" vertical="center"/>
    </xf>
    <xf borderId="0" fillId="2" fontId="10" numFmtId="0" xfId="0" applyAlignment="1" applyFont="1">
      <alignment horizontal="center" readingOrder="0" shrinkToFit="0" vertical="center" wrapText="1"/>
    </xf>
    <xf borderId="18" fillId="2" fontId="10" numFmtId="167" xfId="0" applyAlignment="1" applyBorder="1" applyFont="1" applyNumberFormat="1">
      <alignment vertical="center"/>
    </xf>
    <xf borderId="0" fillId="2" fontId="69" numFmtId="0" xfId="0" applyAlignment="1" applyFont="1">
      <alignment horizontal="center" readingOrder="0" vertical="center"/>
    </xf>
    <xf borderId="2" fillId="2" fontId="10" numFmtId="0" xfId="0" applyAlignment="1" applyBorder="1" applyFont="1">
      <alignment horizontal="center" vertical="center"/>
    </xf>
    <xf borderId="8" fillId="2" fontId="10" numFmtId="167" xfId="0" applyAlignment="1" applyBorder="1" applyFont="1" applyNumberFormat="1">
      <alignment horizontal="center" vertical="center"/>
    </xf>
    <xf borderId="8" fillId="2" fontId="10" numFmtId="0" xfId="0" applyAlignment="1" applyBorder="1" applyFont="1">
      <alignment horizontal="center" vertical="center"/>
    </xf>
    <xf borderId="2" fillId="2" fontId="10" numFmtId="0" xfId="0" applyAlignment="1" applyBorder="1" applyFont="1">
      <alignment horizontal="center" shrinkToFit="0" vertical="center" wrapText="1"/>
    </xf>
    <xf borderId="18" fillId="2" fontId="10" numFmtId="167" xfId="0" applyAlignment="1" applyBorder="1" applyFont="1" applyNumberFormat="1">
      <alignment horizontal="center" readingOrder="0" vertical="center"/>
    </xf>
    <xf borderId="8" fillId="18" fontId="10" numFmtId="0" xfId="0" applyAlignment="1" applyBorder="1" applyFont="1">
      <alignment horizontal="center" vertical="center"/>
    </xf>
    <xf borderId="2" fillId="2" fontId="10" numFmtId="0" xfId="0" applyBorder="1" applyFont="1"/>
    <xf borderId="2" fillId="2" fontId="10" numFmtId="167" xfId="0" applyAlignment="1" applyBorder="1" applyFont="1" applyNumberFormat="1">
      <alignment horizontal="center"/>
    </xf>
    <xf borderId="2" fillId="2" fontId="10" numFmtId="167" xfId="0" applyBorder="1" applyFont="1" applyNumberFormat="1"/>
    <xf borderId="2" fillId="2" fontId="21" numFmtId="0" xfId="0" applyAlignment="1" applyBorder="1" applyFont="1">
      <alignment horizontal="center" shrinkToFit="0" vertical="center" wrapText="1"/>
    </xf>
    <xf borderId="18" fillId="2" fontId="10" numFmtId="166" xfId="0" applyAlignment="1" applyBorder="1" applyFont="1" applyNumberFormat="1">
      <alignment horizontal="center" readingOrder="0" shrinkToFit="0" vertical="center" wrapText="1"/>
    </xf>
    <xf borderId="7" fillId="0" fontId="10" numFmtId="0" xfId="0" applyAlignment="1" applyBorder="1" applyFont="1">
      <alignment horizontal="center" readingOrder="0" vertical="center"/>
    </xf>
    <xf borderId="2" fillId="2" fontId="10" numFmtId="0" xfId="0" applyAlignment="1" applyBorder="1" applyFont="1">
      <alignment shrinkToFit="0" vertical="center" wrapText="1"/>
    </xf>
    <xf borderId="19" fillId="0" fontId="18" numFmtId="0" xfId="0" applyBorder="1" applyFont="1"/>
    <xf borderId="3" fillId="2" fontId="10" numFmtId="0" xfId="0" applyAlignment="1" applyBorder="1" applyFont="1">
      <alignment horizontal="center" shrinkToFit="0" vertical="center" wrapText="1"/>
    </xf>
    <xf borderId="8" fillId="2" fontId="10" numFmtId="0" xfId="0" applyAlignment="1" applyBorder="1" applyFont="1">
      <alignment horizontal="center" readingOrder="0" vertical="center"/>
    </xf>
    <xf borderId="2" fillId="8" fontId="21" numFmtId="166" xfId="0" applyAlignment="1" applyBorder="1" applyFont="1" applyNumberFormat="1">
      <alignment horizontal="center" readingOrder="0" vertical="center"/>
    </xf>
    <xf borderId="2" fillId="0" fontId="8" numFmtId="0" xfId="0" applyAlignment="1" applyBorder="1" applyFont="1">
      <alignment horizontal="left" readingOrder="0" vertical="center"/>
    </xf>
    <xf borderId="0" fillId="0" fontId="9" numFmtId="0" xfId="0" applyAlignment="1" applyFont="1">
      <alignment horizontal="center" vertical="center"/>
    </xf>
    <xf borderId="0" fillId="0" fontId="8" numFmtId="166" xfId="0" applyAlignment="1" applyFont="1" applyNumberFormat="1">
      <alignment horizontal="center" vertical="center"/>
    </xf>
    <xf borderId="2" fillId="0" fontId="10" numFmtId="0" xfId="0" applyAlignment="1" applyBorder="1" applyFont="1">
      <alignment horizontal="center" vertical="center"/>
    </xf>
    <xf borderId="8" fillId="2" fontId="63" numFmtId="0" xfId="0" applyAlignment="1" applyBorder="1" applyFont="1">
      <alignment horizontal="center" shrinkToFit="0" vertical="center" wrapText="1"/>
    </xf>
    <xf borderId="8" fillId="2" fontId="10" numFmtId="166" xfId="0" applyAlignment="1" applyBorder="1" applyFont="1" applyNumberFormat="1">
      <alignment horizontal="center" readingOrder="0" shrinkToFit="0" vertical="center" wrapText="1"/>
    </xf>
    <xf borderId="18" fillId="18" fontId="10" numFmtId="0" xfId="0" applyAlignment="1" applyBorder="1" applyFont="1">
      <alignment horizontal="center"/>
    </xf>
    <xf borderId="18" fillId="2" fontId="10" numFmtId="0" xfId="0" applyAlignment="1" applyBorder="1" applyFont="1">
      <alignment horizontal="center"/>
    </xf>
    <xf borderId="18" fillId="2" fontId="10" numFmtId="0" xfId="0" applyBorder="1" applyFont="1"/>
    <xf borderId="18" fillId="2" fontId="10" numFmtId="168" xfId="0" applyAlignment="1" applyBorder="1" applyFont="1" applyNumberFormat="1">
      <alignment horizontal="center" readingOrder="0" vertical="center"/>
    </xf>
    <xf borderId="2" fillId="0" fontId="10" numFmtId="49" xfId="0" applyAlignment="1" applyBorder="1" applyFont="1" applyNumberFormat="1">
      <alignment horizontal="center" readingOrder="0"/>
    </xf>
    <xf borderId="8" fillId="0" fontId="10" numFmtId="0" xfId="0" applyAlignment="1" applyBorder="1" applyFont="1">
      <alignment horizontal="center" readingOrder="0" shrinkToFit="0" wrapText="1"/>
    </xf>
    <xf borderId="18" fillId="2" fontId="10" numFmtId="168" xfId="0" applyAlignment="1" applyBorder="1" applyFont="1" applyNumberFormat="1">
      <alignment horizontal="center" readingOrder="0"/>
    </xf>
    <xf borderId="3" fillId="2" fontId="10" numFmtId="0" xfId="0" applyAlignment="1" applyBorder="1" applyFont="1">
      <alignment horizontal="center" readingOrder="0"/>
    </xf>
    <xf borderId="2" fillId="2" fontId="10" numFmtId="0" xfId="0" applyAlignment="1" applyBorder="1" applyFont="1">
      <alignment horizontal="center" vertical="bottom"/>
    </xf>
    <xf borderId="2" fillId="2" fontId="10" numFmtId="0" xfId="0" applyAlignment="1" applyBorder="1" applyFont="1">
      <alignment horizontal="center" vertical="bottom"/>
    </xf>
    <xf borderId="2" fillId="2" fontId="10" numFmtId="0" xfId="0" applyAlignment="1" applyBorder="1" applyFont="1">
      <alignment vertical="bottom"/>
    </xf>
    <xf borderId="2" fillId="2" fontId="10" numFmtId="49" xfId="0" applyAlignment="1" applyBorder="1" applyFont="1" applyNumberFormat="1">
      <alignment horizontal="center" shrinkToFit="0" vertical="bottom" wrapText="1"/>
    </xf>
    <xf borderId="2" fillId="2" fontId="10" numFmtId="0" xfId="0" applyAlignment="1" applyBorder="1" applyFont="1">
      <alignment horizontal="center" shrinkToFit="0" vertical="bottom" wrapText="1"/>
    </xf>
    <xf borderId="2" fillId="2" fontId="10" numFmtId="0" xfId="0" applyAlignment="1" applyBorder="1" applyFont="1">
      <alignment vertical="bottom"/>
    </xf>
    <xf borderId="2" fillId="2" fontId="10" numFmtId="168" xfId="0" applyAlignment="1" applyBorder="1" applyFont="1" applyNumberFormat="1">
      <alignment horizontal="center" vertical="bottom"/>
    </xf>
    <xf borderId="2" fillId="23" fontId="10" numFmtId="0" xfId="0" applyAlignment="1" applyBorder="1" applyFont="1">
      <alignment shrinkToFit="0" wrapText="1"/>
    </xf>
    <xf borderId="2" fillId="2" fontId="10" numFmtId="0" xfId="0" applyAlignment="1" applyBorder="1" applyFont="1">
      <alignment shrinkToFit="0" wrapText="1"/>
    </xf>
    <xf borderId="2" fillId="2" fontId="10" numFmtId="0" xfId="0" applyAlignment="1" applyBorder="1" applyFont="1">
      <alignment horizontal="center"/>
    </xf>
    <xf borderId="2" fillId="2" fontId="10" numFmtId="49" xfId="0" applyAlignment="1" applyBorder="1" applyFont="1" applyNumberFormat="1">
      <alignment horizontal="center" vertical="bottom"/>
    </xf>
    <xf borderId="0" fillId="2" fontId="10" numFmtId="0" xfId="0" applyFont="1"/>
    <xf borderId="8" fillId="2" fontId="10" numFmtId="0" xfId="0" applyBorder="1" applyFont="1"/>
    <xf borderId="8" fillId="2" fontId="10" numFmtId="0" xfId="0" applyAlignment="1" applyBorder="1" applyFont="1">
      <alignment vertical="bottom"/>
    </xf>
    <xf borderId="8" fillId="2" fontId="10" numFmtId="166" xfId="0" applyAlignment="1" applyBorder="1" applyFont="1" applyNumberFormat="1">
      <alignment horizontal="center"/>
    </xf>
    <xf borderId="2" fillId="2" fontId="10" numFmtId="0" xfId="0" applyAlignment="1" applyBorder="1" applyFont="1">
      <alignment horizontal="center" readingOrder="0"/>
    </xf>
    <xf borderId="0" fillId="0" fontId="6" numFmtId="166" xfId="0" applyAlignment="1" applyFont="1" applyNumberFormat="1">
      <alignment shrinkToFit="0" vertical="center" wrapText="1"/>
    </xf>
    <xf borderId="6" fillId="2" fontId="6" numFmtId="0" xfId="0" applyAlignment="1" applyBorder="1" applyFont="1">
      <alignment horizontal="center" readingOrder="0" vertical="center"/>
    </xf>
    <xf borderId="19" fillId="2" fontId="10" numFmtId="0" xfId="0" applyAlignment="1" applyBorder="1" applyFont="1">
      <alignment horizontal="center" readingOrder="0" vertical="center"/>
    </xf>
    <xf borderId="8" fillId="2" fontId="5" numFmtId="0" xfId="0" applyAlignment="1" applyBorder="1" applyFont="1">
      <alignment horizontal="center" readingOrder="0" shrinkToFit="0" vertical="center" wrapText="1"/>
    </xf>
    <xf borderId="18" fillId="2" fontId="5" numFmtId="0" xfId="0" applyAlignment="1" applyBorder="1" applyFont="1">
      <alignment horizontal="center" vertical="center"/>
    </xf>
    <xf borderId="18" fillId="2" fontId="5" numFmtId="0" xfId="0" applyAlignment="1" applyBorder="1" applyFont="1">
      <alignment vertical="center"/>
    </xf>
    <xf borderId="21" fillId="2" fontId="10" numFmtId="0" xfId="0" applyAlignment="1" applyBorder="1" applyFont="1">
      <alignment horizontal="center" readingOrder="0" vertical="center"/>
    </xf>
    <xf borderId="19" fillId="0" fontId="6" numFmtId="0" xfId="0" applyBorder="1" applyFont="1"/>
    <xf borderId="0" fillId="2" fontId="9" numFmtId="0" xfId="0" applyAlignment="1" applyFont="1">
      <alignment horizontal="center" vertical="center"/>
    </xf>
    <xf borderId="0" fillId="2" fontId="9" numFmtId="167" xfId="0" applyAlignment="1" applyFont="1" applyNumberFormat="1">
      <alignment horizontal="center" readingOrder="0" vertical="center"/>
    </xf>
    <xf borderId="0" fillId="2" fontId="8" numFmtId="166" xfId="0" applyAlignment="1" applyFont="1" applyNumberFormat="1">
      <alignment horizontal="center" vertical="center"/>
    </xf>
    <xf borderId="0" fillId="0" fontId="6" numFmtId="169" xfId="0" applyAlignment="1" applyFont="1" applyNumberFormat="1">
      <alignment vertical="center"/>
    </xf>
    <xf borderId="0" fillId="8" fontId="8" numFmtId="0" xfId="0" applyAlignment="1" applyFont="1">
      <alignment horizontal="center" readingOrder="0" vertical="center"/>
    </xf>
    <xf borderId="8" fillId="0" fontId="31" numFmtId="0" xfId="0" applyAlignment="1" applyBorder="1" applyFont="1">
      <alignment horizontal="center" readingOrder="0" shrinkToFit="0" vertical="center" wrapText="1"/>
    </xf>
    <xf borderId="8" fillId="2" fontId="10" numFmtId="167" xfId="0" applyAlignment="1" applyBorder="1" applyFont="1" applyNumberFormat="1">
      <alignment horizontal="center" vertical="bottom"/>
    </xf>
    <xf borderId="8" fillId="2" fontId="10" numFmtId="49" xfId="0" applyAlignment="1" applyBorder="1" applyFont="1" applyNumberFormat="1">
      <alignment horizontal="center" vertical="bottom"/>
    </xf>
    <xf borderId="8" fillId="2" fontId="10" numFmtId="0" xfId="0" applyAlignment="1" applyBorder="1" applyFont="1">
      <alignment horizontal="center" vertical="bottom"/>
    </xf>
    <xf borderId="18" fillId="0" fontId="10" numFmtId="0" xfId="0" applyAlignment="1" applyBorder="1" applyFont="1">
      <alignment horizontal="center" readingOrder="0"/>
    </xf>
    <xf borderId="3" fillId="2" fontId="10" numFmtId="0" xfId="0" applyAlignment="1" applyBorder="1" applyFont="1">
      <alignment horizontal="center"/>
    </xf>
    <xf borderId="18" fillId="2" fontId="10" numFmtId="167" xfId="0" applyAlignment="1" applyBorder="1" applyFont="1" applyNumberFormat="1">
      <alignment horizontal="center" vertical="bottom"/>
    </xf>
    <xf borderId="18" fillId="2" fontId="10" numFmtId="49" xfId="0" applyAlignment="1" applyBorder="1" applyFont="1" applyNumberFormat="1">
      <alignment horizontal="center" vertical="bottom"/>
    </xf>
    <xf borderId="18" fillId="2" fontId="10" numFmtId="0" xfId="0" applyAlignment="1" applyBorder="1" applyFont="1">
      <alignment horizontal="center" vertical="bottom"/>
    </xf>
    <xf borderId="8" fillId="2" fontId="10" numFmtId="166" xfId="0" applyAlignment="1" applyBorder="1" applyFont="1" applyNumberFormat="1">
      <alignment horizontal="center" vertical="bottom"/>
    </xf>
    <xf borderId="18" fillId="2" fontId="10" numFmtId="0" xfId="0" applyAlignment="1" applyBorder="1" applyFont="1">
      <alignment horizontal="center" readingOrder="0" vertical="bottom"/>
    </xf>
    <xf borderId="3" fillId="2" fontId="10" numFmtId="0" xfId="0" applyAlignment="1" applyBorder="1" applyFont="1">
      <alignment horizontal="center" vertical="bottom"/>
    </xf>
    <xf borderId="18" fillId="2" fontId="10" numFmtId="49" xfId="0" applyAlignment="1" applyBorder="1" applyFont="1" applyNumberFormat="1">
      <alignment horizontal="center" shrinkToFit="0" wrapText="1"/>
    </xf>
    <xf borderId="18" fillId="2" fontId="10" numFmtId="0" xfId="0" applyAlignment="1" applyBorder="1" applyFont="1">
      <alignment horizontal="center" shrinkToFit="0" wrapText="1"/>
    </xf>
    <xf borderId="18" fillId="2" fontId="10" numFmtId="49" xfId="0" applyAlignment="1" applyBorder="1" applyFont="1" applyNumberFormat="1">
      <alignment horizontal="center" readingOrder="0" shrinkToFit="0" wrapText="1"/>
    </xf>
    <xf borderId="17" fillId="0" fontId="10" numFmtId="0" xfId="0" applyBorder="1" applyFont="1"/>
    <xf borderId="17" fillId="0" fontId="10" numFmtId="166" xfId="0" applyBorder="1" applyFont="1" applyNumberFormat="1"/>
    <xf borderId="18" fillId="2" fontId="10" numFmtId="167" xfId="0" applyBorder="1" applyFont="1" applyNumberFormat="1"/>
    <xf borderId="3" fillId="0" fontId="10" numFmtId="0" xfId="0" applyAlignment="1" applyBorder="1" applyFont="1">
      <alignment horizontal="center" readingOrder="0" vertical="bottom"/>
    </xf>
    <xf borderId="18" fillId="2" fontId="10" numFmtId="167" xfId="0" applyAlignment="1" applyBorder="1" applyFont="1" applyNumberFormat="1">
      <alignment vertical="bottom"/>
    </xf>
    <xf borderId="3" fillId="0" fontId="10" numFmtId="0" xfId="0" applyAlignment="1" applyBorder="1" applyFont="1">
      <alignment horizontal="center" readingOrder="0"/>
    </xf>
    <xf borderId="3" fillId="2" fontId="10" numFmtId="0" xfId="0" applyAlignment="1" applyBorder="1" applyFont="1">
      <alignment horizontal="center" shrinkToFit="0" wrapText="1"/>
    </xf>
    <xf borderId="3" fillId="0" fontId="10" numFmtId="0" xfId="0" applyAlignment="1" applyBorder="1" applyFont="1">
      <alignment horizontal="center" vertical="bottom"/>
    </xf>
    <xf borderId="3" fillId="0" fontId="10" numFmtId="49" xfId="0" applyAlignment="1" applyBorder="1" applyFont="1" applyNumberFormat="1">
      <alignment horizontal="center" vertical="bottom"/>
    </xf>
    <xf borderId="18" fillId="2" fontId="10" numFmtId="172" xfId="0" applyAlignment="1" applyBorder="1" applyFont="1" applyNumberFormat="1">
      <alignment horizontal="center" vertical="bottom"/>
    </xf>
    <xf borderId="18" fillId="2" fontId="10" numFmtId="166" xfId="0" applyAlignment="1" applyBorder="1" applyFont="1" applyNumberFormat="1">
      <alignment horizontal="center" readingOrder="0"/>
    </xf>
    <xf borderId="3" fillId="2" fontId="10" numFmtId="0" xfId="0" applyAlignment="1" applyBorder="1" applyFont="1">
      <alignment horizontal="center" readingOrder="0" vertical="bottom"/>
    </xf>
    <xf borderId="18" fillId="2" fontId="10" numFmtId="0" xfId="0" applyAlignment="1" applyBorder="1" applyFont="1">
      <alignment horizontal="center" readingOrder="0" shrinkToFit="0" vertical="bottom" wrapText="1"/>
    </xf>
    <xf borderId="18" fillId="0" fontId="10" numFmtId="166" xfId="0" applyAlignment="1" applyBorder="1" applyFont="1" applyNumberFormat="1">
      <alignment horizontal="center" readingOrder="0" vertical="center"/>
    </xf>
    <xf borderId="3" fillId="0" fontId="10" numFmtId="0" xfId="0" applyAlignment="1" applyBorder="1" applyFont="1">
      <alignment horizontal="center" shrinkToFit="0" wrapText="1"/>
    </xf>
    <xf borderId="18" fillId="0" fontId="10" numFmtId="0" xfId="0" applyAlignment="1" applyBorder="1" applyFont="1">
      <alignment horizontal="center" vertical="bottom"/>
    </xf>
    <xf borderId="18" fillId="0" fontId="10" numFmtId="167" xfId="0" applyAlignment="1" applyBorder="1" applyFont="1" applyNumberFormat="1">
      <alignment horizontal="center" shrinkToFit="0" vertical="bottom" wrapText="1"/>
    </xf>
    <xf borderId="18" fillId="0" fontId="10" numFmtId="49" xfId="0" applyAlignment="1" applyBorder="1" applyFont="1" applyNumberFormat="1">
      <alignment horizontal="center" vertical="bottom"/>
    </xf>
    <xf borderId="18" fillId="0" fontId="10" numFmtId="0" xfId="0" applyAlignment="1" applyBorder="1" applyFont="1">
      <alignment horizontal="center" shrinkToFit="0" vertical="bottom" wrapText="1"/>
    </xf>
    <xf borderId="18" fillId="0" fontId="10" numFmtId="0" xfId="0" applyAlignment="1" applyBorder="1" applyFont="1">
      <alignment vertical="bottom"/>
    </xf>
    <xf borderId="18" fillId="2" fontId="10" numFmtId="49" xfId="0" applyAlignment="1" applyBorder="1" applyFont="1" applyNumberFormat="1">
      <alignment horizontal="center"/>
    </xf>
    <xf borderId="18" fillId="2" fontId="10" numFmtId="49" xfId="0" applyBorder="1" applyFont="1" applyNumberFormat="1"/>
    <xf borderId="2" fillId="2" fontId="10" numFmtId="0" xfId="0" applyAlignment="1" applyBorder="1" applyFont="1">
      <alignment horizontal="center" vertical="bottom"/>
    </xf>
    <xf borderId="8" fillId="2" fontId="10" numFmtId="0" xfId="0" applyAlignment="1" applyBorder="1" applyFont="1">
      <alignment horizontal="center" shrinkToFit="0" vertical="bottom" wrapText="1"/>
    </xf>
    <xf borderId="2" fillId="2" fontId="10" numFmtId="49" xfId="0" applyAlignment="1" applyBorder="1" applyFont="1" applyNumberFormat="1">
      <alignment horizontal="center" readingOrder="0" vertical="bottom"/>
    </xf>
    <xf borderId="18" fillId="2" fontId="10" numFmtId="168" xfId="0" applyAlignment="1" applyBorder="1" applyFont="1" applyNumberFormat="1">
      <alignment horizontal="center" readingOrder="0" vertical="bottom"/>
    </xf>
    <xf borderId="0" fillId="0" fontId="10" numFmtId="0" xfId="0" applyFont="1"/>
    <xf borderId="17" fillId="0" fontId="10" numFmtId="0" xfId="0" applyAlignment="1" applyBorder="1" applyFont="1">
      <alignment readingOrder="0"/>
    </xf>
    <xf borderId="8" fillId="2" fontId="10" numFmtId="167" xfId="0" applyAlignment="1" applyBorder="1" applyFont="1" applyNumberFormat="1">
      <alignment horizontal="center"/>
    </xf>
    <xf borderId="8" fillId="2" fontId="10" numFmtId="49" xfId="0" applyAlignment="1" applyBorder="1" applyFont="1" applyNumberFormat="1">
      <alignment horizontal="center"/>
    </xf>
    <xf borderId="3" fillId="2" fontId="10" numFmtId="0" xfId="0" applyAlignment="1" applyBorder="1" applyFont="1">
      <alignment horizontal="center"/>
    </xf>
    <xf borderId="18" fillId="2" fontId="10" numFmtId="167" xfId="0" applyAlignment="1" applyBorder="1" applyFont="1" applyNumberFormat="1">
      <alignment horizontal="center"/>
    </xf>
    <xf borderId="3" fillId="2" fontId="10" numFmtId="0" xfId="0" applyAlignment="1" applyBorder="1" applyFont="1">
      <alignment horizontal="center" readingOrder="0"/>
    </xf>
    <xf borderId="18" fillId="23" fontId="10" numFmtId="0" xfId="0" applyAlignment="1" applyBorder="1" applyFont="1">
      <alignment readingOrder="0"/>
    </xf>
    <xf borderId="18" fillId="2" fontId="10" numFmtId="49" xfId="0" applyAlignment="1" applyBorder="1" applyFont="1" applyNumberFormat="1">
      <alignment horizontal="center"/>
    </xf>
    <xf borderId="18" fillId="2" fontId="10" numFmtId="0" xfId="0" applyAlignment="1" applyBorder="1" applyFont="1">
      <alignment horizontal="center" shrinkToFit="0" wrapText="1"/>
    </xf>
    <xf borderId="0" fillId="0" fontId="10" numFmtId="167" xfId="0" applyAlignment="1" applyFont="1" applyNumberFormat="1">
      <alignment vertical="bottom"/>
    </xf>
    <xf borderId="0" fillId="0" fontId="10" numFmtId="49" xfId="0" applyAlignment="1" applyFont="1" applyNumberFormat="1">
      <alignment vertical="bottom"/>
    </xf>
    <xf borderId="0" fillId="0" fontId="10" numFmtId="172" xfId="0" applyAlignment="1" applyFont="1" applyNumberFormat="1">
      <alignment vertical="bottom"/>
    </xf>
    <xf borderId="2" fillId="18" fontId="73" numFmtId="166" xfId="0" applyAlignment="1" applyBorder="1" applyFont="1" applyNumberFormat="1">
      <alignment horizontal="center" readingOrder="0" shrinkToFit="0" vertical="center" wrapText="1"/>
    </xf>
    <xf borderId="2" fillId="18" fontId="73" numFmtId="0" xfId="0" applyAlignment="1" applyBorder="1" applyFont="1">
      <alignment horizontal="center" readingOrder="0" shrinkToFit="0" vertical="center" wrapText="1"/>
    </xf>
    <xf borderId="2" fillId="18" fontId="74" numFmtId="0" xfId="0" applyAlignment="1" applyBorder="1" applyFont="1">
      <alignment horizontal="center" readingOrder="0" shrinkToFit="0" vertical="center" wrapText="1"/>
    </xf>
    <xf borderId="2" fillId="18" fontId="75" numFmtId="166" xfId="0" applyAlignment="1" applyBorder="1" applyFont="1" applyNumberFormat="1">
      <alignment horizontal="center" readingOrder="0" shrinkToFit="0" vertical="center" wrapText="1"/>
    </xf>
    <xf borderId="2" fillId="18" fontId="76" numFmtId="0" xfId="0" applyAlignment="1" applyBorder="1" applyFont="1">
      <alignment horizontal="center" readingOrder="0" shrinkToFit="0" vertical="center" wrapText="1"/>
    </xf>
    <xf borderId="2" fillId="2" fontId="11" numFmtId="173" xfId="0" applyAlignment="1" applyBorder="1" applyFont="1" applyNumberFormat="1">
      <alignment horizontal="center" readingOrder="0" shrinkToFit="0" vertical="center" wrapText="1"/>
    </xf>
    <xf borderId="8" fillId="0" fontId="9" numFmtId="0" xfId="0" applyAlignment="1" applyBorder="1" applyFont="1">
      <alignment horizontal="center" readingOrder="0" shrinkToFit="0" vertical="center" wrapText="0"/>
    </xf>
    <xf borderId="2" fillId="18" fontId="76" numFmtId="0" xfId="0" applyAlignment="1" applyBorder="1" applyFont="1">
      <alignment horizontal="center" readingOrder="0" shrinkToFit="0" vertical="center" wrapText="1"/>
    </xf>
    <xf borderId="8" fillId="2" fontId="10" numFmtId="49" xfId="0" applyAlignment="1" applyBorder="1" applyFont="1" applyNumberFormat="1">
      <alignment horizontal="center" readingOrder="0"/>
    </xf>
    <xf borderId="2" fillId="2" fontId="10" numFmtId="166" xfId="0" applyAlignment="1" applyBorder="1" applyFont="1" applyNumberFormat="1">
      <alignment horizontal="center" shrinkToFit="0" vertical="center" wrapText="1"/>
    </xf>
    <xf borderId="2" fillId="2" fontId="10" numFmtId="166" xfId="0" applyAlignment="1" applyBorder="1" applyFont="1" applyNumberFormat="1">
      <alignment horizontal="center" shrinkToFit="0" vertical="center" wrapText="1"/>
    </xf>
    <xf borderId="2" fillId="18" fontId="10" numFmtId="0" xfId="0" applyAlignment="1" applyBorder="1" applyFont="1">
      <alignment horizontal="center" shrinkToFit="0" vertical="center" wrapText="1"/>
    </xf>
    <xf borderId="8" fillId="2" fontId="10" numFmtId="49" xfId="0" applyAlignment="1" applyBorder="1" applyFont="1" applyNumberFormat="1">
      <alignment horizontal="center" readingOrder="0" shrinkToFit="0" vertical="center" wrapText="1"/>
    </xf>
    <xf borderId="8" fillId="18" fontId="76" numFmtId="49" xfId="0" applyAlignment="1" applyBorder="1" applyFont="1" applyNumberFormat="1">
      <alignment horizontal="center" readingOrder="0" shrinkToFit="0" vertical="center" wrapText="1"/>
    </xf>
    <xf borderId="8" fillId="2" fontId="8" numFmtId="0" xfId="0" applyAlignment="1" applyBorder="1" applyFont="1">
      <alignment horizontal="center" readingOrder="0" shrinkToFit="0" vertical="center" wrapText="1"/>
    </xf>
    <xf borderId="8" fillId="18" fontId="76" numFmtId="0" xfId="0" applyAlignment="1" applyBorder="1" applyFont="1">
      <alignment horizontal="center" readingOrder="0" shrinkToFit="0" vertical="center" wrapText="1"/>
    </xf>
    <xf borderId="2" fillId="2" fontId="9" numFmtId="49" xfId="0" applyAlignment="1" applyBorder="1" applyFont="1" applyNumberFormat="1">
      <alignment horizontal="center" readingOrder="0" shrinkToFit="0" vertical="center" wrapText="1"/>
    </xf>
    <xf borderId="2" fillId="2" fontId="9" numFmtId="0" xfId="0" applyAlignment="1" applyBorder="1" applyFont="1">
      <alignment horizontal="center" shrinkToFit="0" vertical="center" wrapText="1"/>
    </xf>
    <xf borderId="2" fillId="2" fontId="9" numFmtId="0" xfId="0" applyAlignment="1" applyBorder="1" applyFont="1">
      <alignment horizontal="center" shrinkToFit="0" vertical="center" wrapText="1"/>
    </xf>
    <xf borderId="3" fillId="2" fontId="10" numFmtId="168" xfId="0" applyAlignment="1" applyBorder="1" applyFont="1" applyNumberFormat="1">
      <alignment horizontal="center" readingOrder="0" vertical="center"/>
    </xf>
    <xf borderId="18" fillId="2" fontId="77" numFmtId="0" xfId="0" applyAlignment="1" applyBorder="1" applyFont="1">
      <alignment horizontal="center" readingOrder="0" vertical="center"/>
    </xf>
    <xf borderId="2" fillId="2" fontId="9" numFmtId="168" xfId="0" applyAlignment="1" applyBorder="1" applyFont="1" applyNumberFormat="1">
      <alignment horizontal="center" readingOrder="0" shrinkToFit="0" vertical="center" wrapText="1"/>
    </xf>
    <xf borderId="3" fillId="2" fontId="11" numFmtId="0" xfId="0" applyAlignment="1" applyBorder="1" applyFont="1">
      <alignment horizontal="center" readingOrder="0" shrinkToFit="0" vertical="center" wrapText="1"/>
    </xf>
    <xf borderId="3" fillId="2" fontId="6" numFmtId="0" xfId="0" applyAlignment="1" applyBorder="1" applyFont="1">
      <alignment horizontal="center" readingOrder="0" shrinkToFit="0" vertical="center" wrapText="1"/>
    </xf>
    <xf borderId="0" fillId="0" fontId="6" numFmtId="0" xfId="0" applyAlignment="1" applyFont="1">
      <alignment horizontal="left" readingOrder="0" shrinkToFit="0" vertical="center" wrapText="1"/>
    </xf>
    <xf borderId="8" fillId="2" fontId="6" numFmtId="0" xfId="0" applyAlignment="1" applyBorder="1" applyFont="1">
      <alignment horizontal="center" readingOrder="0" shrinkToFit="0" vertical="center" wrapText="1"/>
    </xf>
    <xf borderId="0" fillId="0" fontId="6" numFmtId="166" xfId="0" applyAlignment="1" applyFont="1" applyNumberFormat="1">
      <alignment horizontal="center" readingOrder="0" shrinkToFit="0" vertical="center" wrapText="1"/>
    </xf>
    <xf borderId="0" fillId="2" fontId="10" numFmtId="0" xfId="0" applyAlignment="1" applyFont="1">
      <alignment horizontal="center" readingOrder="0" shrinkToFit="0" vertical="center" wrapText="1"/>
    </xf>
    <xf borderId="0" fillId="2" fontId="6" numFmtId="0" xfId="0" applyAlignment="1" applyFont="1">
      <alignment horizontal="center" shrinkToFit="0" vertical="center" wrapText="1"/>
    </xf>
    <xf borderId="5" fillId="8" fontId="10" numFmtId="0" xfId="0" applyAlignment="1" applyBorder="1" applyFont="1">
      <alignment horizontal="center" readingOrder="0" shrinkToFit="0" vertical="center" wrapText="1"/>
    </xf>
    <xf borderId="0" fillId="2" fontId="5" numFmtId="0" xfId="0" applyAlignment="1" applyFont="1">
      <alignment horizontal="center" readingOrder="0" shrinkToFit="0" vertical="center" wrapText="1"/>
    </xf>
    <xf borderId="1" fillId="2" fontId="8" numFmtId="0" xfId="0" applyAlignment="1" applyBorder="1" applyFont="1">
      <alignment horizontal="center" readingOrder="0" vertical="center"/>
    </xf>
    <xf borderId="5" fillId="2" fontId="6" numFmtId="0" xfId="0" applyAlignment="1" applyBorder="1" applyFont="1">
      <alignment horizontal="center" readingOrder="0" shrinkToFit="0" vertical="center" wrapText="1"/>
    </xf>
    <xf borderId="19" fillId="2" fontId="9" numFmtId="168" xfId="0" applyAlignment="1" applyBorder="1" applyFont="1" applyNumberFormat="1">
      <alignment horizontal="center" readingOrder="0" shrinkToFit="0" vertical="center" wrapText="1"/>
    </xf>
    <xf borderId="0" fillId="2" fontId="9" numFmtId="168" xfId="0" applyAlignment="1" applyFont="1" applyNumberFormat="1">
      <alignment horizontal="center" readingOrder="0" shrinkToFit="0" vertical="center" wrapText="1"/>
    </xf>
    <xf borderId="2" fillId="2" fontId="5" numFmtId="0" xfId="0" applyAlignment="1" applyBorder="1" applyFont="1">
      <alignment horizontal="center" readingOrder="0" shrinkToFit="0" vertical="center" wrapText="1"/>
    </xf>
    <xf borderId="5" fillId="2" fontId="5" numFmtId="0" xfId="0" applyAlignment="1" applyBorder="1" applyFont="1">
      <alignment horizontal="center" readingOrder="0" shrinkToFit="0" vertical="center" wrapText="1"/>
    </xf>
    <xf borderId="5" fillId="2" fontId="10" numFmtId="0" xfId="0" applyAlignment="1" applyBorder="1" applyFont="1">
      <alignment horizontal="center" readingOrder="0" shrinkToFit="0" vertical="center" wrapText="1"/>
    </xf>
    <xf borderId="21" fillId="2" fontId="9" numFmtId="0" xfId="0" applyAlignment="1" applyBorder="1" applyFont="1">
      <alignment horizontal="center" readingOrder="0" shrinkToFit="0" vertical="center" wrapText="1"/>
    </xf>
    <xf borderId="18" fillId="2" fontId="10" numFmtId="0" xfId="0" applyAlignment="1" applyBorder="1" applyFont="1">
      <alignment horizontal="center" readingOrder="0" vertical="top"/>
    </xf>
    <xf borderId="5" fillId="2" fontId="9" numFmtId="0" xfId="0" applyAlignment="1" applyBorder="1" applyFont="1">
      <alignment horizontal="center" readingOrder="0" shrinkToFit="0" vertical="center" wrapText="1"/>
    </xf>
    <xf borderId="2" fillId="21" fontId="6" numFmtId="0" xfId="0" applyAlignment="1" applyBorder="1" applyFont="1">
      <alignment readingOrder="0" shrinkToFit="0" vertical="center" wrapText="1"/>
    </xf>
    <xf borderId="18" fillId="2" fontId="10" numFmtId="49" xfId="0" applyAlignment="1" applyBorder="1" applyFont="1" applyNumberFormat="1">
      <alignment horizontal="center" readingOrder="0" vertical="bottom"/>
    </xf>
    <xf borderId="17" fillId="2" fontId="5" numFmtId="0" xfId="0" applyAlignment="1" applyBorder="1" applyFont="1">
      <alignment horizontal="center" readingOrder="0" shrinkToFit="0" vertical="center" wrapText="1"/>
    </xf>
    <xf borderId="5" fillId="2" fontId="10" numFmtId="0" xfId="0" applyAlignment="1" applyBorder="1" applyFont="1">
      <alignment horizontal="center" readingOrder="0" vertical="center"/>
    </xf>
    <xf borderId="18" fillId="20" fontId="10" numFmtId="0" xfId="0" applyAlignment="1" applyBorder="1" applyFont="1">
      <alignment vertical="center"/>
    </xf>
    <xf borderId="8" fillId="21" fontId="10" numFmtId="0" xfId="0" applyAlignment="1" applyBorder="1" applyFont="1">
      <alignment shrinkToFit="0" vertical="center" wrapText="1"/>
    </xf>
    <xf borderId="0" fillId="2" fontId="12" numFmtId="0" xfId="0" applyAlignment="1" applyFont="1">
      <alignment horizontal="center" readingOrder="0"/>
    </xf>
    <xf borderId="2" fillId="2" fontId="5" numFmtId="49" xfId="0" applyAlignment="1" applyBorder="1" applyFont="1" applyNumberFormat="1">
      <alignment horizontal="center" readingOrder="0"/>
    </xf>
    <xf borderId="2" fillId="2" fontId="10" numFmtId="49" xfId="0" applyAlignment="1" applyBorder="1" applyFont="1" applyNumberFormat="1">
      <alignment horizontal="center" vertical="bottom"/>
    </xf>
    <xf borderId="2" fillId="2" fontId="9" numFmtId="0" xfId="0" applyAlignment="1" applyBorder="1" applyFont="1">
      <alignment horizontal="center" shrinkToFit="0" wrapText="1"/>
    </xf>
    <xf borderId="5" fillId="2" fontId="9" numFmtId="0" xfId="0" applyAlignment="1" applyBorder="1" applyFont="1">
      <alignment horizontal="center" readingOrder="0" shrinkToFit="0" wrapText="1"/>
    </xf>
    <xf borderId="17" fillId="2" fontId="10" numFmtId="0" xfId="0" applyAlignment="1" applyBorder="1" applyFont="1">
      <alignment horizontal="center" readingOrder="0" vertical="center"/>
    </xf>
    <xf borderId="17" fillId="2" fontId="12" numFmtId="0" xfId="0" applyAlignment="1" applyBorder="1" applyFont="1">
      <alignment readingOrder="0"/>
    </xf>
    <xf borderId="19" fillId="2" fontId="10" numFmtId="0" xfId="0" applyAlignment="1" applyBorder="1" applyFont="1">
      <alignment horizontal="center" shrinkToFit="0" vertical="center" wrapText="1"/>
    </xf>
    <xf borderId="0" fillId="2" fontId="10" numFmtId="0" xfId="0" applyAlignment="1" applyFont="1">
      <alignment horizontal="center" shrinkToFit="0" vertical="center" wrapText="1"/>
    </xf>
    <xf borderId="0" fillId="2" fontId="9" numFmtId="0" xfId="0" applyAlignment="1" applyFont="1">
      <alignment horizontal="center" readingOrder="0" shrinkToFit="0" vertical="center" wrapText="1"/>
    </xf>
    <xf borderId="0" fillId="2" fontId="11" numFmtId="0" xfId="0" applyAlignment="1" applyFont="1">
      <alignment horizontal="center" shrinkToFit="0" vertical="center" wrapText="1"/>
    </xf>
    <xf borderId="5" fillId="0" fontId="6" numFmtId="0" xfId="0" applyAlignment="1" applyBorder="1" applyFont="1">
      <alignment readingOrder="0" shrinkToFit="0" vertical="center" wrapText="1"/>
    </xf>
    <xf borderId="18" fillId="2" fontId="10" numFmtId="49" xfId="0" applyAlignment="1" applyBorder="1" applyFont="1" applyNumberFormat="1">
      <alignment horizontal="center" readingOrder="0"/>
    </xf>
    <xf borderId="5" fillId="2" fontId="5" numFmtId="0" xfId="0" applyAlignment="1" applyBorder="1" applyFont="1">
      <alignment horizontal="center" readingOrder="0" shrinkToFit="0" vertical="center" wrapText="1"/>
    </xf>
    <xf borderId="8" fillId="2" fontId="10" numFmtId="0" xfId="0" applyAlignment="1" applyBorder="1" applyFont="1">
      <alignment horizontal="center" readingOrder="0" vertical="bottom"/>
    </xf>
    <xf borderId="2" fillId="2" fontId="8" numFmtId="0" xfId="0" applyAlignment="1" applyBorder="1" applyFont="1">
      <alignment horizontal="center" shrinkToFit="0" vertical="center" wrapText="1"/>
    </xf>
    <xf borderId="18" fillId="2" fontId="5" numFmtId="49" xfId="0" applyAlignment="1" applyBorder="1" applyFont="1" applyNumberFormat="1">
      <alignment horizontal="center" readingOrder="0" shrinkToFit="0" vertical="bottom" wrapText="1"/>
    </xf>
    <xf borderId="18" fillId="2" fontId="9" numFmtId="49" xfId="0" applyAlignment="1" applyBorder="1" applyFont="1" applyNumberFormat="1">
      <alignment horizontal="center" readingOrder="0" shrinkToFit="0" vertical="center" wrapText="1"/>
    </xf>
    <xf borderId="0" fillId="0" fontId="6" numFmtId="0" xfId="0" applyAlignment="1" applyFont="1">
      <alignment horizontal="center"/>
    </xf>
    <xf borderId="2" fillId="2" fontId="9" numFmtId="0" xfId="0" applyAlignment="1" applyBorder="1" applyFont="1">
      <alignment horizontal="center" shrinkToFit="0" vertical="center" wrapText="1"/>
    </xf>
    <xf borderId="2" fillId="2" fontId="78" numFmtId="0" xfId="0" applyAlignment="1" applyBorder="1" applyFont="1">
      <alignment horizontal="center" readingOrder="0" shrinkToFit="0" vertical="center" wrapText="1"/>
    </xf>
    <xf borderId="8" fillId="2" fontId="11" numFmtId="166" xfId="0" applyAlignment="1" applyBorder="1" applyFont="1" applyNumberFormat="1">
      <alignment horizontal="center" readingOrder="0" shrinkToFit="0" vertical="center" wrapText="1"/>
    </xf>
    <xf borderId="2" fillId="2" fontId="10" numFmtId="0" xfId="0" applyAlignment="1" applyBorder="1" applyFont="1">
      <alignment horizontal="center" vertical="bottom"/>
    </xf>
    <xf borderId="8" fillId="2" fontId="10" numFmtId="0" xfId="0" applyAlignment="1" applyBorder="1" applyFont="1">
      <alignment horizontal="center" vertical="bottom"/>
    </xf>
    <xf borderId="2" fillId="2" fontId="10" numFmtId="0" xfId="0" applyAlignment="1" applyBorder="1" applyFont="1">
      <alignment horizontal="center" readingOrder="0" vertical="bottom"/>
    </xf>
    <xf borderId="2" fillId="2" fontId="10" numFmtId="168" xfId="0" applyAlignment="1" applyBorder="1" applyFont="1" applyNumberFormat="1">
      <alignment horizontal="center" readingOrder="0" vertical="bottom"/>
    </xf>
    <xf borderId="8" fillId="0" fontId="10" numFmtId="0" xfId="0" applyAlignment="1" applyBorder="1" applyFont="1">
      <alignment horizontal="center"/>
    </xf>
    <xf borderId="8" fillId="0" fontId="10" numFmtId="0" xfId="0" applyAlignment="1" applyBorder="1" applyFont="1">
      <alignment horizontal="center" readingOrder="0"/>
    </xf>
    <xf borderId="5" fillId="0" fontId="11" numFmtId="0" xfId="0" applyAlignment="1" applyBorder="1" applyFont="1">
      <alignment horizontal="center" readingOrder="0" vertical="center"/>
    </xf>
    <xf borderId="3" fillId="0" fontId="6" numFmtId="0" xfId="0" applyAlignment="1" applyBorder="1" applyFont="1">
      <alignment horizontal="center" readingOrder="0" vertical="center"/>
    </xf>
    <xf borderId="18" fillId="0" fontId="10" numFmtId="0" xfId="0" applyAlignment="1" applyBorder="1" applyFont="1">
      <alignment horizontal="center" shrinkToFit="0" vertical="center" wrapText="1"/>
    </xf>
    <xf borderId="17" fillId="0" fontId="6" numFmtId="0" xfId="0" applyAlignment="1" applyBorder="1" applyFont="1">
      <alignment horizontal="center" readingOrder="0" shrinkToFit="0" vertical="center" wrapText="1"/>
    </xf>
    <xf borderId="8" fillId="2" fontId="9" numFmtId="166" xfId="0" applyAlignment="1" applyBorder="1" applyFont="1" applyNumberFormat="1">
      <alignment horizontal="center" readingOrder="0" shrinkToFit="0" vertical="center" wrapText="1"/>
    </xf>
    <xf borderId="0" fillId="2" fontId="5" numFmtId="0" xfId="0" applyAlignment="1" applyFont="1">
      <alignment horizontal="center" readingOrder="0" shrinkToFit="0" vertical="center" wrapText="1"/>
    </xf>
    <xf borderId="8" fillId="2" fontId="10" numFmtId="168" xfId="0" applyAlignment="1" applyBorder="1" applyFont="1" applyNumberFormat="1">
      <alignment horizontal="center" readingOrder="0" vertical="bottom"/>
    </xf>
    <xf borderId="5" fillId="2" fontId="12" numFmtId="0" xfId="0" applyAlignment="1" applyBorder="1" applyFont="1">
      <alignment horizontal="center" readingOrder="0"/>
    </xf>
    <xf borderId="17" fillId="2" fontId="9" numFmtId="0" xfId="0" applyAlignment="1" applyBorder="1" applyFont="1">
      <alignment horizontal="center" readingOrder="0" shrinkToFit="0" vertical="center" wrapText="1"/>
    </xf>
    <xf borderId="8" fillId="2" fontId="5" numFmtId="0" xfId="0" applyAlignment="1" applyBorder="1" applyFont="1">
      <alignment horizontal="center" vertical="bottom"/>
    </xf>
    <xf borderId="8" fillId="2" fontId="79" numFmtId="49" xfId="0" applyAlignment="1" applyBorder="1" applyFont="1" applyNumberFormat="1">
      <alignment horizontal="center" vertical="bottom"/>
    </xf>
    <xf borderId="18" fillId="2" fontId="5" numFmtId="0" xfId="0" applyAlignment="1" applyBorder="1" applyFont="1">
      <alignment horizontal="center"/>
    </xf>
    <xf borderId="8" fillId="2" fontId="79" numFmtId="49" xfId="0" applyAlignment="1" applyBorder="1" applyFont="1" applyNumberFormat="1">
      <alignment horizontal="center" readingOrder="0" vertical="bottom"/>
    </xf>
    <xf borderId="18" fillId="2" fontId="9" numFmtId="0" xfId="0" applyAlignment="1" applyBorder="1" applyFont="1">
      <alignment horizontal="center" readingOrder="0" shrinkToFit="0" vertical="center" wrapText="1"/>
    </xf>
    <xf borderId="8" fillId="2" fontId="10" numFmtId="0" xfId="0" applyAlignment="1" applyBorder="1" applyFont="1">
      <alignment horizontal="center" readingOrder="0" shrinkToFit="0" vertical="bottom" wrapText="1"/>
    </xf>
    <xf borderId="5" fillId="2" fontId="1" numFmtId="0" xfId="0" applyAlignment="1" applyBorder="1" applyFont="1">
      <alignment horizontal="center" readingOrder="0" shrinkToFit="0" vertical="center" wrapText="1"/>
    </xf>
    <xf borderId="0" fillId="2" fontId="6" numFmtId="0" xfId="0" applyAlignment="1" applyFont="1">
      <alignment readingOrder="0"/>
    </xf>
    <xf borderId="16" fillId="2" fontId="10" numFmtId="0" xfId="0" applyAlignment="1" applyBorder="1" applyFont="1">
      <alignment horizontal="center" readingOrder="0"/>
    </xf>
    <xf borderId="17" fillId="2" fontId="12" numFmtId="0" xfId="0" applyAlignment="1" applyBorder="1" applyFont="1">
      <alignment horizontal="center" readingOrder="0"/>
    </xf>
    <xf borderId="2" fillId="2" fontId="5" numFmtId="0" xfId="0" applyAlignment="1" applyBorder="1" applyFont="1">
      <alignment horizontal="center"/>
    </xf>
    <xf borderId="5" fillId="2" fontId="10" numFmtId="0" xfId="0" applyAlignment="1" applyBorder="1" applyFont="1">
      <alignment horizontal="center" readingOrder="0"/>
    </xf>
    <xf borderId="2" fillId="0" fontId="80" numFmtId="49" xfId="0" applyAlignment="1" applyBorder="1" applyFont="1" applyNumberFormat="1">
      <alignment horizontal="center" vertical="center"/>
    </xf>
    <xf borderId="2" fillId="0" fontId="80" numFmtId="49" xfId="0" applyAlignment="1" applyBorder="1" applyFont="1" applyNumberFormat="1">
      <alignment horizontal="center" readingOrder="0" vertical="center"/>
    </xf>
    <xf borderId="21" fillId="2" fontId="5" numFmtId="0" xfId="0" applyAlignment="1" applyBorder="1" applyFont="1">
      <alignment horizontal="center" readingOrder="0" shrinkToFit="0" vertical="center" wrapText="1"/>
    </xf>
    <xf borderId="2" fillId="2" fontId="10" numFmtId="49" xfId="0" applyAlignment="1" applyBorder="1" applyFont="1" applyNumberFormat="1">
      <alignment horizontal="center" shrinkToFit="0" vertical="bottom" wrapText="1"/>
    </xf>
    <xf borderId="2" fillId="2" fontId="5" numFmtId="0" xfId="0" applyAlignment="1" applyBorder="1" applyFont="1">
      <alignment horizontal="center" shrinkToFit="0" vertical="center" wrapText="1"/>
    </xf>
    <xf borderId="2" fillId="2" fontId="10" numFmtId="49" xfId="0" applyAlignment="1" applyBorder="1" applyFont="1" applyNumberFormat="1">
      <alignment horizontal="center" readingOrder="0" shrinkToFit="0" vertical="bottom" wrapText="1"/>
    </xf>
    <xf borderId="5" fillId="2" fontId="9" numFmtId="0" xfId="0" applyAlignment="1" applyBorder="1" applyFont="1">
      <alignment horizontal="center" readingOrder="0" shrinkToFit="0" vertical="center" wrapText="1"/>
    </xf>
    <xf borderId="19" fillId="2" fontId="9" numFmtId="0" xfId="0" applyAlignment="1" applyBorder="1" applyFont="1">
      <alignment horizontal="center" shrinkToFit="0" vertical="center" wrapText="1"/>
    </xf>
    <xf borderId="0" fillId="2" fontId="9" numFmtId="0" xfId="0" applyAlignment="1" applyFont="1">
      <alignment horizontal="center" shrinkToFit="0" vertical="center" wrapText="1"/>
    </xf>
    <xf borderId="8" fillId="2" fontId="5" numFmtId="0" xfId="0" applyAlignment="1" applyBorder="1" applyFont="1">
      <alignment horizontal="center" readingOrder="0" shrinkToFit="0" vertical="center" wrapText="1"/>
    </xf>
    <xf borderId="1" fillId="2" fontId="12" numFmtId="0" xfId="0" applyAlignment="1" applyBorder="1" applyFont="1">
      <alignment horizontal="center" readingOrder="0"/>
    </xf>
    <xf borderId="2" fillId="2" fontId="12" numFmtId="0" xfId="0" applyAlignment="1" applyBorder="1" applyFont="1">
      <alignment horizontal="center" readingOrder="0"/>
    </xf>
    <xf borderId="2" fillId="0" fontId="10" numFmtId="49" xfId="0" applyAlignment="1" applyBorder="1" applyFont="1" applyNumberFormat="1">
      <alignment horizontal="center" readingOrder="0" vertical="center"/>
    </xf>
    <xf borderId="2" fillId="0" fontId="10" numFmtId="0" xfId="0" applyAlignment="1" applyBorder="1" applyFont="1">
      <alignment horizontal="center" readingOrder="0" shrinkToFit="0" vertical="center" wrapText="1"/>
    </xf>
    <xf borderId="6" fillId="2" fontId="10" numFmtId="0" xfId="0" applyAlignment="1" applyBorder="1" applyFont="1">
      <alignment horizontal="center" vertical="bottom"/>
    </xf>
    <xf borderId="8" fillId="2" fontId="70" numFmtId="0" xfId="0" applyAlignment="1" applyBorder="1" applyFont="1">
      <alignment horizontal="center" vertical="bottom"/>
    </xf>
    <xf borderId="8" fillId="2" fontId="9" numFmtId="166" xfId="0" applyAlignment="1" applyBorder="1" applyFont="1" applyNumberFormat="1">
      <alignment horizontal="center" readingOrder="0" shrinkToFit="0" vertical="center" wrapText="1"/>
    </xf>
    <xf borderId="8" fillId="0" fontId="6" numFmtId="0" xfId="0" applyAlignment="1" applyBorder="1" applyFont="1">
      <alignment horizontal="center" readingOrder="0" vertical="center"/>
    </xf>
    <xf borderId="18" fillId="2" fontId="5" numFmtId="0" xfId="0" applyAlignment="1" applyBorder="1" applyFont="1">
      <alignment horizontal="center" readingOrder="0" shrinkToFit="0" vertical="center" wrapText="1"/>
    </xf>
    <xf borderId="2" fillId="2" fontId="5" numFmtId="0" xfId="0" applyAlignment="1" applyBorder="1" applyFont="1">
      <alignment horizontal="center" readingOrder="0" shrinkToFit="0" vertical="center" wrapText="1"/>
    </xf>
    <xf borderId="18" fillId="0" fontId="6" numFmtId="0" xfId="0" applyAlignment="1" applyBorder="1" applyFont="1">
      <alignment horizontal="center" readingOrder="0" shrinkToFit="0" vertical="center" wrapText="1"/>
    </xf>
    <xf borderId="8" fillId="0" fontId="10" numFmtId="49" xfId="0" applyAlignment="1" applyBorder="1" applyFont="1" applyNumberFormat="1">
      <alignment horizontal="center"/>
    </xf>
    <xf borderId="8" fillId="0" fontId="10" numFmtId="49" xfId="0" applyAlignment="1" applyBorder="1" applyFont="1" applyNumberFormat="1">
      <alignment horizontal="center" readingOrder="0"/>
    </xf>
    <xf borderId="2" fillId="2" fontId="5" numFmtId="0" xfId="0" applyAlignment="1" applyBorder="1" applyFont="1">
      <alignment horizontal="center" readingOrder="0"/>
    </xf>
    <xf borderId="18" fillId="2" fontId="9" numFmtId="0" xfId="0" applyAlignment="1" applyBorder="1" applyFont="1">
      <alignment horizontal="center" shrinkToFit="0" vertical="center" wrapText="1"/>
    </xf>
    <xf borderId="18" fillId="2" fontId="10" numFmtId="0" xfId="0" applyAlignment="1" applyBorder="1" applyFont="1">
      <alignment horizontal="center"/>
    </xf>
    <xf borderId="3" fillId="2" fontId="10" numFmtId="0" xfId="0" applyAlignment="1" applyBorder="1" applyFont="1">
      <alignment horizontal="center"/>
    </xf>
    <xf borderId="18" fillId="2" fontId="10" numFmtId="0" xfId="0" applyAlignment="1" applyBorder="1" applyFont="1">
      <alignment horizontal="center" shrinkToFit="0" wrapText="1"/>
    </xf>
    <xf borderId="18" fillId="2" fontId="10" numFmtId="49" xfId="0" applyAlignment="1" applyBorder="1" applyFont="1" applyNumberFormat="1">
      <alignment horizontal="center" readingOrder="0"/>
    </xf>
    <xf borderId="18" fillId="2" fontId="10" numFmtId="0" xfId="0" applyAlignment="1" applyBorder="1" applyFont="1">
      <alignment horizontal="center" readingOrder="0" shrinkToFit="0" wrapText="1"/>
    </xf>
    <xf borderId="0" fillId="2" fontId="11" numFmtId="166" xfId="0" applyAlignment="1" applyFont="1" applyNumberFormat="1">
      <alignment horizontal="center" readingOrder="0" shrinkToFit="0" vertical="center" wrapText="1"/>
    </xf>
    <xf borderId="8" fillId="2" fontId="10" numFmtId="0" xfId="0" applyAlignment="1" applyBorder="1" applyFont="1">
      <alignment horizontal="center" shrinkToFit="0" vertical="center" wrapText="1"/>
    </xf>
    <xf borderId="17" fillId="2" fontId="10" numFmtId="0" xfId="0" applyAlignment="1" applyBorder="1" applyFont="1">
      <alignment horizontal="center" readingOrder="0"/>
    </xf>
    <xf borderId="18" fillId="2" fontId="10" numFmtId="0" xfId="0" applyAlignment="1" applyBorder="1" applyFont="1">
      <alignment horizontal="center" readingOrder="0" shrinkToFit="0" vertical="center" wrapText="1"/>
    </xf>
    <xf borderId="17" fillId="2" fontId="10" numFmtId="0" xfId="0" applyAlignment="1" applyBorder="1" applyFont="1">
      <alignment horizontal="center" readingOrder="0" shrinkToFit="0" vertical="center" wrapText="1"/>
    </xf>
    <xf borderId="2" fillId="0" fontId="5" numFmtId="49" xfId="0" applyAlignment="1" applyBorder="1" applyFont="1" applyNumberFormat="1">
      <alignment horizontal="center" vertical="center"/>
    </xf>
    <xf borderId="8" fillId="2" fontId="81" numFmtId="0" xfId="0" applyAlignment="1" applyBorder="1" applyFont="1">
      <alignment horizontal="center" shrinkToFit="0" vertical="center" wrapText="1"/>
    </xf>
    <xf borderId="18" fillId="2" fontId="6" numFmtId="0" xfId="0" applyAlignment="1" applyBorder="1" applyFont="1">
      <alignment horizontal="center" readingOrder="0" vertical="center"/>
    </xf>
    <xf borderId="8" fillId="0" fontId="10" numFmtId="49" xfId="0" applyAlignment="1" applyBorder="1" applyFont="1" applyNumberFormat="1">
      <alignment horizontal="center" shrinkToFit="0" wrapText="1"/>
    </xf>
    <xf borderId="18" fillId="0" fontId="10" numFmtId="49" xfId="0" applyAlignment="1" applyBorder="1" applyFont="1" applyNumberFormat="1">
      <alignment horizontal="center" readingOrder="0" shrinkToFit="0" wrapText="1"/>
    </xf>
    <xf borderId="17" fillId="2" fontId="5" numFmtId="0" xfId="0" applyAlignment="1" applyBorder="1" applyFont="1">
      <alignment horizontal="center" readingOrder="0" shrinkToFit="0" vertical="center" wrapText="1"/>
    </xf>
    <xf borderId="5" fillId="2" fontId="5" numFmtId="0" xfId="0" applyAlignment="1" applyBorder="1" applyFont="1">
      <alignment horizontal="center" readingOrder="0" shrinkToFit="0" vertical="center" wrapText="1"/>
    </xf>
    <xf borderId="2" fillId="2" fontId="21" numFmtId="0" xfId="0" applyAlignment="1" applyBorder="1" applyFont="1">
      <alignment horizontal="center" readingOrder="0" vertical="center"/>
    </xf>
    <xf borderId="21" fillId="2" fontId="9" numFmtId="0" xfId="0" applyAlignment="1" applyBorder="1" applyFont="1">
      <alignment horizontal="center" readingOrder="0" shrinkToFit="0" vertical="center" wrapText="1"/>
    </xf>
    <xf borderId="5" fillId="2" fontId="10" numFmtId="0" xfId="0" applyAlignment="1" applyBorder="1" applyFont="1">
      <alignment readingOrder="0"/>
    </xf>
    <xf borderId="2" fillId="2" fontId="9" numFmtId="168" xfId="0" applyAlignment="1" applyBorder="1" applyFont="1" applyNumberFormat="1">
      <alignment horizontal="center" readingOrder="0" shrinkToFit="0" vertical="center" wrapText="1"/>
    </xf>
    <xf borderId="18" fillId="0" fontId="10" numFmtId="0" xfId="0" applyAlignment="1" applyBorder="1" applyFont="1">
      <alignment horizontal="center" readingOrder="0" shrinkToFit="0" vertical="center" wrapText="1"/>
    </xf>
    <xf borderId="21" fillId="2" fontId="5" numFmtId="0" xfId="0" applyAlignment="1" applyBorder="1" applyFont="1">
      <alignment horizontal="center" readingOrder="0" shrinkToFit="0" vertical="center" wrapText="1"/>
    </xf>
    <xf borderId="3" fillId="2" fontId="10" numFmtId="0" xfId="0" applyAlignment="1" applyBorder="1" applyFont="1">
      <alignment horizontal="center" vertical="center"/>
    </xf>
    <xf borderId="18" fillId="2" fontId="10" numFmtId="49" xfId="0" applyAlignment="1" applyBorder="1" applyFont="1" applyNumberFormat="1">
      <alignment horizontal="center" vertical="center"/>
    </xf>
    <xf borderId="18" fillId="2" fontId="10" numFmtId="0" xfId="0" applyAlignment="1" applyBorder="1" applyFont="1">
      <alignment horizontal="center" vertical="center"/>
    </xf>
    <xf borderId="17" fillId="2" fontId="10" numFmtId="0" xfId="0" applyAlignment="1" applyBorder="1" applyFont="1">
      <alignment horizontal="center" readingOrder="0" vertical="center"/>
    </xf>
    <xf borderId="5" fillId="0" fontId="5" numFmtId="0" xfId="0" applyAlignment="1" applyBorder="1" applyFont="1">
      <alignment horizontal="center" readingOrder="0" shrinkToFit="0" vertical="center" wrapText="1"/>
    </xf>
    <xf borderId="5" fillId="30" fontId="5" numFmtId="0" xfId="0" applyAlignment="1" applyBorder="1" applyFill="1" applyFont="1">
      <alignment readingOrder="0" shrinkToFit="0" vertical="center" wrapText="1"/>
    </xf>
    <xf borderId="5" fillId="2" fontId="5" numFmtId="0" xfId="0" applyAlignment="1" applyBorder="1" applyFont="1">
      <alignment horizontal="center" readingOrder="0" vertical="center"/>
    </xf>
    <xf borderId="0" fillId="2" fontId="5" numFmtId="0" xfId="0" applyAlignment="1" applyFont="1">
      <alignment horizontal="center" readingOrder="0"/>
    </xf>
    <xf borderId="2" fillId="2" fontId="10" numFmtId="168" xfId="0" applyAlignment="1" applyBorder="1" applyFont="1" applyNumberFormat="1">
      <alignment horizontal="center" readingOrder="0" shrinkToFit="0" vertical="center" wrapText="1"/>
    </xf>
    <xf borderId="2" fillId="2" fontId="5" numFmtId="0" xfId="0" applyAlignment="1" applyBorder="1" applyFont="1">
      <alignment horizontal="center" readingOrder="0" shrinkToFit="0" wrapText="1"/>
    </xf>
    <xf borderId="18" fillId="2" fontId="9" numFmtId="166" xfId="0" applyAlignment="1" applyBorder="1" applyFont="1" applyNumberFormat="1">
      <alignment horizontal="center" readingOrder="0" shrinkToFit="0" vertical="center" wrapText="1"/>
    </xf>
    <xf borderId="18" fillId="2" fontId="10" numFmtId="0" xfId="0" applyAlignment="1" applyBorder="1" applyFont="1">
      <alignment horizontal="center" readingOrder="0" vertical="center"/>
    </xf>
    <xf borderId="18" fillId="2" fontId="5" numFmtId="0" xfId="0" applyAlignment="1" applyBorder="1" applyFont="1">
      <alignment horizontal="center" readingOrder="0" vertical="bottom"/>
    </xf>
    <xf borderId="2" fillId="2" fontId="21" numFmtId="49" xfId="0" applyAlignment="1" applyBorder="1" applyFont="1" applyNumberFormat="1">
      <alignment horizontal="center" readingOrder="0" vertical="center"/>
    </xf>
    <xf borderId="5" fillId="0" fontId="8" numFmtId="0" xfId="0" applyAlignment="1" applyBorder="1" applyFont="1">
      <alignment horizontal="center" readingOrder="0" shrinkToFit="0" vertical="bottom" wrapText="1"/>
    </xf>
    <xf borderId="0" fillId="2" fontId="9" numFmtId="49" xfId="0" applyAlignment="1" applyFont="1" applyNumberFormat="1">
      <alignment horizontal="center" readingOrder="0" shrinkToFit="0" vertical="center" wrapText="1"/>
    </xf>
    <xf borderId="21" fillId="2" fontId="10" numFmtId="0" xfId="0" applyAlignment="1" applyBorder="1" applyFont="1">
      <alignment horizontal="center" readingOrder="0" vertical="bottom"/>
    </xf>
    <xf borderId="17" fillId="2" fontId="5" numFmtId="0" xfId="0" applyAlignment="1" applyBorder="1" applyFont="1">
      <alignment horizontal="center" readingOrder="0" shrinkToFit="0" wrapText="1"/>
    </xf>
    <xf borderId="2" fillId="2" fontId="10" numFmtId="166" xfId="0" applyAlignment="1" applyBorder="1" applyFont="1" applyNumberFormat="1">
      <alignment horizontal="center" vertical="center"/>
    </xf>
    <xf borderId="5" fillId="2" fontId="5" numFmtId="0" xfId="0" applyAlignment="1" applyBorder="1" applyFont="1">
      <alignment horizontal="center" readingOrder="0" shrinkToFit="0" wrapText="1"/>
    </xf>
    <xf borderId="1" fillId="2" fontId="10" numFmtId="0" xfId="0" applyAlignment="1" applyBorder="1" applyFont="1">
      <alignment horizontal="center" readingOrder="0" vertical="bottom"/>
    </xf>
    <xf borderId="18" fillId="0" fontId="6" numFmtId="0" xfId="0" applyAlignment="1" applyBorder="1" applyFont="1">
      <alignment horizontal="center" readingOrder="0" vertical="center"/>
    </xf>
    <xf borderId="8" fillId="2" fontId="5" numFmtId="0" xfId="0" applyAlignment="1" applyBorder="1" applyFont="1">
      <alignment horizontal="center" readingOrder="0" shrinkToFit="0" vertical="bottom" wrapText="1"/>
    </xf>
    <xf borderId="17" fillId="2" fontId="5" numFmtId="0" xfId="0" applyAlignment="1" applyBorder="1" applyFont="1">
      <alignment horizontal="center" readingOrder="0" shrinkToFit="0" vertical="bottom" wrapText="1"/>
    </xf>
    <xf borderId="16" fillId="2" fontId="10" numFmtId="0" xfId="0" applyAlignment="1" applyBorder="1" applyFont="1">
      <alignment horizontal="center" readingOrder="0" shrinkToFit="0" vertical="center" wrapText="1"/>
    </xf>
    <xf borderId="18" fillId="2" fontId="5" numFmtId="0" xfId="0" applyAlignment="1" applyBorder="1" applyFont="1">
      <alignment horizontal="center" readingOrder="0" shrinkToFit="0" vertical="center" wrapText="1"/>
    </xf>
    <xf borderId="5" fillId="2" fontId="5" numFmtId="0" xfId="0" applyAlignment="1" applyBorder="1" applyFont="1">
      <alignment horizontal="center" readingOrder="0" shrinkToFit="0" vertical="bottom" wrapText="1"/>
    </xf>
    <xf borderId="17" fillId="2" fontId="10" numFmtId="49" xfId="0" applyAlignment="1" applyBorder="1" applyFont="1" applyNumberFormat="1">
      <alignment horizontal="center" readingOrder="0"/>
    </xf>
    <xf borderId="5" fillId="0" fontId="6" numFmtId="0" xfId="0" applyAlignment="1" applyBorder="1" applyFont="1">
      <alignment horizontal="center" readingOrder="0" shrinkToFit="0" vertical="center" wrapText="1"/>
    </xf>
    <xf borderId="2" fillId="0" fontId="6" numFmtId="0" xfId="0" applyAlignment="1" applyBorder="1" applyFont="1">
      <alignment horizontal="center" readingOrder="0"/>
    </xf>
    <xf borderId="2" fillId="0" fontId="6" numFmtId="0" xfId="0" applyAlignment="1" applyBorder="1" applyFont="1">
      <alignment horizontal="center" readingOrder="0" shrinkToFit="0" wrapText="1"/>
    </xf>
    <xf borderId="18" fillId="2" fontId="5" numFmtId="0" xfId="0" applyAlignment="1" applyBorder="1" applyFont="1">
      <alignment horizontal="center" readingOrder="0" shrinkToFit="0" wrapText="1"/>
    </xf>
    <xf borderId="2" fillId="2" fontId="11" numFmtId="168" xfId="0" applyAlignment="1" applyBorder="1" applyFont="1" applyNumberFormat="1">
      <alignment horizontal="center" readingOrder="0" shrinkToFit="0" vertical="center" wrapText="1"/>
    </xf>
    <xf borderId="18" fillId="2" fontId="9" numFmtId="166" xfId="0" applyAlignment="1" applyBorder="1" applyFont="1" applyNumberFormat="1">
      <alignment horizontal="center" readingOrder="0" shrinkToFit="0" vertical="center" wrapText="1"/>
    </xf>
    <xf borderId="18" fillId="2" fontId="9" numFmtId="0" xfId="0" applyAlignment="1" applyBorder="1" applyFont="1">
      <alignment horizontal="center" readingOrder="0" shrinkToFit="0" vertical="center" wrapText="1"/>
    </xf>
    <xf borderId="8" fillId="2" fontId="5" numFmtId="0" xfId="0" applyAlignment="1" applyBorder="1" applyFont="1">
      <alignment horizontal="center" readingOrder="0" vertical="bottom"/>
    </xf>
    <xf borderId="21" fillId="2" fontId="8" numFmtId="0" xfId="0" applyAlignment="1" applyBorder="1" applyFont="1">
      <alignment horizontal="center" readingOrder="0" vertical="center"/>
    </xf>
    <xf borderId="3" fillId="2" fontId="9" numFmtId="166" xfId="0" applyAlignment="1" applyBorder="1" applyFont="1" applyNumberFormat="1">
      <alignment horizontal="center" readingOrder="0" shrinkToFit="0" vertical="center" wrapText="1"/>
    </xf>
    <xf borderId="1" fillId="2" fontId="9" numFmtId="0" xfId="0" applyAlignment="1" applyBorder="1" applyFont="1">
      <alignment horizontal="center" readingOrder="0" shrinkToFit="0" vertical="center" wrapText="1"/>
    </xf>
    <xf borderId="0" fillId="2" fontId="5" numFmtId="0" xfId="0" applyAlignment="1" applyFont="1">
      <alignment horizontal="center" readingOrder="0" shrinkToFit="0" vertical="bottom" wrapText="1"/>
    </xf>
    <xf borderId="2" fillId="2" fontId="5" numFmtId="0" xfId="0" applyAlignment="1" applyBorder="1" applyFont="1">
      <alignment horizontal="center" readingOrder="0" shrinkToFit="0" wrapText="1"/>
    </xf>
    <xf borderId="5" fillId="2" fontId="5" numFmtId="0" xfId="0" applyAlignment="1" applyBorder="1" applyFont="1">
      <alignment horizontal="center" readingOrder="0" shrinkToFit="0" wrapText="1"/>
    </xf>
    <xf borderId="2" fillId="8" fontId="10" numFmtId="49" xfId="0" applyAlignment="1" applyBorder="1" applyFont="1" applyNumberFormat="1">
      <alignment horizontal="center" vertical="bottom"/>
    </xf>
    <xf borderId="2" fillId="8" fontId="10" numFmtId="0" xfId="0" applyAlignment="1" applyBorder="1" applyFont="1">
      <alignment horizontal="center" shrinkToFit="0" vertical="bottom" wrapText="1"/>
    </xf>
    <xf borderId="18" fillId="0" fontId="6" numFmtId="168" xfId="0" applyAlignment="1" applyBorder="1" applyFont="1" applyNumberFormat="1">
      <alignment horizontal="center" readingOrder="0" vertical="center"/>
    </xf>
    <xf borderId="2" fillId="2" fontId="9" numFmtId="0" xfId="0" applyAlignment="1" applyBorder="1" applyFont="1">
      <alignment horizontal="center" readingOrder="0" shrinkToFit="0" wrapText="1"/>
    </xf>
    <xf borderId="18" fillId="0" fontId="5" numFmtId="49" xfId="0" applyAlignment="1" applyBorder="1" applyFont="1" applyNumberFormat="1">
      <alignment horizontal="center" readingOrder="0" shrinkToFit="0" vertical="center" wrapText="1"/>
    </xf>
    <xf borderId="8" fillId="2" fontId="5" numFmtId="0" xfId="0" applyAlignment="1" applyBorder="1" applyFont="1">
      <alignment horizontal="center" readingOrder="0"/>
    </xf>
    <xf borderId="18" fillId="2" fontId="9" numFmtId="0" xfId="0" applyAlignment="1" applyBorder="1" applyFont="1">
      <alignment horizontal="center" readingOrder="0" shrinkToFit="0" vertical="bottom" wrapText="1"/>
    </xf>
    <xf borderId="17" fillId="2" fontId="9" numFmtId="0" xfId="0" applyAlignment="1" applyBorder="1" applyFont="1">
      <alignment horizontal="center" readingOrder="0" shrinkToFit="0" vertical="bottom" wrapText="1"/>
    </xf>
    <xf borderId="3" fillId="2" fontId="6" numFmtId="0" xfId="0" applyAlignment="1" applyBorder="1" applyFont="1">
      <alignment horizontal="center" readingOrder="0" vertical="center"/>
    </xf>
    <xf borderId="5" fillId="2" fontId="5" numFmtId="0" xfId="0" applyAlignment="1" applyBorder="1" applyFont="1">
      <alignment horizontal="center" readingOrder="0" vertical="center"/>
    </xf>
    <xf borderId="2" fillId="2" fontId="10" numFmtId="172" xfId="0" applyAlignment="1" applyBorder="1" applyFont="1" applyNumberFormat="1">
      <alignment horizontal="center" readingOrder="0" vertical="bottom"/>
    </xf>
    <xf borderId="2" fillId="2" fontId="6" numFmtId="166" xfId="0" applyAlignment="1" applyBorder="1" applyFont="1" applyNumberFormat="1">
      <alignment horizontal="center" readingOrder="0" vertical="center"/>
    </xf>
    <xf borderId="16" fillId="2" fontId="5" numFmtId="0" xfId="0" applyAlignment="1" applyBorder="1" applyFont="1">
      <alignment horizontal="center" readingOrder="0" vertical="center"/>
    </xf>
    <xf borderId="18" fillId="0" fontId="6" numFmtId="0" xfId="0" applyAlignment="1" applyBorder="1" applyFont="1">
      <alignment horizontal="center" vertical="center"/>
    </xf>
    <xf borderId="17" fillId="0" fontId="10" numFmtId="49" xfId="0" applyAlignment="1" applyBorder="1" applyFont="1" applyNumberFormat="1">
      <alignment horizontal="center" readingOrder="0"/>
    </xf>
    <xf borderId="16" fillId="2" fontId="9" numFmtId="0" xfId="0" applyAlignment="1" applyBorder="1" applyFont="1">
      <alignment horizontal="center" readingOrder="0" vertical="center"/>
    </xf>
    <xf borderId="3" fillId="2" fontId="10" numFmtId="168" xfId="0" applyAlignment="1" applyBorder="1" applyFont="1" applyNumberFormat="1">
      <alignment horizontal="center" readingOrder="0" shrinkToFit="0" vertical="center" wrapText="1"/>
    </xf>
    <xf borderId="3" fillId="2" fontId="9" numFmtId="0" xfId="0" applyAlignment="1" applyBorder="1" applyFont="1">
      <alignment horizontal="center" readingOrder="0" shrinkToFit="0" vertical="center" wrapText="1"/>
    </xf>
    <xf borderId="5" fillId="2" fontId="10" numFmtId="49" xfId="0" applyAlignment="1" applyBorder="1" applyFont="1" applyNumberFormat="1">
      <alignment horizontal="center" readingOrder="0"/>
    </xf>
    <xf borderId="3" fillId="2" fontId="11" numFmtId="166" xfId="0" applyAlignment="1" applyBorder="1" applyFont="1" applyNumberFormat="1">
      <alignment horizontal="center" readingOrder="0" shrinkToFit="0" vertical="center" wrapText="1"/>
    </xf>
    <xf borderId="18" fillId="2" fontId="8" numFmtId="0" xfId="0" applyAlignment="1" applyBorder="1" applyFont="1">
      <alignment horizontal="center" readingOrder="0" vertical="center"/>
    </xf>
    <xf borderId="5" fillId="30" fontId="5" numFmtId="0" xfId="0" applyAlignment="1" applyBorder="1" applyFont="1">
      <alignment horizontal="center" readingOrder="0"/>
    </xf>
    <xf borderId="18" fillId="2" fontId="8" numFmtId="166" xfId="0" applyAlignment="1" applyBorder="1" applyFont="1" applyNumberFormat="1">
      <alignment horizontal="center" readingOrder="0" vertical="center"/>
    </xf>
    <xf borderId="3" fillId="2" fontId="5" numFmtId="0" xfId="0" applyAlignment="1" applyBorder="1" applyFont="1">
      <alignment horizontal="center" readingOrder="0"/>
    </xf>
    <xf borderId="8" fillId="0" fontId="6" numFmtId="0" xfId="0" applyAlignment="1" applyBorder="1" applyFont="1">
      <alignment horizontal="center" readingOrder="0" shrinkToFit="0" vertical="center" wrapText="1"/>
    </xf>
    <xf borderId="17" fillId="2" fontId="5" numFmtId="0" xfId="0" applyAlignment="1" applyBorder="1" applyFont="1">
      <alignment horizontal="center" readingOrder="0" vertical="center"/>
    </xf>
    <xf borderId="2" fillId="2" fontId="5" numFmtId="49" xfId="0" applyAlignment="1" applyBorder="1" applyFont="1" applyNumberFormat="1">
      <alignment horizontal="center" vertical="center"/>
    </xf>
    <xf borderId="16" fillId="0" fontId="10" numFmtId="49" xfId="0" applyAlignment="1" applyBorder="1" applyFont="1" applyNumberFormat="1">
      <alignment horizontal="center" readingOrder="0" vertical="center"/>
    </xf>
    <xf borderId="16" fillId="2" fontId="10" numFmtId="49" xfId="0" applyAlignment="1" applyBorder="1" applyFont="1" applyNumberFormat="1">
      <alignment horizontal="center" readingOrder="0"/>
    </xf>
    <xf borderId="18" fillId="2" fontId="6" numFmtId="166" xfId="0" applyAlignment="1" applyBorder="1" applyFont="1" applyNumberFormat="1">
      <alignment horizontal="center" readingOrder="0" vertical="center"/>
    </xf>
    <xf borderId="17" fillId="0" fontId="10" numFmtId="0" xfId="0" applyAlignment="1" applyBorder="1" applyFont="1">
      <alignment horizontal="center" readingOrder="0" vertical="center"/>
    </xf>
    <xf borderId="21" fillId="0" fontId="10" numFmtId="49" xfId="0" applyAlignment="1" applyBorder="1" applyFont="1" applyNumberFormat="1">
      <alignment horizontal="center" readingOrder="0" vertical="center"/>
    </xf>
    <xf borderId="17" fillId="2" fontId="10" numFmtId="0" xfId="0" applyAlignment="1" applyBorder="1" applyFont="1">
      <alignment horizontal="center" readingOrder="0" vertical="bottom"/>
    </xf>
    <xf borderId="2" fillId="8" fontId="10" numFmtId="0" xfId="0" applyAlignment="1" applyBorder="1" applyFont="1">
      <alignment horizontal="center" readingOrder="0" vertical="center"/>
    </xf>
    <xf borderId="2" fillId="0" fontId="6" numFmtId="166" xfId="0" applyAlignment="1" applyBorder="1" applyFont="1" applyNumberFormat="1">
      <alignment horizontal="center" readingOrder="0" vertical="center"/>
    </xf>
    <xf borderId="5" fillId="2" fontId="10" numFmtId="0" xfId="0" applyAlignment="1" applyBorder="1" applyFont="1">
      <alignment horizontal="center" readingOrder="0" vertical="bottom"/>
    </xf>
    <xf borderId="16" fillId="2" fontId="10" numFmtId="0" xfId="0" applyAlignment="1" applyBorder="1" applyFont="1">
      <alignment horizontal="center" readingOrder="0" vertical="bottom"/>
    </xf>
    <xf borderId="8" fillId="2" fontId="6" numFmtId="166" xfId="0" applyAlignment="1" applyBorder="1" applyFont="1" applyNumberFormat="1">
      <alignment horizontal="center" readingOrder="0" vertical="center"/>
    </xf>
    <xf borderId="8" fillId="0" fontId="6" numFmtId="0" xfId="0" applyAlignment="1" applyBorder="1" applyFont="1">
      <alignment horizontal="center" readingOrder="0"/>
    </xf>
    <xf borderId="21" fillId="0" fontId="6" numFmtId="0" xfId="0" applyAlignment="1" applyBorder="1" applyFont="1">
      <alignment horizontal="center" readingOrder="0"/>
    </xf>
    <xf borderId="21" fillId="2" fontId="21" numFmtId="0" xfId="0" applyAlignment="1" applyBorder="1" applyFont="1">
      <alignment horizontal="center" readingOrder="0" vertical="center"/>
    </xf>
    <xf borderId="5" fillId="2" fontId="12" numFmtId="0" xfId="0" applyAlignment="1" applyBorder="1" applyFont="1">
      <alignment horizontal="center" vertical="center"/>
    </xf>
    <xf borderId="21" fillId="0" fontId="10" numFmtId="49" xfId="0" applyAlignment="1" applyBorder="1" applyFont="1" applyNumberFormat="1">
      <alignment horizontal="center" readingOrder="0"/>
    </xf>
    <xf borderId="9" fillId="2" fontId="11" numFmtId="166" xfId="0" applyAlignment="1" applyBorder="1" applyFont="1" applyNumberFormat="1">
      <alignment horizontal="center" readingOrder="0" shrinkToFit="0" vertical="center" wrapText="1"/>
    </xf>
    <xf borderId="9" fillId="2" fontId="9" numFmtId="0" xfId="0" applyAlignment="1" applyBorder="1" applyFont="1">
      <alignment horizontal="center" readingOrder="0" shrinkToFit="0" vertical="center" wrapText="1"/>
    </xf>
    <xf borderId="9" fillId="2" fontId="6" numFmtId="166" xfId="0" applyAlignment="1" applyBorder="1" applyFont="1" applyNumberFormat="1">
      <alignment horizontal="center" readingOrder="0" vertical="center"/>
    </xf>
    <xf borderId="9" fillId="0" fontId="5" numFmtId="0" xfId="0" applyAlignment="1" applyBorder="1" applyFont="1">
      <alignment horizontal="center" readingOrder="0" vertical="center"/>
    </xf>
    <xf borderId="9" fillId="2" fontId="10" numFmtId="0" xfId="0" applyAlignment="1" applyBorder="1" applyFont="1">
      <alignment horizontal="center" vertical="center"/>
    </xf>
    <xf borderId="25" fillId="2" fontId="10" numFmtId="0" xfId="0" applyAlignment="1" applyBorder="1" applyFont="1">
      <alignment horizontal="center" vertical="center"/>
    </xf>
    <xf borderId="9" fillId="2" fontId="10" numFmtId="0" xfId="0" applyAlignment="1" applyBorder="1" applyFont="1">
      <alignment horizontal="center" readingOrder="0" vertical="center"/>
    </xf>
    <xf borderId="23" fillId="2" fontId="5" numFmtId="0" xfId="0" applyAlignment="1" applyBorder="1" applyFont="1">
      <alignment horizontal="center" readingOrder="0" vertical="center"/>
    </xf>
    <xf borderId="3" fillId="2" fontId="8" numFmtId="166" xfId="0" applyAlignment="1" applyBorder="1" applyFont="1" applyNumberFormat="1">
      <alignment horizontal="center" readingOrder="0" shrinkToFit="0" vertical="center" wrapText="1"/>
    </xf>
    <xf borderId="3" fillId="0" fontId="10" numFmtId="0" xfId="0" applyAlignment="1" applyBorder="1" applyFont="1">
      <alignment horizontal="center" readingOrder="0" shrinkToFit="0" vertical="bottom" wrapText="1"/>
    </xf>
    <xf borderId="6" fillId="2" fontId="11" numFmtId="166" xfId="0" applyAlignment="1" applyBorder="1" applyFont="1" applyNumberFormat="1">
      <alignment horizontal="center" readingOrder="0" shrinkToFit="0" vertical="center" wrapText="1"/>
    </xf>
    <xf borderId="2" fillId="0" fontId="10" numFmtId="0" xfId="0" applyAlignment="1" applyBorder="1" applyFont="1">
      <alignment horizontal="center" readingOrder="0" vertical="bottom"/>
    </xf>
    <xf borderId="17" fillId="2" fontId="6" numFmtId="0" xfId="0" applyAlignment="1" applyBorder="1" applyFont="1">
      <alignment horizontal="center" readingOrder="0"/>
    </xf>
    <xf borderId="0" fillId="2" fontId="10" numFmtId="0" xfId="0" applyAlignment="1" applyFont="1">
      <alignment horizontal="center" readingOrder="0" shrinkToFit="0" vertical="bottom" wrapText="1"/>
    </xf>
    <xf borderId="5" fillId="2" fontId="10" numFmtId="49" xfId="0" applyAlignment="1" applyBorder="1" applyFont="1" applyNumberFormat="1">
      <alignment horizontal="center" readingOrder="0" vertical="bottom"/>
    </xf>
    <xf borderId="17" fillId="2" fontId="10" numFmtId="0" xfId="0" applyAlignment="1" applyBorder="1" applyFont="1">
      <alignment horizontal="center" readingOrder="0" shrinkToFit="0" vertical="bottom" wrapText="1"/>
    </xf>
    <xf borderId="5" fillId="0" fontId="6" numFmtId="0" xfId="0" applyAlignment="1" applyBorder="1" applyFont="1">
      <alignment horizontal="center" readingOrder="0" vertical="center"/>
    </xf>
    <xf borderId="21" fillId="2" fontId="10" numFmtId="0" xfId="0" applyAlignment="1" applyBorder="1" applyFont="1">
      <alignment horizontal="center" readingOrder="0" shrinkToFit="0" vertical="center" wrapText="1"/>
    </xf>
    <xf borderId="6" fillId="2" fontId="9" numFmtId="0" xfId="0" applyAlignment="1" applyBorder="1" applyFont="1">
      <alignment horizontal="center" readingOrder="0" shrinkToFit="0" vertical="center" wrapText="1"/>
    </xf>
    <xf borderId="2" fillId="2" fontId="10" numFmtId="166" xfId="0" applyAlignment="1" applyBorder="1" applyFont="1" applyNumberFormat="1">
      <alignment horizontal="center" readingOrder="0" vertical="bottom"/>
    </xf>
    <xf borderId="5" fillId="0" fontId="6" numFmtId="0" xfId="0" applyAlignment="1" applyBorder="1" applyFont="1">
      <alignment horizontal="center" readingOrder="0"/>
    </xf>
    <xf borderId="8" fillId="2" fontId="9" numFmtId="166" xfId="0" applyAlignment="1" applyBorder="1" applyFont="1" applyNumberFormat="1">
      <alignment horizontal="center" readingOrder="0" vertical="center"/>
    </xf>
    <xf borderId="18" fillId="0" fontId="10" numFmtId="0" xfId="0" applyAlignment="1" applyBorder="1" applyFont="1">
      <alignment horizontal="center" shrinkToFit="0" vertical="center" wrapText="1"/>
    </xf>
    <xf borderId="0" fillId="2" fontId="10" numFmtId="0" xfId="0" applyAlignment="1" applyFont="1">
      <alignment horizontal="center" readingOrder="0" vertical="bottom"/>
    </xf>
    <xf borderId="8" fillId="2" fontId="8" numFmtId="166" xfId="0" applyAlignment="1" applyBorder="1" applyFont="1" applyNumberFormat="1">
      <alignment horizontal="center" readingOrder="0" shrinkToFit="0" vertical="center" wrapText="1"/>
    </xf>
    <xf borderId="5" fillId="2" fontId="10" numFmtId="49" xfId="0" applyAlignment="1" applyBorder="1" applyFont="1" applyNumberFormat="1">
      <alignment horizontal="center" readingOrder="0" vertical="center"/>
    </xf>
    <xf borderId="21" fillId="2" fontId="10" numFmtId="0" xfId="0" applyAlignment="1" applyBorder="1" applyFont="1">
      <alignment horizontal="center" readingOrder="0" shrinkToFit="0" vertical="bottom" wrapText="1"/>
    </xf>
    <xf borderId="2" fillId="0" fontId="10" numFmtId="0" xfId="0" applyAlignment="1" applyBorder="1" applyFont="1">
      <alignment horizontal="center" shrinkToFit="0" wrapText="1"/>
    </xf>
    <xf borderId="17" fillId="0" fontId="6" numFmtId="0" xfId="0" applyAlignment="1" applyBorder="1" applyFont="1">
      <alignment horizontal="center" readingOrder="0" vertical="center"/>
    </xf>
    <xf borderId="0" fillId="2" fontId="10" numFmtId="49" xfId="0" applyAlignment="1" applyFont="1" applyNumberFormat="1">
      <alignment horizontal="center" readingOrder="0" vertical="bottom"/>
    </xf>
    <xf borderId="18" fillId="2" fontId="10" numFmtId="0" xfId="0" applyAlignment="1" applyBorder="1" applyFont="1">
      <alignment horizontal="center" shrinkToFit="0" vertical="center" wrapText="1"/>
    </xf>
    <xf borderId="2" fillId="2" fontId="31" numFmtId="0" xfId="0" applyAlignment="1" applyBorder="1" applyFont="1">
      <alignment horizontal="center" readingOrder="0" shrinkToFit="0" vertical="center" wrapText="1"/>
    </xf>
    <xf borderId="6" fillId="2" fontId="6" numFmtId="166" xfId="0" applyAlignment="1" applyBorder="1" applyFont="1" applyNumberFormat="1">
      <alignment horizontal="center" readingOrder="0" vertical="center"/>
    </xf>
    <xf borderId="18" fillId="2" fontId="10" numFmtId="0" xfId="0" applyAlignment="1" applyBorder="1" applyFont="1">
      <alignment horizontal="center" shrinkToFit="0" vertical="center" wrapText="1"/>
    </xf>
    <xf borderId="0" fillId="2" fontId="6" numFmtId="0" xfId="0" applyAlignment="1" applyFont="1">
      <alignment horizontal="center" readingOrder="0" shrinkToFit="0" vertical="center" wrapText="1"/>
    </xf>
    <xf borderId="11" fillId="2" fontId="10" numFmtId="0" xfId="0" applyAlignment="1" applyBorder="1" applyFont="1">
      <alignment horizontal="center" vertical="center"/>
    </xf>
    <xf borderId="11" fillId="2" fontId="10" numFmtId="49" xfId="0" applyAlignment="1" applyBorder="1" applyFont="1" applyNumberFormat="1">
      <alignment horizontal="center" readingOrder="0" vertical="bottom"/>
    </xf>
    <xf borderId="21" fillId="2" fontId="10" numFmtId="0" xfId="0" applyAlignment="1" applyBorder="1" applyFont="1">
      <alignment horizontal="center" readingOrder="0" vertical="center"/>
    </xf>
    <xf borderId="5" fillId="0" fontId="6" numFmtId="0" xfId="0" applyAlignment="1" applyBorder="1" applyFont="1">
      <alignment horizontal="center" readingOrder="0" vertical="center"/>
    </xf>
    <xf borderId="2" fillId="2" fontId="12" numFmtId="0" xfId="0" applyAlignment="1" applyBorder="1" applyFont="1">
      <alignment horizontal="center" readingOrder="0" vertical="center"/>
    </xf>
    <xf borderId="5" fillId="2" fontId="12" numFmtId="0" xfId="0" applyAlignment="1" applyBorder="1" applyFont="1">
      <alignment horizontal="center" readingOrder="0" vertical="center"/>
    </xf>
    <xf borderId="2" fillId="2" fontId="82" numFmtId="0" xfId="0" applyAlignment="1" applyBorder="1" applyFont="1">
      <alignment horizontal="center" readingOrder="0" vertical="center"/>
    </xf>
    <xf borderId="5" fillId="2" fontId="82" numFmtId="0" xfId="0" applyAlignment="1" applyBorder="1" applyFont="1">
      <alignment horizontal="center" readingOrder="0" vertical="center"/>
    </xf>
    <xf borderId="2" fillId="0" fontId="8" numFmtId="166" xfId="0" applyAlignment="1" applyBorder="1" applyFont="1" applyNumberFormat="1">
      <alignment horizontal="center" readingOrder="0" vertical="center"/>
    </xf>
    <xf borderId="22" fillId="2" fontId="5" numFmtId="49" xfId="0" applyAlignment="1" applyBorder="1" applyFont="1" applyNumberFormat="1">
      <alignment horizontal="center" readingOrder="0" vertical="center"/>
    </xf>
    <xf borderId="8" fillId="2" fontId="5" numFmtId="166" xfId="0" applyAlignment="1" applyBorder="1" applyFont="1" applyNumberFormat="1">
      <alignment horizontal="center" readingOrder="0" shrinkToFit="0" vertical="center" wrapText="1"/>
    </xf>
    <xf borderId="2" fillId="2" fontId="8" numFmtId="49" xfId="0" applyAlignment="1" applyBorder="1" applyFont="1" applyNumberFormat="1">
      <alignment horizontal="center" vertical="center"/>
    </xf>
    <xf borderId="8" fillId="2" fontId="8" numFmtId="49" xfId="0" applyAlignment="1" applyBorder="1" applyFont="1" applyNumberFormat="1">
      <alignment horizontal="center" vertical="center"/>
    </xf>
    <xf borderId="5" fillId="2" fontId="10" numFmtId="0" xfId="0" applyAlignment="1" applyBorder="1" applyFont="1">
      <alignment horizontal="center" shrinkToFit="0" vertical="center" wrapText="1"/>
    </xf>
    <xf borderId="0" fillId="2" fontId="8" numFmtId="0" xfId="0" applyAlignment="1" applyFont="1">
      <alignment horizontal="center" readingOrder="0" shrinkToFit="0" vertical="center" wrapText="1"/>
    </xf>
    <xf borderId="0" fillId="11" fontId="83" numFmtId="0" xfId="0" applyAlignment="1" applyFont="1">
      <alignment horizontal="center" readingOrder="0" vertical="center"/>
    </xf>
    <xf borderId="17" fillId="0" fontId="10" numFmtId="0" xfId="0" applyAlignment="1" applyBorder="1" applyFont="1">
      <alignment horizontal="center" vertical="center"/>
    </xf>
    <xf borderId="3" fillId="31" fontId="84" numFmtId="174" xfId="0" applyAlignment="1" applyBorder="1" applyFill="1" applyFont="1" applyNumberFormat="1">
      <alignment horizontal="center" readingOrder="0" vertical="center"/>
    </xf>
    <xf borderId="1" fillId="0" fontId="10" numFmtId="0" xfId="0" applyAlignment="1" applyBorder="1" applyFont="1">
      <alignment horizontal="center" vertical="center"/>
    </xf>
    <xf borderId="18" fillId="31" fontId="84" numFmtId="174" xfId="0" applyAlignment="1" applyBorder="1" applyFont="1" applyNumberFormat="1">
      <alignment horizontal="center" readingOrder="0" vertical="center"/>
    </xf>
    <xf borderId="30" fillId="0" fontId="31" numFmtId="0" xfId="0" applyAlignment="1" applyBorder="1" applyFont="1">
      <alignment horizontal="center" readingOrder="0" vertical="center"/>
    </xf>
    <xf borderId="31" fillId="0" fontId="40" numFmtId="0" xfId="0" applyAlignment="1" applyBorder="1" applyFont="1">
      <alignment horizontal="center" readingOrder="0" shrinkToFit="0" vertical="center" wrapText="1"/>
    </xf>
    <xf borderId="32" fillId="0" fontId="18" numFmtId="0" xfId="0" applyBorder="1" applyFont="1"/>
    <xf borderId="33" fillId="0" fontId="40" numFmtId="0" xfId="0" applyAlignment="1" applyBorder="1" applyFont="1">
      <alignment horizontal="center" readingOrder="0" shrinkToFit="0" vertical="center" wrapText="1"/>
    </xf>
    <xf borderId="31" fillId="17" fontId="31" numFmtId="0" xfId="0" applyAlignment="1" applyBorder="1" applyFont="1">
      <alignment horizontal="center" readingOrder="0" vertical="center"/>
    </xf>
    <xf borderId="34" fillId="0" fontId="31" numFmtId="0" xfId="0" applyAlignment="1" applyBorder="1" applyFont="1">
      <alignment horizontal="center" readingOrder="0" vertical="center"/>
    </xf>
    <xf borderId="30" fillId="0" fontId="31" numFmtId="0" xfId="0" applyAlignment="1" applyBorder="1" applyFont="1">
      <alignment horizontal="center" vertical="center"/>
    </xf>
    <xf borderId="35" fillId="0" fontId="18" numFmtId="0" xfId="0" applyBorder="1" applyFont="1"/>
    <xf borderId="36" fillId="32" fontId="31" numFmtId="0" xfId="0" applyAlignment="1" applyBorder="1" applyFill="1" applyFont="1">
      <alignment horizontal="center" readingOrder="0" vertical="center"/>
    </xf>
    <xf borderId="37" fillId="0" fontId="10" numFmtId="0" xfId="0" applyAlignment="1" applyBorder="1" applyFont="1">
      <alignment horizontal="center" readingOrder="0" vertical="center"/>
    </xf>
    <xf borderId="24" fillId="32" fontId="31" numFmtId="0" xfId="0" applyAlignment="1" applyBorder="1" applyFont="1">
      <alignment horizontal="center" readingOrder="0" vertical="center"/>
    </xf>
    <xf borderId="36" fillId="17" fontId="10" numFmtId="0" xfId="0" applyAlignment="1" applyBorder="1" applyFont="1">
      <alignment horizontal="center" readingOrder="0" vertical="center"/>
    </xf>
    <xf borderId="37" fillId="33" fontId="10" numFmtId="0" xfId="0" applyAlignment="1" applyBorder="1" applyFill="1" applyFont="1">
      <alignment horizontal="center" readingOrder="0" vertical="center"/>
    </xf>
    <xf borderId="38" fillId="0" fontId="18" numFmtId="0" xfId="0" applyBorder="1" applyFont="1"/>
    <xf borderId="36" fillId="32" fontId="10" numFmtId="0" xfId="0" applyAlignment="1" applyBorder="1" applyFont="1">
      <alignment horizontal="center" readingOrder="0" vertical="center"/>
    </xf>
    <xf borderId="39" fillId="4" fontId="4" numFmtId="0" xfId="0" applyAlignment="1" applyBorder="1" applyFont="1">
      <alignment horizontal="center" vertical="center"/>
    </xf>
    <xf borderId="3" fillId="2" fontId="9" numFmtId="0" xfId="0" applyAlignment="1" applyBorder="1" applyFont="1">
      <alignment horizontal="center"/>
    </xf>
    <xf borderId="39" fillId="17" fontId="4" numFmtId="0" xfId="0" applyAlignment="1" applyBorder="1" applyFont="1">
      <alignment horizontal="center" vertical="center"/>
    </xf>
    <xf borderId="40" fillId="33" fontId="4" numFmtId="0" xfId="0" applyAlignment="1" applyBorder="1" applyFont="1">
      <alignment horizontal="center" vertical="center"/>
    </xf>
    <xf borderId="41" fillId="0" fontId="4" numFmtId="49" xfId="0" applyAlignment="1" applyBorder="1" applyFont="1" applyNumberFormat="1">
      <alignment horizontal="center" vertical="center"/>
    </xf>
    <xf borderId="42" fillId="0" fontId="10" numFmtId="0" xfId="0" applyAlignment="1" applyBorder="1" applyFont="1">
      <alignment horizontal="center" shrinkToFit="0" wrapText="1"/>
    </xf>
    <xf borderId="41" fillId="0" fontId="40" numFmtId="49" xfId="0" applyAlignment="1" applyBorder="1" applyFont="1" applyNumberFormat="1">
      <alignment horizontal="center" vertical="center"/>
    </xf>
    <xf borderId="2" fillId="2" fontId="9" numFmtId="0" xfId="0" applyAlignment="1" applyBorder="1" applyFont="1">
      <alignment horizontal="center"/>
    </xf>
    <xf borderId="43" fillId="17" fontId="4" numFmtId="0" xfId="0" applyAlignment="1" applyBorder="1" applyFont="1">
      <alignment horizontal="center" vertical="center"/>
    </xf>
    <xf borderId="44" fillId="33" fontId="4" numFmtId="0" xfId="0" applyAlignment="1" applyBorder="1" applyFont="1">
      <alignment horizontal="center" vertical="center"/>
    </xf>
    <xf borderId="45" fillId="0" fontId="10" numFmtId="0" xfId="0" applyAlignment="1" applyBorder="1" applyFont="1">
      <alignment horizontal="center" shrinkToFit="0" wrapText="1"/>
    </xf>
    <xf borderId="3" fillId="0" fontId="10" numFmtId="0" xfId="0" applyAlignment="1" applyBorder="1" applyFont="1">
      <alignment horizontal="center" shrinkToFit="0" wrapText="1"/>
    </xf>
    <xf borderId="46" fillId="4" fontId="4" numFmtId="0" xfId="0" applyAlignment="1" applyBorder="1" applyFont="1">
      <alignment horizontal="center" vertical="center"/>
    </xf>
    <xf borderId="6" fillId="2" fontId="9" numFmtId="0" xfId="0" applyAlignment="1" applyBorder="1" applyFont="1">
      <alignment horizontal="center"/>
    </xf>
    <xf borderId="35" fillId="0" fontId="10" numFmtId="0" xfId="0" applyAlignment="1" applyBorder="1" applyFont="1">
      <alignment horizontal="center" shrinkToFit="0" wrapText="1"/>
    </xf>
    <xf borderId="47" fillId="17" fontId="31" numFmtId="0" xfId="0" applyAlignment="1" applyBorder="1" applyFont="1">
      <alignment horizontal="center" readingOrder="0" vertical="center"/>
    </xf>
    <xf borderId="48" fillId="17" fontId="4" numFmtId="0" xfId="0" applyAlignment="1" applyBorder="1" applyFont="1">
      <alignment horizontal="center" vertical="center"/>
    </xf>
    <xf borderId="49" fillId="17" fontId="8" numFmtId="0" xfId="0" applyAlignment="1" applyBorder="1" applyFont="1">
      <alignment horizontal="center" vertical="center"/>
    </xf>
    <xf borderId="50" fillId="17" fontId="4" numFmtId="0" xfId="0" applyAlignment="1" applyBorder="1" applyFont="1">
      <alignment horizontal="center" vertical="center"/>
    </xf>
    <xf borderId="51" fillId="17" fontId="8" numFmtId="0" xfId="0" applyAlignment="1" applyBorder="1" applyFont="1">
      <alignment horizontal="center" vertical="center"/>
    </xf>
    <xf borderId="52" fillId="17" fontId="8" numFmtId="0" xfId="0" applyAlignment="1" applyBorder="1" applyFont="1">
      <alignment horizontal="center" vertical="center"/>
    </xf>
    <xf borderId="47" fillId="17" fontId="61" numFmtId="0" xfId="0" applyAlignment="1" applyBorder="1" applyFont="1">
      <alignment horizontal="center" vertical="center"/>
    </xf>
    <xf borderId="47" fillId="33" fontId="61" numFmtId="0" xfId="0" applyAlignment="1" applyBorder="1" applyFont="1">
      <alignment horizontal="center" vertical="center"/>
    </xf>
    <xf borderId="47" fillId="17" fontId="61" numFmtId="49" xfId="0" applyAlignment="1" applyBorder="1" applyFont="1" applyNumberFormat="1">
      <alignment horizontal="center" vertical="center"/>
    </xf>
    <xf borderId="48" fillId="17" fontId="10" numFmtId="0" xfId="0" applyAlignment="1" applyBorder="1" applyFont="1">
      <alignment horizontal="center" vertical="center"/>
    </xf>
    <xf borderId="49" fillId="17" fontId="10" numFmtId="0" xfId="0" applyAlignment="1" applyBorder="1" applyFont="1">
      <alignment horizontal="center" vertical="center"/>
    </xf>
    <xf borderId="50" fillId="17" fontId="10" numFmtId="0" xfId="0" applyAlignment="1" applyBorder="1" applyFont="1">
      <alignment horizontal="center" vertical="center"/>
    </xf>
    <xf borderId="47" fillId="17" fontId="40" numFmtId="0" xfId="0" applyAlignment="1" applyBorder="1" applyFont="1">
      <alignment horizontal="center" vertical="center"/>
    </xf>
    <xf borderId="47" fillId="33" fontId="40" numFmtId="0" xfId="0" applyAlignment="1" applyBorder="1" applyFont="1">
      <alignment horizontal="center" vertical="center"/>
    </xf>
    <xf borderId="47" fillId="17" fontId="40" numFmtId="49" xfId="0" applyAlignment="1" applyBorder="1" applyFont="1" applyNumberFormat="1">
      <alignment horizontal="center" vertical="center"/>
    </xf>
    <xf borderId="0" fillId="0" fontId="10" numFmtId="9" xfId="0" applyAlignment="1" applyFont="1" applyNumberFormat="1">
      <alignment horizontal="center" vertical="center"/>
    </xf>
    <xf borderId="0" fillId="0" fontId="40" numFmtId="0" xfId="0" applyAlignment="1" applyFont="1">
      <alignment horizontal="center" vertical="center"/>
    </xf>
    <xf borderId="0" fillId="0" fontId="40" numFmtId="9" xfId="0" applyAlignment="1" applyFont="1" applyNumberFormat="1">
      <alignment horizontal="center" vertical="center"/>
    </xf>
    <xf borderId="2" fillId="31" fontId="84" numFmtId="174" xfId="0" applyAlignment="1" applyBorder="1" applyFont="1" applyNumberFormat="1">
      <alignment horizontal="center" readingOrder="0" vertical="center"/>
    </xf>
    <xf borderId="46" fillId="17" fontId="10" numFmtId="0" xfId="0" applyAlignment="1" applyBorder="1" applyFont="1">
      <alignment horizontal="center" readingOrder="0" vertical="center"/>
    </xf>
    <xf borderId="53" fillId="33" fontId="10" numFmtId="0" xfId="0" applyAlignment="1" applyBorder="1" applyFont="1">
      <alignment horizontal="center" readingOrder="0" vertical="center"/>
    </xf>
    <xf borderId="37" fillId="0" fontId="18" numFmtId="0" xfId="0" applyBorder="1" applyFont="1"/>
    <xf borderId="42" fillId="0" fontId="10" numFmtId="0" xfId="0" applyAlignment="1" applyBorder="1" applyFont="1">
      <alignment horizontal="center" shrinkToFit="0" wrapText="1"/>
    </xf>
    <xf borderId="54" fillId="17" fontId="4" numFmtId="0" xfId="0" applyAlignment="1" applyBorder="1" applyFont="1">
      <alignment horizontal="center" vertical="center"/>
    </xf>
    <xf borderId="55" fillId="33" fontId="4" numFmtId="0" xfId="0" applyAlignment="1" applyBorder="1" applyFont="1">
      <alignment horizontal="center" vertical="center"/>
    </xf>
    <xf borderId="38" fillId="0" fontId="40" numFmtId="49" xfId="0" applyAlignment="1" applyBorder="1" applyFont="1" applyNumberFormat="1">
      <alignment horizontal="center" vertical="center"/>
    </xf>
    <xf borderId="56" fillId="33" fontId="4" numFmtId="0" xfId="0" applyAlignment="1" applyBorder="1" applyFont="1">
      <alignment horizontal="center" vertical="center"/>
    </xf>
    <xf borderId="57" fillId="0" fontId="40" numFmtId="49" xfId="0" applyAlignment="1" applyBorder="1" applyFont="1" applyNumberFormat="1">
      <alignment horizontal="center" vertical="center"/>
    </xf>
    <xf borderId="58" fillId="17" fontId="4" numFmtId="0" xfId="0" applyAlignment="1" applyBorder="1" applyFont="1">
      <alignment horizontal="center" vertical="center"/>
    </xf>
    <xf borderId="59" fillId="33" fontId="4" numFmtId="0" xfId="0" applyAlignment="1" applyBorder="1" applyFont="1">
      <alignment horizontal="center" vertical="center"/>
    </xf>
    <xf borderId="51" fillId="17" fontId="10" numFmtId="0" xfId="0" applyAlignment="1" applyBorder="1" applyFont="1">
      <alignment horizontal="center" vertical="center"/>
    </xf>
    <xf borderId="52" fillId="17" fontId="10" numFmtId="0" xfId="0" applyAlignment="1" applyBorder="1" applyFont="1">
      <alignment horizontal="center" vertical="center"/>
    </xf>
    <xf borderId="35" fillId="17" fontId="40" numFmtId="0" xfId="0" applyAlignment="1" applyBorder="1" applyFont="1">
      <alignment horizontal="center" vertical="center"/>
    </xf>
    <xf borderId="35" fillId="33" fontId="40" numFmtId="0" xfId="0" applyAlignment="1" applyBorder="1" applyFont="1">
      <alignment horizontal="center" vertical="center"/>
    </xf>
    <xf borderId="0" fillId="0" fontId="10" numFmtId="0" xfId="0" applyAlignment="1" applyFont="1">
      <alignment horizontal="center" readingOrder="0" vertical="center"/>
    </xf>
    <xf borderId="32" fillId="0" fontId="31" numFmtId="0" xfId="0" applyAlignment="1" applyBorder="1" applyFont="1">
      <alignment horizontal="center" readingOrder="0" vertical="center"/>
    </xf>
    <xf borderId="36" fillId="0" fontId="10" numFmtId="0" xfId="0" applyAlignment="1" applyBorder="1" applyFont="1">
      <alignment horizontal="center" readingOrder="0" vertical="center"/>
    </xf>
    <xf borderId="38" fillId="0" fontId="40" numFmtId="9" xfId="0" applyAlignment="1" applyBorder="1" applyFont="1" applyNumberFormat="1">
      <alignment horizontal="center" vertical="center"/>
    </xf>
    <xf borderId="3" fillId="0" fontId="10" numFmtId="0" xfId="0" applyBorder="1" applyFont="1"/>
    <xf borderId="0" fillId="0" fontId="30" numFmtId="0" xfId="0" applyAlignment="1" applyFont="1">
      <alignment readingOrder="0"/>
    </xf>
    <xf borderId="0" fillId="0" fontId="30" numFmtId="0" xfId="0" applyFont="1"/>
    <xf borderId="0" fillId="0" fontId="6" numFmtId="0" xfId="0" applyAlignment="1" applyFont="1">
      <alignment readingOrder="0" vertical="bottom"/>
    </xf>
    <xf borderId="0" fillId="0" fontId="30" numFmtId="0" xfId="0" applyAlignment="1" applyFont="1">
      <alignment readingOrder="0" vertical="bottom"/>
    </xf>
    <xf borderId="60" fillId="4" fontId="40" numFmtId="0" xfId="0" applyAlignment="1" applyBorder="1" applyFont="1">
      <alignment horizontal="center" readingOrder="0" vertical="center"/>
    </xf>
    <xf borderId="61" fillId="0" fontId="18" numFmtId="0" xfId="0" applyBorder="1" applyFont="1"/>
    <xf borderId="62" fillId="0" fontId="18" numFmtId="0" xfId="0" applyBorder="1" applyFont="1"/>
    <xf borderId="60" fillId="5" fontId="10" numFmtId="0" xfId="0" applyAlignment="1" applyBorder="1" applyFont="1">
      <alignment horizontal="center" readingOrder="0" vertical="center"/>
    </xf>
    <xf borderId="63" fillId="5" fontId="10" numFmtId="0" xfId="0" applyAlignment="1" applyBorder="1" applyFont="1">
      <alignment horizontal="center" readingOrder="0" vertical="center"/>
    </xf>
    <xf borderId="63" fillId="0" fontId="10" numFmtId="0" xfId="0" applyAlignment="1" applyBorder="1" applyFont="1">
      <alignment horizontal="center" readingOrder="0" vertical="center"/>
    </xf>
    <xf borderId="63" fillId="0" fontId="10" numFmtId="0" xfId="0" applyAlignment="1" applyBorder="1" applyFont="1">
      <alignment horizontal="center" readingOrder="0"/>
    </xf>
    <xf borderId="63" fillId="0" fontId="10" numFmtId="0" xfId="0" applyAlignment="1" applyBorder="1" applyFont="1">
      <alignment horizontal="center"/>
    </xf>
    <xf borderId="63" fillId="0" fontId="6" numFmtId="0" xfId="0" applyAlignment="1" applyBorder="1" applyFont="1">
      <alignment horizontal="center" readingOrder="0"/>
    </xf>
    <xf borderId="63" fillId="0" fontId="6" numFmtId="0" xfId="0" applyBorder="1" applyFont="1"/>
    <xf borderId="2" fillId="2" fontId="9" numFmtId="170" xfId="0" applyAlignment="1" applyBorder="1" applyFont="1" applyNumberFormat="1">
      <alignment horizontal="center" readingOrder="0" shrinkToFit="0" vertical="center" wrapText="1"/>
    </xf>
    <xf borderId="2" fillId="34" fontId="13" numFmtId="0" xfId="0" applyAlignment="1" applyBorder="1" applyFill="1" applyFont="1">
      <alignment horizontal="center" readingOrder="0" shrinkToFit="0" vertical="center" wrapText="1"/>
    </xf>
    <xf borderId="2" fillId="2" fontId="10" numFmtId="0" xfId="0" applyAlignment="1" applyBorder="1" applyFont="1">
      <alignment horizontal="center" shrinkToFit="0" vertical="center" wrapText="1"/>
    </xf>
    <xf borderId="2" fillId="2" fontId="10" numFmtId="170" xfId="0" applyAlignment="1" applyBorder="1" applyFont="1" applyNumberFormat="1">
      <alignment horizontal="center" shrinkToFit="0" vertical="center" wrapText="1"/>
    </xf>
    <xf borderId="2" fillId="34" fontId="85" numFmtId="0" xfId="0" applyAlignment="1" applyBorder="1" applyFont="1">
      <alignment horizontal="center" readingOrder="0" shrinkToFit="0" vertical="center" wrapText="1"/>
    </xf>
    <xf borderId="2" fillId="2" fontId="10" numFmtId="0" xfId="0" applyAlignment="1" applyBorder="1" applyFont="1">
      <alignment shrinkToFit="0" wrapText="1"/>
    </xf>
    <xf borderId="2" fillId="2" fontId="10" numFmtId="170" xfId="0" applyAlignment="1" applyBorder="1" applyFont="1" applyNumberFormat="1">
      <alignment horizontal="center" readingOrder="0" shrinkToFit="0" vertical="center" wrapText="1"/>
    </xf>
    <xf borderId="2" fillId="34" fontId="9" numFmtId="0" xfId="0" applyAlignment="1" applyBorder="1" applyFont="1">
      <alignment horizontal="center" readingOrder="0" shrinkToFit="0" vertical="center" wrapText="1"/>
    </xf>
    <xf borderId="2" fillId="2" fontId="10" numFmtId="0" xfId="0" applyAlignment="1" applyBorder="1" applyFont="1">
      <alignment readingOrder="0" shrinkToFit="0" vertical="center" wrapText="1"/>
    </xf>
    <xf borderId="2" fillId="0" fontId="11" numFmtId="0" xfId="0" applyAlignment="1" applyBorder="1" applyFont="1">
      <alignment vertical="center"/>
    </xf>
    <xf borderId="0" fillId="0" fontId="6" numFmtId="0" xfId="0" applyFont="1"/>
    <xf borderId="0" fillId="0" fontId="6" numFmtId="0" xfId="0" applyAlignment="1" applyFont="1">
      <alignment readingOrder="0"/>
    </xf>
  </cellXfs>
  <cellStyles count="1">
    <cellStyle xfId="0" name="Normal" builtinId="0"/>
  </cellStyles>
  <dxfs count="2">
    <dxf>
      <font/>
      <fill>
        <patternFill patternType="none"/>
      </fill>
      <border/>
    </dxf>
    <dxf>
      <font/>
      <fill>
        <patternFill patternType="solid">
          <fgColor rgb="FFFFFFFF"/>
          <bgColor rgb="FFFFFFFF"/>
        </patternFill>
      </fill>
      <border/>
    </dxf>
  </dxfs>
  <tableStyles count="326">
    <tableStyle count="2" pivot="0" name="2025 TueThu-style">
      <tableStyleElement dxfId="1" type="firstRowStripe"/>
      <tableStyleElement dxfId="1" type="secondRowStripe"/>
    </tableStyle>
    <tableStyle count="2" pivot="0" name="2025 TueThu-style 2">
      <tableStyleElement dxfId="1" type="firstRowStripe"/>
      <tableStyleElement dxfId="1" type="secondRowStripe"/>
    </tableStyle>
    <tableStyle count="2" pivot="0" name="2025 TueThu-style 3">
      <tableStyleElement dxfId="1" type="firstRowStripe"/>
      <tableStyleElement dxfId="1" type="secondRowStripe"/>
    </tableStyle>
    <tableStyle count="2" pivot="0" name="2025 TueThu-style 4">
      <tableStyleElement dxfId="1" type="firstRowStripe"/>
      <tableStyleElement dxfId="1" type="secondRowStripe"/>
    </tableStyle>
    <tableStyle count="2" pivot="0" name="G1-style">
      <tableStyleElement dxfId="1" type="firstRowStripe"/>
      <tableStyleElement dxfId="1" type="secondRowStripe"/>
    </tableStyle>
    <tableStyle count="2" pivot="0" name="G1-style 2">
      <tableStyleElement dxfId="1" type="firstRowStripe"/>
      <tableStyleElement dxfId="1" type="secondRowStripe"/>
    </tableStyle>
    <tableStyle count="2" pivot="0" name="G1-style 3">
      <tableStyleElement dxfId="1" type="firstRowStripe"/>
      <tableStyleElement dxfId="1" type="secondRowStripe"/>
    </tableStyle>
    <tableStyle count="2" pivot="0" name="G1-style 4">
      <tableStyleElement dxfId="1" type="firstRowStripe"/>
      <tableStyleElement dxfId="1" type="secondRowStripe"/>
    </tableStyle>
    <tableStyle count="2" pivot="0" name="G1-style 5">
      <tableStyleElement dxfId="1" type="firstRowStripe"/>
      <tableStyleElement dxfId="1" type="secondRowStripe"/>
    </tableStyle>
    <tableStyle count="2" pivot="0" name="G1-style 6">
      <tableStyleElement dxfId="1" type="firstRowStripe"/>
      <tableStyleElement dxfId="1" type="secondRowStripe"/>
    </tableStyle>
    <tableStyle count="2" pivot="0" name="G1-style 7">
      <tableStyleElement dxfId="1" type="firstRowStripe"/>
      <tableStyleElement dxfId="1" type="secondRowStripe"/>
    </tableStyle>
    <tableStyle count="2" pivot="0" name="G1-style 8">
      <tableStyleElement dxfId="1" type="firstRowStripe"/>
      <tableStyleElement dxfId="1" type="secondRowStripe"/>
    </tableStyle>
    <tableStyle count="2" pivot="0" name="G1-style 9">
      <tableStyleElement dxfId="1" type="firstRowStripe"/>
      <tableStyleElement dxfId="1" type="secondRowStripe"/>
    </tableStyle>
    <tableStyle count="2" pivot="0" name="G1-style 10">
      <tableStyleElement dxfId="1" type="firstRowStripe"/>
      <tableStyleElement dxfId="1" type="secondRowStripe"/>
    </tableStyle>
    <tableStyle count="2" pivot="0" name="G1-style 11">
      <tableStyleElement dxfId="1" type="firstRowStripe"/>
      <tableStyleElement dxfId="1" type="secondRowStripe"/>
    </tableStyle>
    <tableStyle count="2" pivot="0" name="G1-style 12">
      <tableStyleElement dxfId="1" type="firstRowStripe"/>
      <tableStyleElement dxfId="1" type="secondRowStripe"/>
    </tableStyle>
    <tableStyle count="2" pivot="0" name="G1-style 13">
      <tableStyleElement dxfId="1" type="firstRowStripe"/>
      <tableStyleElement dxfId="1" type="secondRowStripe"/>
    </tableStyle>
    <tableStyle count="2" pivot="0" name="G1-style 14">
      <tableStyleElement dxfId="1" type="firstRowStripe"/>
      <tableStyleElement dxfId="1" type="secondRowStripe"/>
    </tableStyle>
    <tableStyle count="2" pivot="0" name="G1-style 15">
      <tableStyleElement dxfId="1" type="firstRowStripe"/>
      <tableStyleElement dxfId="1" type="secondRowStripe"/>
    </tableStyle>
    <tableStyle count="2" pivot="0" name="G1-style 16">
      <tableStyleElement dxfId="1" type="firstRowStripe"/>
      <tableStyleElement dxfId="1" type="secondRowStripe"/>
    </tableStyle>
    <tableStyle count="2" pivot="0" name="G1-style 17">
      <tableStyleElement dxfId="1" type="firstRowStripe"/>
      <tableStyleElement dxfId="1" type="secondRowStripe"/>
    </tableStyle>
    <tableStyle count="2" pivot="0" name="G1-style 18">
      <tableStyleElement dxfId="1" type="firstRowStripe"/>
      <tableStyleElement dxfId="1" type="secondRowStripe"/>
    </tableStyle>
    <tableStyle count="2" pivot="0" name="G1-style 19">
      <tableStyleElement dxfId="1" type="firstRowStripe"/>
      <tableStyleElement dxfId="1" type="secondRowStripe"/>
    </tableStyle>
    <tableStyle count="2" pivot="0" name="G1-style 20">
      <tableStyleElement dxfId="1" type="firstRowStripe"/>
      <tableStyleElement dxfId="1" type="secondRowStripe"/>
    </tableStyle>
    <tableStyle count="2" pivot="0" name="G1-style 21">
      <tableStyleElement dxfId="1" type="firstRowStripe"/>
      <tableStyleElement dxfId="1" type="secondRowStripe"/>
    </tableStyle>
    <tableStyle count="2" pivot="0" name="G1-style 22">
      <tableStyleElement dxfId="1" type="firstRowStripe"/>
      <tableStyleElement dxfId="1" type="secondRowStripe"/>
    </tableStyle>
    <tableStyle count="2" pivot="0" name="G1-style 23">
      <tableStyleElement dxfId="1" type="firstRowStripe"/>
      <tableStyleElement dxfId="1" type="secondRowStripe"/>
    </tableStyle>
    <tableStyle count="2" pivot="0" name="G1-style 24">
      <tableStyleElement dxfId="1" type="firstRowStripe"/>
      <tableStyleElement dxfId="1" type="secondRowStripe"/>
    </tableStyle>
    <tableStyle count="2" pivot="0" name="G1-style 25">
      <tableStyleElement dxfId="1" type="firstRowStripe"/>
      <tableStyleElement dxfId="1" type="secondRowStripe"/>
    </tableStyle>
    <tableStyle count="2" pivot="0" name="G1-style 26">
      <tableStyleElement dxfId="1" type="firstRowStripe"/>
      <tableStyleElement dxfId="1" type="secondRowStripe"/>
    </tableStyle>
    <tableStyle count="2" pivot="0" name="G1-style 27">
      <tableStyleElement dxfId="1" type="firstRowStripe"/>
      <tableStyleElement dxfId="1" type="secondRowStripe"/>
    </tableStyle>
    <tableStyle count="2" pivot="0" name="G1-style 28">
      <tableStyleElement dxfId="1" type="firstRowStripe"/>
      <tableStyleElement dxfId="1" type="secondRowStripe"/>
    </tableStyle>
    <tableStyle count="2" pivot="0" name="G1-style 29">
      <tableStyleElement dxfId="1" type="firstRowStripe"/>
      <tableStyleElement dxfId="1" type="secondRowStripe"/>
    </tableStyle>
    <tableStyle count="2" pivot="0" name="G1-style 30">
      <tableStyleElement dxfId="1" type="firstRowStripe"/>
      <tableStyleElement dxfId="1" type="secondRowStripe"/>
    </tableStyle>
    <tableStyle count="2" pivot="0" name="G1-style 31">
      <tableStyleElement dxfId="1" type="firstRowStripe"/>
      <tableStyleElement dxfId="1" type="secondRowStripe"/>
    </tableStyle>
    <tableStyle count="2" pivot="0" name="G1-style 32">
      <tableStyleElement dxfId="1" type="firstRowStripe"/>
      <tableStyleElement dxfId="1" type="secondRowStripe"/>
    </tableStyle>
    <tableStyle count="2" pivot="0" name="G1-style 33">
      <tableStyleElement dxfId="1" type="firstRowStripe"/>
      <tableStyleElement dxfId="1" type="secondRowStripe"/>
    </tableStyle>
    <tableStyle count="2" pivot="0" name="G1-style 34">
      <tableStyleElement dxfId="1" type="firstRowStripe"/>
      <tableStyleElement dxfId="1" type="secondRowStripe"/>
    </tableStyle>
    <tableStyle count="2" pivot="0" name="G1-style 35">
      <tableStyleElement dxfId="1" type="firstRowStripe"/>
      <tableStyleElement dxfId="1" type="secondRowStripe"/>
    </tableStyle>
    <tableStyle count="2" pivot="0" name="G1-style 36">
      <tableStyleElement dxfId="1" type="firstRowStripe"/>
      <tableStyleElement dxfId="1" type="secondRowStripe"/>
    </tableStyle>
    <tableStyle count="2" pivot="0" name="G1-style 37">
      <tableStyleElement dxfId="1" type="firstRowStripe"/>
      <tableStyleElement dxfId="1" type="secondRowStripe"/>
    </tableStyle>
    <tableStyle count="2" pivot="0" name="G1-style 38">
      <tableStyleElement dxfId="1" type="firstRowStripe"/>
      <tableStyleElement dxfId="1" type="secondRowStripe"/>
    </tableStyle>
    <tableStyle count="2" pivot="0" name="G1-style 39">
      <tableStyleElement dxfId="1" type="firstRowStripe"/>
      <tableStyleElement dxfId="1" type="secondRowStripe"/>
    </tableStyle>
    <tableStyle count="2" pivot="0" name="G1-style 40">
      <tableStyleElement dxfId="1" type="firstRowStripe"/>
      <tableStyleElement dxfId="1" type="secondRowStripe"/>
    </tableStyle>
    <tableStyle count="2" pivot="0" name="G1-style 41">
      <tableStyleElement dxfId="1" type="firstRowStripe"/>
      <tableStyleElement dxfId="1" type="secondRowStripe"/>
    </tableStyle>
    <tableStyle count="2" pivot="0" name="G2-style">
      <tableStyleElement dxfId="1" type="firstRowStripe"/>
      <tableStyleElement dxfId="1" type="secondRowStripe"/>
    </tableStyle>
    <tableStyle count="2" pivot="0" name="G2-style 2">
      <tableStyleElement dxfId="1" type="firstRowStripe"/>
      <tableStyleElement dxfId="1" type="secondRowStripe"/>
    </tableStyle>
    <tableStyle count="2" pivot="0" name="G2-style 3">
      <tableStyleElement dxfId="1" type="firstRowStripe"/>
      <tableStyleElement dxfId="1" type="secondRowStripe"/>
    </tableStyle>
    <tableStyle count="2" pivot="0" name="G2-style 4">
      <tableStyleElement dxfId="1" type="firstRowStripe"/>
      <tableStyleElement dxfId="1" type="secondRowStripe"/>
    </tableStyle>
    <tableStyle count="2" pivot="0" name="G2-style 5">
      <tableStyleElement dxfId="1" type="firstRowStripe"/>
      <tableStyleElement dxfId="1" type="secondRowStripe"/>
    </tableStyle>
    <tableStyle count="2" pivot="0" name="G2-style 6">
      <tableStyleElement dxfId="1" type="firstRowStripe"/>
      <tableStyleElement dxfId="1" type="secondRowStripe"/>
    </tableStyle>
    <tableStyle count="2" pivot="0" name="G2-style 7">
      <tableStyleElement dxfId="1" type="firstRowStripe"/>
      <tableStyleElement dxfId="1" type="secondRowStripe"/>
    </tableStyle>
    <tableStyle count="2" pivot="0" name="G2-style 8">
      <tableStyleElement dxfId="1" type="firstRowStripe"/>
      <tableStyleElement dxfId="1" type="secondRowStripe"/>
    </tableStyle>
    <tableStyle count="2" pivot="0" name="G2-style 9">
      <tableStyleElement dxfId="1" type="firstRowStripe"/>
      <tableStyleElement dxfId="1" type="secondRowStripe"/>
    </tableStyle>
    <tableStyle count="2" pivot="0" name="G2-style 10">
      <tableStyleElement dxfId="1" type="firstRowStripe"/>
      <tableStyleElement dxfId="1" type="secondRowStripe"/>
    </tableStyle>
    <tableStyle count="2" pivot="0" name="G2-style 11">
      <tableStyleElement dxfId="1" type="firstRowStripe"/>
      <tableStyleElement dxfId="1" type="secondRowStripe"/>
    </tableStyle>
    <tableStyle count="2" pivot="0" name="G2-style 12">
      <tableStyleElement dxfId="1" type="firstRowStripe"/>
      <tableStyleElement dxfId="1" type="secondRowStripe"/>
    </tableStyle>
    <tableStyle count="2" pivot="0" name="G2-style 13">
      <tableStyleElement dxfId="1" type="firstRowStripe"/>
      <tableStyleElement dxfId="1" type="secondRowStripe"/>
    </tableStyle>
    <tableStyle count="2" pivot="0" name="G2-style 14">
      <tableStyleElement dxfId="1" type="firstRowStripe"/>
      <tableStyleElement dxfId="1" type="secondRowStripe"/>
    </tableStyle>
    <tableStyle count="2" pivot="0" name="G2-style 15">
      <tableStyleElement dxfId="1" type="firstRowStripe"/>
      <tableStyleElement dxfId="1" type="secondRowStripe"/>
    </tableStyle>
    <tableStyle count="2" pivot="0" name="G2-style 16">
      <tableStyleElement dxfId="1" type="firstRowStripe"/>
      <tableStyleElement dxfId="1" type="secondRowStripe"/>
    </tableStyle>
    <tableStyle count="2" pivot="0" name="G2-style 17">
      <tableStyleElement dxfId="1" type="firstRowStripe"/>
      <tableStyleElement dxfId="1" type="secondRowStripe"/>
    </tableStyle>
    <tableStyle count="2" pivot="0" name="G2-style 18">
      <tableStyleElement dxfId="1" type="firstRowStripe"/>
      <tableStyleElement dxfId="1" type="secondRowStripe"/>
    </tableStyle>
    <tableStyle count="2" pivot="0" name="G2-style 19">
      <tableStyleElement dxfId="1" type="firstRowStripe"/>
      <tableStyleElement dxfId="1" type="secondRowStripe"/>
    </tableStyle>
    <tableStyle count="2" pivot="0" name="G2-style 20">
      <tableStyleElement dxfId="1" type="firstRowStripe"/>
      <tableStyleElement dxfId="1" type="secondRowStripe"/>
    </tableStyle>
    <tableStyle count="2" pivot="0" name="G2-style 21">
      <tableStyleElement dxfId="1" type="firstRowStripe"/>
      <tableStyleElement dxfId="1" type="secondRowStripe"/>
    </tableStyle>
    <tableStyle count="2" pivot="0" name="G2-style 22">
      <tableStyleElement dxfId="1" type="firstRowStripe"/>
      <tableStyleElement dxfId="1" type="secondRowStripe"/>
    </tableStyle>
    <tableStyle count="2" pivot="0" name="G2-style 23">
      <tableStyleElement dxfId="1" type="firstRowStripe"/>
      <tableStyleElement dxfId="1" type="secondRowStripe"/>
    </tableStyle>
    <tableStyle count="2" pivot="0" name="G2-style 24">
      <tableStyleElement dxfId="1" type="firstRowStripe"/>
      <tableStyleElement dxfId="1" type="secondRowStripe"/>
    </tableStyle>
    <tableStyle count="2" pivot="0" name="G2-style 25">
      <tableStyleElement dxfId="1" type="firstRowStripe"/>
      <tableStyleElement dxfId="1" type="secondRowStripe"/>
    </tableStyle>
    <tableStyle count="2" pivot="0" name="G2-style 26">
      <tableStyleElement dxfId="1" type="firstRowStripe"/>
      <tableStyleElement dxfId="1" type="secondRowStripe"/>
    </tableStyle>
    <tableStyle count="2" pivot="0" name="G2-style 27">
      <tableStyleElement dxfId="1" type="firstRowStripe"/>
      <tableStyleElement dxfId="1" type="secondRowStripe"/>
    </tableStyle>
    <tableStyle count="2" pivot="0" name="G2-style 28">
      <tableStyleElement dxfId="1" type="firstRowStripe"/>
      <tableStyleElement dxfId="1" type="secondRowStripe"/>
    </tableStyle>
    <tableStyle count="2" pivot="0" name="G2-style 29">
      <tableStyleElement dxfId="1" type="firstRowStripe"/>
      <tableStyleElement dxfId="1" type="secondRowStripe"/>
    </tableStyle>
    <tableStyle count="2" pivot="0" name="G2-style 30">
      <tableStyleElement dxfId="1" type="firstRowStripe"/>
      <tableStyleElement dxfId="1" type="secondRowStripe"/>
    </tableStyle>
    <tableStyle count="2" pivot="0" name="G3-style">
      <tableStyleElement dxfId="1" type="firstRowStripe"/>
      <tableStyleElement dxfId="1" type="secondRowStripe"/>
    </tableStyle>
    <tableStyle count="2" pivot="0" name="G3-style 2">
      <tableStyleElement dxfId="1" type="firstRowStripe"/>
      <tableStyleElement dxfId="1" type="secondRowStripe"/>
    </tableStyle>
    <tableStyle count="2" pivot="0" name="G3-style 3">
      <tableStyleElement dxfId="1" type="firstRowStripe"/>
      <tableStyleElement dxfId="1" type="secondRowStripe"/>
    </tableStyle>
    <tableStyle count="2" pivot="0" name="G3-style 4">
      <tableStyleElement dxfId="1" type="firstRowStripe"/>
      <tableStyleElement dxfId="1" type="secondRowStripe"/>
    </tableStyle>
    <tableStyle count="2" pivot="0" name="G3-style 5">
      <tableStyleElement dxfId="1" type="firstRowStripe"/>
      <tableStyleElement dxfId="1" type="secondRowStripe"/>
    </tableStyle>
    <tableStyle count="2" pivot="0" name="G3-style 6">
      <tableStyleElement dxfId="1" type="firstRowStripe"/>
      <tableStyleElement dxfId="1" type="secondRowStripe"/>
    </tableStyle>
    <tableStyle count="2" pivot="0" name="G3-style 7">
      <tableStyleElement dxfId="1" type="firstRowStripe"/>
      <tableStyleElement dxfId="1" type="secondRowStripe"/>
    </tableStyle>
    <tableStyle count="2" pivot="0" name="G3-style 8">
      <tableStyleElement dxfId="1" type="firstRowStripe"/>
      <tableStyleElement dxfId="1" type="secondRowStripe"/>
    </tableStyle>
    <tableStyle count="2" pivot="0" name="G3-style 9">
      <tableStyleElement dxfId="1" type="firstRowStripe"/>
      <tableStyleElement dxfId="1" type="secondRowStripe"/>
    </tableStyle>
    <tableStyle count="2" pivot="0" name="G3-style 10">
      <tableStyleElement dxfId="1" type="firstRowStripe"/>
      <tableStyleElement dxfId="1" type="secondRowStripe"/>
    </tableStyle>
    <tableStyle count="2" pivot="0" name="G3-style 11">
      <tableStyleElement dxfId="1" type="firstRowStripe"/>
      <tableStyleElement dxfId="1" type="secondRowStripe"/>
    </tableStyle>
    <tableStyle count="2" pivot="0" name="G3-style 12">
      <tableStyleElement dxfId="1" type="firstRowStripe"/>
      <tableStyleElement dxfId="1" type="secondRowStripe"/>
    </tableStyle>
    <tableStyle count="2" pivot="0" name="G3-style 13">
      <tableStyleElement dxfId="1" type="firstRowStripe"/>
      <tableStyleElement dxfId="1" type="secondRowStripe"/>
    </tableStyle>
    <tableStyle count="2" pivot="0" name="G3-style 14">
      <tableStyleElement dxfId="1" type="firstRowStripe"/>
      <tableStyleElement dxfId="1" type="secondRowStripe"/>
    </tableStyle>
    <tableStyle count="2" pivot="0" name="G3-style 15">
      <tableStyleElement dxfId="1" type="firstRowStripe"/>
      <tableStyleElement dxfId="1" type="secondRowStripe"/>
    </tableStyle>
    <tableStyle count="2" pivot="0" name="G3-style 16">
      <tableStyleElement dxfId="1" type="firstRowStripe"/>
      <tableStyleElement dxfId="1" type="secondRowStripe"/>
    </tableStyle>
    <tableStyle count="2" pivot="0" name="G3-style 17">
      <tableStyleElement dxfId="1" type="firstRowStripe"/>
      <tableStyleElement dxfId="1" type="secondRowStripe"/>
    </tableStyle>
    <tableStyle count="2" pivot="0" name="G3-style 18">
      <tableStyleElement dxfId="1" type="firstRowStripe"/>
      <tableStyleElement dxfId="1" type="secondRowStripe"/>
    </tableStyle>
    <tableStyle count="2" pivot="0" name="G3-style 19">
      <tableStyleElement dxfId="1" type="firstRowStripe"/>
      <tableStyleElement dxfId="1" type="secondRowStripe"/>
    </tableStyle>
    <tableStyle count="2" pivot="0" name="G3-style 20">
      <tableStyleElement dxfId="1" type="firstRowStripe"/>
      <tableStyleElement dxfId="1" type="secondRowStripe"/>
    </tableStyle>
    <tableStyle count="2" pivot="0" name="G3-style 21">
      <tableStyleElement dxfId="1" type="firstRowStripe"/>
      <tableStyleElement dxfId="1" type="secondRowStripe"/>
    </tableStyle>
    <tableStyle count="2" pivot="0" name="G3-style 22">
      <tableStyleElement dxfId="1" type="firstRowStripe"/>
      <tableStyleElement dxfId="1" type="secondRowStripe"/>
    </tableStyle>
    <tableStyle count="2" pivot="0" name="G3-style 23">
      <tableStyleElement dxfId="1" type="firstRowStripe"/>
      <tableStyleElement dxfId="1" type="secondRowStripe"/>
    </tableStyle>
    <tableStyle count="2" pivot="0" name="G3-style 24">
      <tableStyleElement dxfId="1" type="firstRowStripe"/>
      <tableStyleElement dxfId="1" type="secondRowStripe"/>
    </tableStyle>
    <tableStyle count="2" pivot="0" name="G3-style 25">
      <tableStyleElement dxfId="1" type="firstRowStripe"/>
      <tableStyleElement dxfId="1" type="secondRowStripe"/>
    </tableStyle>
    <tableStyle count="2" pivot="0" name="G3-style 26">
      <tableStyleElement dxfId="1" type="firstRowStripe"/>
      <tableStyleElement dxfId="1" type="secondRowStripe"/>
    </tableStyle>
    <tableStyle count="2" pivot="0" name="G3-style 27">
      <tableStyleElement dxfId="1" type="firstRowStripe"/>
      <tableStyleElement dxfId="1" type="secondRowStripe"/>
    </tableStyle>
    <tableStyle count="2" pivot="0" name="G3-style 28">
      <tableStyleElement dxfId="1" type="firstRowStripe"/>
      <tableStyleElement dxfId="1" type="secondRowStripe"/>
    </tableStyle>
    <tableStyle count="2" pivot="0" name="G3-style 29">
      <tableStyleElement dxfId="1" type="firstRowStripe"/>
      <tableStyleElement dxfId="1" type="secondRowStripe"/>
    </tableStyle>
    <tableStyle count="2" pivot="0" name="G3-style 30">
      <tableStyleElement dxfId="1" type="firstRowStripe"/>
      <tableStyleElement dxfId="1" type="secondRowStripe"/>
    </tableStyle>
    <tableStyle count="2" pivot="0" name="G3-style 31">
      <tableStyleElement dxfId="1" type="firstRowStripe"/>
      <tableStyleElement dxfId="1" type="secondRowStripe"/>
    </tableStyle>
    <tableStyle count="2" pivot="0" name="G3-style 32">
      <tableStyleElement dxfId="1" type="firstRowStripe"/>
      <tableStyleElement dxfId="1" type="secondRowStripe"/>
    </tableStyle>
    <tableStyle count="2" pivot="0" name="G3-style 33">
      <tableStyleElement dxfId="1" type="firstRowStripe"/>
      <tableStyleElement dxfId="1" type="secondRowStripe"/>
    </tableStyle>
    <tableStyle count="2" pivot="0" name="G3-style 34">
      <tableStyleElement dxfId="1" type="firstRowStripe"/>
      <tableStyleElement dxfId="1" type="secondRowStripe"/>
    </tableStyle>
    <tableStyle count="2" pivot="0" name="G3-style 35">
      <tableStyleElement dxfId="1" type="firstRowStripe"/>
      <tableStyleElement dxfId="1" type="secondRowStripe"/>
    </tableStyle>
    <tableStyle count="2" pivot="0" name="G3-style 36">
      <tableStyleElement dxfId="1" type="firstRowStripe"/>
      <tableStyleElement dxfId="1" type="secondRowStripe"/>
    </tableStyle>
    <tableStyle count="2" pivot="0" name="G3-style 37">
      <tableStyleElement dxfId="1" type="firstRowStripe"/>
      <tableStyleElement dxfId="1" type="secondRowStripe"/>
    </tableStyle>
    <tableStyle count="2" pivot="0" name="G3-style 38">
      <tableStyleElement dxfId="1" type="firstRowStripe"/>
      <tableStyleElement dxfId="1" type="secondRowStripe"/>
    </tableStyle>
    <tableStyle count="2" pivot="0" name="G3-style 39">
      <tableStyleElement dxfId="1" type="firstRowStripe"/>
      <tableStyleElement dxfId="1" type="secondRowStripe"/>
    </tableStyle>
    <tableStyle count="2" pivot="0" name="G3-style 40">
      <tableStyleElement dxfId="1" type="firstRowStripe"/>
      <tableStyleElement dxfId="1" type="secondRowStripe"/>
    </tableStyle>
    <tableStyle count="2" pivot="0" name="G3-style 41">
      <tableStyleElement dxfId="1" type="firstRowStripe"/>
      <tableStyleElement dxfId="1" type="secondRowStripe"/>
    </tableStyle>
    <tableStyle count="2" pivot="0" name="G3-style 42">
      <tableStyleElement dxfId="1" type="firstRowStripe"/>
      <tableStyleElement dxfId="1" type="secondRowStripe"/>
    </tableStyle>
    <tableStyle count="2" pivot="0" name="G3-style 43">
      <tableStyleElement dxfId="1" type="firstRowStripe"/>
      <tableStyleElement dxfId="1" type="secondRowStripe"/>
    </tableStyle>
    <tableStyle count="2" pivot="0" name="G3-style 44">
      <tableStyleElement dxfId="1" type="firstRowStripe"/>
      <tableStyleElement dxfId="1" type="secondRowStripe"/>
    </tableStyle>
    <tableStyle count="2" pivot="0" name="G3-style 45">
      <tableStyleElement dxfId="1" type="firstRowStripe"/>
      <tableStyleElement dxfId="1" type="secondRowStripe"/>
    </tableStyle>
    <tableStyle count="2" pivot="0" name="G3-style 46">
      <tableStyleElement dxfId="1" type="firstRowStripe"/>
      <tableStyleElement dxfId="1" type="secondRowStripe"/>
    </tableStyle>
    <tableStyle count="2" pivot="0" name="G3-style 47">
      <tableStyleElement dxfId="1" type="firstRowStripe"/>
      <tableStyleElement dxfId="1" type="secondRowStripe"/>
    </tableStyle>
    <tableStyle count="2" pivot="0" name="G3-style 48">
      <tableStyleElement dxfId="1" type="firstRowStripe"/>
      <tableStyleElement dxfId="1" type="secondRowStripe"/>
    </tableStyle>
    <tableStyle count="2" pivot="0" name="G3-style 49">
      <tableStyleElement dxfId="1" type="firstRowStripe"/>
      <tableStyleElement dxfId="1" type="secondRowStripe"/>
    </tableStyle>
    <tableStyle count="2" pivot="0" name="G3-style 50">
      <tableStyleElement dxfId="1" type="firstRowStripe"/>
      <tableStyleElement dxfId="1" type="secondRowStripe"/>
    </tableStyle>
    <tableStyle count="2" pivot="0" name="G3-style 51">
      <tableStyleElement dxfId="1" type="firstRowStripe"/>
      <tableStyleElement dxfId="1" type="secondRowStripe"/>
    </tableStyle>
    <tableStyle count="2" pivot="0" name="G3-style 52">
      <tableStyleElement dxfId="1" type="firstRowStripe"/>
      <tableStyleElement dxfId="1" type="secondRowStripe"/>
    </tableStyle>
    <tableStyle count="2" pivot="0" name="G3-style 53">
      <tableStyleElement dxfId="1" type="firstRowStripe"/>
      <tableStyleElement dxfId="1" type="secondRowStripe"/>
    </tableStyle>
    <tableStyle count="2" pivot="0" name="G3-style 54">
      <tableStyleElement dxfId="1" type="firstRowStripe"/>
      <tableStyleElement dxfId="1" type="secondRowStripe"/>
    </tableStyle>
    <tableStyle count="2" pivot="0" name="G3-style 55">
      <tableStyleElement dxfId="1" type="firstRowStripe"/>
      <tableStyleElement dxfId="1" type="secondRowStripe"/>
    </tableStyle>
    <tableStyle count="2" pivot="0" name="G3-style 56">
      <tableStyleElement dxfId="1" type="firstRowStripe"/>
      <tableStyleElement dxfId="1" type="secondRowStripe"/>
    </tableStyle>
    <tableStyle count="2" pivot="0" name="G3-style 57">
      <tableStyleElement dxfId="1" type="firstRowStripe"/>
      <tableStyleElement dxfId="1" type="secondRowStripe"/>
    </tableStyle>
    <tableStyle count="2" pivot="0" name="G3-style 58">
      <tableStyleElement dxfId="1" type="firstRowStripe"/>
      <tableStyleElement dxfId="1" type="secondRowStripe"/>
    </tableStyle>
    <tableStyle count="2" pivot="0" name="G3-style 59">
      <tableStyleElement dxfId="1" type="firstRowStripe"/>
      <tableStyleElement dxfId="1" type="secondRowStripe"/>
    </tableStyle>
    <tableStyle count="2" pivot="0" name="G3-style 60">
      <tableStyleElement dxfId="1" type="firstRowStripe"/>
      <tableStyleElement dxfId="1" type="secondRowStripe"/>
    </tableStyle>
    <tableStyle count="2" pivot="0" name="G3-style 61">
      <tableStyleElement dxfId="1" type="firstRowStripe"/>
      <tableStyleElement dxfId="1" type="secondRowStripe"/>
    </tableStyle>
    <tableStyle count="2" pivot="0" name="G3-style 62">
      <tableStyleElement dxfId="1" type="firstRowStripe"/>
      <tableStyleElement dxfId="1" type="secondRowStripe"/>
    </tableStyle>
    <tableStyle count="2" pivot="0" name="G3-style 63">
      <tableStyleElement dxfId="1" type="firstRowStripe"/>
      <tableStyleElement dxfId="1" type="secondRowStripe"/>
    </tableStyle>
    <tableStyle count="2" pivot="0" name="G3-style 64">
      <tableStyleElement dxfId="1" type="firstRowStripe"/>
      <tableStyleElement dxfId="1" type="secondRowStripe"/>
    </tableStyle>
    <tableStyle count="2" pivot="0" name="G3-style 65">
      <tableStyleElement dxfId="1" type="firstRowStripe"/>
      <tableStyleElement dxfId="1" type="secondRowStripe"/>
    </tableStyle>
    <tableStyle count="2" pivot="0" name="G3-style 66">
      <tableStyleElement dxfId="1" type="firstRowStripe"/>
      <tableStyleElement dxfId="1" type="secondRowStripe"/>
    </tableStyle>
    <tableStyle count="2" pivot="0" name="G3-style 67">
      <tableStyleElement dxfId="1" type="firstRowStripe"/>
      <tableStyleElement dxfId="1" type="secondRowStripe"/>
    </tableStyle>
    <tableStyle count="2" pivot="0" name="G3-style 68">
      <tableStyleElement dxfId="1" type="firstRowStripe"/>
      <tableStyleElement dxfId="1" type="secondRowStripe"/>
    </tableStyle>
    <tableStyle count="2" pivot="0" name="G3-style 69">
      <tableStyleElement dxfId="1" type="firstRowStripe"/>
      <tableStyleElement dxfId="1" type="secondRowStripe"/>
    </tableStyle>
    <tableStyle count="2" pivot="0" name="G3-style 70">
      <tableStyleElement dxfId="1" type="firstRowStripe"/>
      <tableStyleElement dxfId="1" type="secondRowStripe"/>
    </tableStyle>
    <tableStyle count="2" pivot="0" name="G3-style 71">
      <tableStyleElement dxfId="1" type="firstRowStripe"/>
      <tableStyleElement dxfId="1" type="secondRowStripe"/>
    </tableStyle>
    <tableStyle count="2" pivot="0" name="G3-style 72">
      <tableStyleElement dxfId="1" type="firstRowStripe"/>
      <tableStyleElement dxfId="1" type="secondRowStripe"/>
    </tableStyle>
    <tableStyle count="2" pivot="0" name="G3-style 73">
      <tableStyleElement dxfId="1" type="firstRowStripe"/>
      <tableStyleElement dxfId="1" type="secondRowStripe"/>
    </tableStyle>
    <tableStyle count="2" pivot="0" name="G3-style 74">
      <tableStyleElement dxfId="1" type="firstRowStripe"/>
      <tableStyleElement dxfId="1" type="secondRowStripe"/>
    </tableStyle>
    <tableStyle count="2" pivot="0" name="G3-style 75">
      <tableStyleElement dxfId="1" type="firstRowStripe"/>
      <tableStyleElement dxfId="1" type="secondRowStripe"/>
    </tableStyle>
    <tableStyle count="2" pivot="0" name="G3-style 76">
      <tableStyleElement dxfId="1" type="firstRowStripe"/>
      <tableStyleElement dxfId="1" type="secondRowStripe"/>
    </tableStyle>
    <tableStyle count="2" pivot="0" name="G3-style 77">
      <tableStyleElement dxfId="1" type="firstRowStripe"/>
      <tableStyleElement dxfId="1" type="secondRowStripe"/>
    </tableStyle>
    <tableStyle count="2" pivot="0" name="G3-style 78">
      <tableStyleElement dxfId="1" type="firstRowStripe"/>
      <tableStyleElement dxfId="1" type="secondRowStripe"/>
    </tableStyle>
    <tableStyle count="2" pivot="0" name="G3-style 79">
      <tableStyleElement dxfId="1" type="firstRowStripe"/>
      <tableStyleElement dxfId="1" type="secondRowStripe"/>
    </tableStyle>
    <tableStyle count="2" pivot="0" name="G3-style 80">
      <tableStyleElement dxfId="1" type="firstRowStripe"/>
      <tableStyleElement dxfId="1" type="secondRowStripe"/>
    </tableStyle>
    <tableStyle count="2" pivot="0" name="G3-style 81">
      <tableStyleElement dxfId="1" type="firstRowStripe"/>
      <tableStyleElement dxfId="1" type="secondRowStripe"/>
    </tableStyle>
    <tableStyle count="2" pivot="0" name="G3-style 82">
      <tableStyleElement dxfId="1" type="firstRowStripe"/>
      <tableStyleElement dxfId="1" type="secondRowStripe"/>
    </tableStyle>
    <tableStyle count="2" pivot="0" name="G3-style 83">
      <tableStyleElement dxfId="1" type="firstRowStripe"/>
      <tableStyleElement dxfId="1" type="secondRowStripe"/>
    </tableStyle>
    <tableStyle count="2" pivot="0" name="G3-style 84">
      <tableStyleElement dxfId="1" type="firstRowStripe"/>
      <tableStyleElement dxfId="1" type="secondRowStripe"/>
    </tableStyle>
    <tableStyle count="2" pivot="0" name="G3-style 85">
      <tableStyleElement dxfId="1" type="firstRowStripe"/>
      <tableStyleElement dxfId="1" type="secondRowStripe"/>
    </tableStyle>
    <tableStyle count="2" pivot="0" name="G3-style 86">
      <tableStyleElement dxfId="1" type="firstRowStripe"/>
      <tableStyleElement dxfId="1" type="secondRowStripe"/>
    </tableStyle>
    <tableStyle count="2" pivot="0" name="G3-style 87">
      <tableStyleElement dxfId="1" type="firstRowStripe"/>
      <tableStyleElement dxfId="1" type="secondRowStripe"/>
    </tableStyle>
    <tableStyle count="2" pivot="0" name="G3-style 88">
      <tableStyleElement dxfId="1" type="firstRowStripe"/>
      <tableStyleElement dxfId="1" type="secondRowStripe"/>
    </tableStyle>
    <tableStyle count="2" pivot="0" name="G3-style 89">
      <tableStyleElement dxfId="1" type="firstRowStripe"/>
      <tableStyleElement dxfId="1" type="secondRowStripe"/>
    </tableStyle>
    <tableStyle count="2" pivot="0" name="G3-style 90">
      <tableStyleElement dxfId="1" type="firstRowStripe"/>
      <tableStyleElement dxfId="1" type="secondRowStripe"/>
    </tableStyle>
    <tableStyle count="2" pivot="0" name="G3-style 91">
      <tableStyleElement dxfId="1" type="firstRowStripe"/>
      <tableStyleElement dxfId="1" type="secondRowStripe"/>
    </tableStyle>
    <tableStyle count="2" pivot="0" name="G3-style 92">
      <tableStyleElement dxfId="1" type="firstRowStripe"/>
      <tableStyleElement dxfId="1" type="secondRowStripe"/>
    </tableStyle>
    <tableStyle count="2" pivot="0" name="G3-style 93">
      <tableStyleElement dxfId="1" type="firstRowStripe"/>
      <tableStyleElement dxfId="1" type="secondRowStripe"/>
    </tableStyle>
    <tableStyle count="2" pivot="0" name="G3-style 94">
      <tableStyleElement dxfId="1" type="firstRowStripe"/>
      <tableStyleElement dxfId="1" type="secondRowStripe"/>
    </tableStyle>
    <tableStyle count="2" pivot="0" name="G3-style 95">
      <tableStyleElement dxfId="1" type="firstRowStripe"/>
      <tableStyleElement dxfId="1" type="secondRowStripe"/>
    </tableStyle>
    <tableStyle count="2" pivot="0" name="G3-style 96">
      <tableStyleElement dxfId="1" type="firstRowStripe"/>
      <tableStyleElement dxfId="1" type="secondRowStripe"/>
    </tableStyle>
    <tableStyle count="2" pivot="0" name="G3-style 97">
      <tableStyleElement dxfId="1" type="firstRowStripe"/>
      <tableStyleElement dxfId="1" type="secondRowStripe"/>
    </tableStyle>
    <tableStyle count="2" pivot="0" name="G3-style 98">
      <tableStyleElement dxfId="1" type="firstRowStripe"/>
      <tableStyleElement dxfId="1" type="secondRowStripe"/>
    </tableStyle>
    <tableStyle count="2" pivot="0" name="G3-style 99">
      <tableStyleElement dxfId="1" type="firstRowStripe"/>
      <tableStyleElement dxfId="1" type="secondRowStripe"/>
    </tableStyle>
    <tableStyle count="2" pivot="0" name="G3-style 100">
      <tableStyleElement dxfId="1" type="firstRowStripe"/>
      <tableStyleElement dxfId="1" type="secondRowStripe"/>
    </tableStyle>
    <tableStyle count="2" pivot="0" name="G3-style 101">
      <tableStyleElement dxfId="1" type="firstRowStripe"/>
      <tableStyleElement dxfId="1" type="secondRowStripe"/>
    </tableStyle>
    <tableStyle count="2" pivot="0" name="G3-style 102">
      <tableStyleElement dxfId="1" type="firstRowStripe"/>
      <tableStyleElement dxfId="1" type="secondRowStripe"/>
    </tableStyle>
    <tableStyle count="2" pivot="0" name="G3-style 103">
      <tableStyleElement dxfId="1" type="firstRowStripe"/>
      <tableStyleElement dxfId="1" type="secondRowStripe"/>
    </tableStyle>
    <tableStyle count="2" pivot="0" name="G3-style 104">
      <tableStyleElement dxfId="1" type="firstRowStripe"/>
      <tableStyleElement dxfId="1" type="secondRowStripe"/>
    </tableStyle>
    <tableStyle count="2" pivot="0" name="G3-style 105">
      <tableStyleElement dxfId="1" type="firstRowStripe"/>
      <tableStyleElement dxfId="1" type="secondRowStripe"/>
    </tableStyle>
    <tableStyle count="2" pivot="0" name="G3-style 106">
      <tableStyleElement dxfId="1" type="firstRowStripe"/>
      <tableStyleElement dxfId="1" type="secondRowStripe"/>
    </tableStyle>
    <tableStyle count="2" pivot="0" name="G3-style 107">
      <tableStyleElement dxfId="1" type="firstRowStripe"/>
      <tableStyleElement dxfId="1" type="secondRowStripe"/>
    </tableStyle>
    <tableStyle count="2" pivot="0" name="G3-style 108">
      <tableStyleElement dxfId="1" type="firstRowStripe"/>
      <tableStyleElement dxfId="1" type="secondRowStripe"/>
    </tableStyle>
    <tableStyle count="2" pivot="0" name="G3-style 109">
      <tableStyleElement dxfId="1" type="firstRowStripe"/>
      <tableStyleElement dxfId="1" type="secondRowStripe"/>
    </tableStyle>
    <tableStyle count="2" pivot="0" name="G3-style 110">
      <tableStyleElement dxfId="1" type="firstRowStripe"/>
      <tableStyleElement dxfId="1" type="secondRowStripe"/>
    </tableStyle>
    <tableStyle count="2" pivot="0" name="G3-style 111">
      <tableStyleElement dxfId="1" type="firstRowStripe"/>
      <tableStyleElement dxfId="1" type="secondRowStripe"/>
    </tableStyle>
    <tableStyle count="2" pivot="0" name="G3-style 112">
      <tableStyleElement dxfId="1" type="firstRowStripe"/>
      <tableStyleElement dxfId="1" type="secondRowStripe"/>
    </tableStyle>
    <tableStyle count="2" pivot="0" name="G3-style 113">
      <tableStyleElement dxfId="1" type="firstRowStripe"/>
      <tableStyleElement dxfId="1" type="secondRowStripe"/>
    </tableStyle>
    <tableStyle count="2" pivot="0" name="G3-style 114">
      <tableStyleElement dxfId="1" type="firstRowStripe"/>
      <tableStyleElement dxfId="1" type="secondRowStripe"/>
    </tableStyle>
    <tableStyle count="2" pivot="0" name="G5-style">
      <tableStyleElement dxfId="1" type="firstRowStripe"/>
      <tableStyleElement dxfId="1" type="secondRowStripe"/>
    </tableStyle>
    <tableStyle count="2" pivot="0" name="G5-style 2">
      <tableStyleElement dxfId="1" type="firstRowStripe"/>
      <tableStyleElement dxfId="1" type="secondRowStripe"/>
    </tableStyle>
    <tableStyle count="2" pivot="0" name="G5-style 3">
      <tableStyleElement dxfId="1" type="firstRowStripe"/>
      <tableStyleElement dxfId="1" type="secondRowStripe"/>
    </tableStyle>
    <tableStyle count="2" pivot="0" name="G5-style 4">
      <tableStyleElement dxfId="1" type="firstRowStripe"/>
      <tableStyleElement dxfId="1" type="secondRowStripe"/>
    </tableStyle>
    <tableStyle count="2" pivot="0" name="G5-style 5">
      <tableStyleElement dxfId="1" type="firstRowStripe"/>
      <tableStyleElement dxfId="1" type="secondRowStripe"/>
    </tableStyle>
    <tableStyle count="2" pivot="0" name="G5-style 6">
      <tableStyleElement dxfId="1" type="firstRowStripe"/>
      <tableStyleElement dxfId="1" type="secondRowStripe"/>
    </tableStyle>
    <tableStyle count="2" pivot="0" name="G5-style 7">
      <tableStyleElement dxfId="1" type="firstRowStripe"/>
      <tableStyleElement dxfId="1" type="secondRowStripe"/>
    </tableStyle>
    <tableStyle count="2" pivot="0" name="G5-style 8">
      <tableStyleElement dxfId="1" type="firstRowStripe"/>
      <tableStyleElement dxfId="1" type="secondRowStripe"/>
    </tableStyle>
    <tableStyle count="2" pivot="0" name="G5-style 9">
      <tableStyleElement dxfId="1" type="firstRowStripe"/>
      <tableStyleElement dxfId="1" type="secondRowStripe"/>
    </tableStyle>
    <tableStyle count="2" pivot="0" name="G5-style 10">
      <tableStyleElement dxfId="1" type="firstRowStripe"/>
      <tableStyleElement dxfId="1" type="secondRowStripe"/>
    </tableStyle>
    <tableStyle count="2" pivot="0" name="G5-style 11">
      <tableStyleElement dxfId="1" type="firstRowStripe"/>
      <tableStyleElement dxfId="1" type="secondRowStripe"/>
    </tableStyle>
    <tableStyle count="2" pivot="0" name="G5-style 12">
      <tableStyleElement dxfId="1" type="firstRowStripe"/>
      <tableStyleElement dxfId="1" type="secondRowStripe"/>
    </tableStyle>
    <tableStyle count="2" pivot="0" name="G4-style">
      <tableStyleElement dxfId="1" type="firstRowStripe"/>
      <tableStyleElement dxfId="1" type="secondRowStripe"/>
    </tableStyle>
    <tableStyle count="2" pivot="0" name="G4-style 2">
      <tableStyleElement dxfId="1" type="firstRowStripe"/>
      <tableStyleElement dxfId="1" type="secondRowStripe"/>
    </tableStyle>
    <tableStyle count="2" pivot="0" name="G4-style 3">
      <tableStyleElement dxfId="1" type="firstRowStripe"/>
      <tableStyleElement dxfId="1" type="secondRowStripe"/>
    </tableStyle>
    <tableStyle count="2" pivot="0" name="G4-style 4">
      <tableStyleElement dxfId="1" type="firstRowStripe"/>
      <tableStyleElement dxfId="1" type="secondRowStripe"/>
    </tableStyle>
    <tableStyle count="2" pivot="0" name="G4-style 5">
      <tableStyleElement dxfId="1" type="firstRowStripe"/>
      <tableStyleElement dxfId="1" type="secondRowStripe"/>
    </tableStyle>
    <tableStyle count="2" pivot="0" name="G4-style 6">
      <tableStyleElement dxfId="1" type="firstRowStripe"/>
      <tableStyleElement dxfId="1" type="secondRowStripe"/>
    </tableStyle>
    <tableStyle count="2" pivot="0" name="G4-style 7">
      <tableStyleElement dxfId="1" type="firstRowStripe"/>
      <tableStyleElement dxfId="1" type="secondRowStripe"/>
    </tableStyle>
    <tableStyle count="2" pivot="0" name="G4-style 8">
      <tableStyleElement dxfId="1" type="firstRowStripe"/>
      <tableStyleElement dxfId="1" type="secondRowStripe"/>
    </tableStyle>
    <tableStyle count="2" pivot="0" name="G4-style 9">
      <tableStyleElement dxfId="1" type="firstRowStripe"/>
      <tableStyleElement dxfId="1" type="secondRowStripe"/>
    </tableStyle>
    <tableStyle count="2" pivot="0" name="G4-style 10">
      <tableStyleElement dxfId="1" type="firstRowStripe"/>
      <tableStyleElement dxfId="1" type="secondRowStripe"/>
    </tableStyle>
    <tableStyle count="2" pivot="0" name="G4-style 11">
      <tableStyleElement dxfId="1" type="firstRowStripe"/>
      <tableStyleElement dxfId="1" type="secondRowStripe"/>
    </tableStyle>
    <tableStyle count="2" pivot="0" name="G4-style 12">
      <tableStyleElement dxfId="1" type="firstRowStripe"/>
      <tableStyleElement dxfId="1" type="secondRowStripe"/>
    </tableStyle>
    <tableStyle count="2" pivot="0" name="G4-style 13">
      <tableStyleElement dxfId="1" type="firstRowStripe"/>
      <tableStyleElement dxfId="1" type="secondRowStripe"/>
    </tableStyle>
    <tableStyle count="2" pivot="0" name="G4-style 14">
      <tableStyleElement dxfId="1" type="firstRowStripe"/>
      <tableStyleElement dxfId="1" type="secondRowStripe"/>
    </tableStyle>
    <tableStyle count="2" pivot="0" name="G4-style 15">
      <tableStyleElement dxfId="1" type="firstRowStripe"/>
      <tableStyleElement dxfId="1" type="secondRowStripe"/>
    </tableStyle>
    <tableStyle count="2" pivot="0" name="G4-style 16">
      <tableStyleElement dxfId="1" type="firstRowStripe"/>
      <tableStyleElement dxfId="1" type="secondRowStripe"/>
    </tableStyle>
    <tableStyle count="2" pivot="0" name="G4-style 17">
      <tableStyleElement dxfId="1" type="firstRowStripe"/>
      <tableStyleElement dxfId="1" type="secondRowStripe"/>
    </tableStyle>
    <tableStyle count="2" pivot="0" name="G4-style 18">
      <tableStyleElement dxfId="1" type="firstRowStripe"/>
      <tableStyleElement dxfId="1" type="secondRowStripe"/>
    </tableStyle>
    <tableStyle count="2" pivot="0" name="G4-style 19">
      <tableStyleElement dxfId="1" type="firstRowStripe"/>
      <tableStyleElement dxfId="1" type="secondRowStripe"/>
    </tableStyle>
    <tableStyle count="2" pivot="0" name="G4-style 20">
      <tableStyleElement dxfId="1" type="firstRowStripe"/>
      <tableStyleElement dxfId="1" type="secondRowStripe"/>
    </tableStyle>
    <tableStyle count="2" pivot="0" name="G4-style 21">
      <tableStyleElement dxfId="1" type="firstRowStripe"/>
      <tableStyleElement dxfId="1" type="secondRowStripe"/>
    </tableStyle>
    <tableStyle count="2" pivot="0" name="G4-style 22">
      <tableStyleElement dxfId="1" type="firstRowStripe"/>
      <tableStyleElement dxfId="1" type="secondRowStripe"/>
    </tableStyle>
    <tableStyle count="2" pivot="0" name="G4-style 23">
      <tableStyleElement dxfId="1" type="firstRowStripe"/>
      <tableStyleElement dxfId="1" type="secondRowStripe"/>
    </tableStyle>
    <tableStyle count="2" pivot="0" name="G4-style 24">
      <tableStyleElement dxfId="1" type="firstRowStripe"/>
      <tableStyleElement dxfId="1" type="secondRowStripe"/>
    </tableStyle>
    <tableStyle count="2" pivot="0" name="G4-style 25">
      <tableStyleElement dxfId="1" type="firstRowStripe"/>
      <tableStyleElement dxfId="1" type="secondRowStripe"/>
    </tableStyle>
    <tableStyle count="2" pivot="0" name="G4-style 26">
      <tableStyleElement dxfId="1" type="firstRowStripe"/>
      <tableStyleElement dxfId="1" type="secondRowStripe"/>
    </tableStyle>
    <tableStyle count="2" pivot="0" name="G4-style 27">
      <tableStyleElement dxfId="1" type="firstRowStripe"/>
      <tableStyleElement dxfId="1" type="secondRowStripe"/>
    </tableStyle>
    <tableStyle count="2" pivot="0" name="G4-style 28">
      <tableStyleElement dxfId="1" type="firstRowStripe"/>
      <tableStyleElement dxfId="1" type="secondRowStripe"/>
    </tableStyle>
    <tableStyle count="2" pivot="0" name="G4-style 29">
      <tableStyleElement dxfId="1" type="firstRowStripe"/>
      <tableStyleElement dxfId="1" type="secondRowStripe"/>
    </tableStyle>
    <tableStyle count="2" pivot="0" name="G4-style 30">
      <tableStyleElement dxfId="1" type="firstRowStripe"/>
      <tableStyleElement dxfId="1" type="secondRowStripe"/>
    </tableStyle>
    <tableStyle count="2" pivot="0" name="G4-style 31">
      <tableStyleElement dxfId="1" type="firstRowStripe"/>
      <tableStyleElement dxfId="1" type="secondRowStripe"/>
    </tableStyle>
    <tableStyle count="2" pivot="0" name="G4-style 32">
      <tableStyleElement dxfId="1" type="firstRowStripe"/>
      <tableStyleElement dxfId="1" type="secondRowStripe"/>
    </tableStyle>
    <tableStyle count="2" pivot="0" name="G4-style 33">
      <tableStyleElement dxfId="1" type="firstRowStripe"/>
      <tableStyleElement dxfId="1" type="secondRowStripe"/>
    </tableStyle>
    <tableStyle count="2" pivot="0" name="G4-style 34">
      <tableStyleElement dxfId="1" type="firstRowStripe"/>
      <tableStyleElement dxfId="1" type="secondRowStripe"/>
    </tableStyle>
    <tableStyle count="2" pivot="0" name="G4-style 35">
      <tableStyleElement dxfId="1" type="firstRowStripe"/>
      <tableStyleElement dxfId="1" type="secondRowStripe"/>
    </tableStyle>
    <tableStyle count="2" pivot="0" name="G4-style 36">
      <tableStyleElement dxfId="1" type="firstRowStripe"/>
      <tableStyleElement dxfId="1" type="secondRowStripe"/>
    </tableStyle>
    <tableStyle count="2" pivot="0" name="G4-style 37">
      <tableStyleElement dxfId="1" type="firstRowStripe"/>
      <tableStyleElement dxfId="1" type="secondRowStripe"/>
    </tableStyle>
    <tableStyle count="2" pivot="0" name="G4-style 38">
      <tableStyleElement dxfId="1" type="firstRowStripe"/>
      <tableStyleElement dxfId="1" type="secondRowStripe"/>
    </tableStyle>
    <tableStyle count="2" pivot="0" name="G4-style 39">
      <tableStyleElement dxfId="1" type="firstRowStripe"/>
      <tableStyleElement dxfId="1" type="secondRowStripe"/>
    </tableStyle>
    <tableStyle count="2" pivot="0" name="G4-style 40">
      <tableStyleElement dxfId="1" type="firstRowStripe"/>
      <tableStyleElement dxfId="1" type="secondRowStripe"/>
    </tableStyle>
    <tableStyle count="2" pivot="0" name="G4-style 41">
      <tableStyleElement dxfId="1" type="firstRowStripe"/>
      <tableStyleElement dxfId="1" type="secondRowStripe"/>
    </tableStyle>
    <tableStyle count="2" pivot="0" name="G4-style 42">
      <tableStyleElement dxfId="1" type="firstRowStripe"/>
      <tableStyleElement dxfId="1" type="secondRowStripe"/>
    </tableStyle>
    <tableStyle count="2" pivot="0" name="G4-style 43">
      <tableStyleElement dxfId="1" type="firstRowStripe"/>
      <tableStyleElement dxfId="1" type="secondRowStripe"/>
    </tableStyle>
    <tableStyle count="2" pivot="0" name="G4-style 44">
      <tableStyleElement dxfId="1" type="firstRowStripe"/>
      <tableStyleElement dxfId="1" type="secondRowStripe"/>
    </tableStyle>
    <tableStyle count="2" pivot="0" name="G4-style 45">
      <tableStyleElement dxfId="1" type="firstRowStripe"/>
      <tableStyleElement dxfId="1" type="secondRowStripe"/>
    </tableStyle>
    <tableStyle count="2" pivot="0" name="G4-style 46">
      <tableStyleElement dxfId="1" type="firstRowStripe"/>
      <tableStyleElement dxfId="1" type="secondRowStripe"/>
    </tableStyle>
    <tableStyle count="2" pivot="0" name="G4-style 47">
      <tableStyleElement dxfId="1" type="firstRowStripe"/>
      <tableStyleElement dxfId="1" type="secondRowStripe"/>
    </tableStyle>
    <tableStyle count="2" pivot="0" name="G4-style 48">
      <tableStyleElement dxfId="1" type="firstRowStripe"/>
      <tableStyleElement dxfId="1" type="secondRowStripe"/>
    </tableStyle>
    <tableStyle count="2" pivot="0" name="G4-style 49">
      <tableStyleElement dxfId="1" type="firstRowStripe"/>
      <tableStyleElement dxfId="1" type="secondRowStripe"/>
    </tableStyle>
    <tableStyle count="2" pivot="0" name="G4-style 50">
      <tableStyleElement dxfId="1" type="firstRowStripe"/>
      <tableStyleElement dxfId="1" type="secondRowStripe"/>
    </tableStyle>
    <tableStyle count="2" pivot="0" name="G4-style 51">
      <tableStyleElement dxfId="1" type="firstRowStripe"/>
      <tableStyleElement dxfId="1" type="secondRowStripe"/>
    </tableStyle>
    <tableStyle count="2" pivot="0" name="G4-style 52">
      <tableStyleElement dxfId="1" type="firstRowStripe"/>
      <tableStyleElement dxfId="1" type="secondRowStripe"/>
    </tableStyle>
    <tableStyle count="2" pivot="0" name="G4-style 53">
      <tableStyleElement dxfId="1" type="firstRowStripe"/>
      <tableStyleElement dxfId="1" type="secondRowStripe"/>
    </tableStyle>
    <tableStyle count="2" pivot="0" name="G4-style 54">
      <tableStyleElement dxfId="1" type="firstRowStripe"/>
      <tableStyleElement dxfId="1" type="secondRowStripe"/>
    </tableStyle>
    <tableStyle count="2" pivot="0" name="G4-style 55">
      <tableStyleElement dxfId="1" type="firstRowStripe"/>
      <tableStyleElement dxfId="1" type="secondRowStripe"/>
    </tableStyle>
    <tableStyle count="2" pivot="0" name="G4-style 56">
      <tableStyleElement dxfId="1" type="firstRowStripe"/>
      <tableStyleElement dxfId="1" type="secondRowStripe"/>
    </tableStyle>
    <tableStyle count="2" pivot="0" name="G4-style 57">
      <tableStyleElement dxfId="1" type="firstRowStripe"/>
      <tableStyleElement dxfId="1" type="secondRowStripe"/>
    </tableStyle>
    <tableStyle count="2" pivot="0" name="G4-style 58">
      <tableStyleElement dxfId="1" type="firstRowStripe"/>
      <tableStyleElement dxfId="1" type="secondRowStripe"/>
    </tableStyle>
    <tableStyle count="2" pivot="0" name="G4-style 59">
      <tableStyleElement dxfId="1" type="firstRowStripe"/>
      <tableStyleElement dxfId="1" type="secondRowStripe"/>
    </tableStyle>
    <tableStyle count="2" pivot="0" name="G4-style 60">
      <tableStyleElement dxfId="1" type="firstRowStripe"/>
      <tableStyleElement dxfId="1" type="secondRowStripe"/>
    </tableStyle>
    <tableStyle count="2" pivot="0" name="G4-style 61">
      <tableStyleElement dxfId="1" type="firstRowStripe"/>
      <tableStyleElement dxfId="1" type="secondRowStripe"/>
    </tableStyle>
    <tableStyle count="2" pivot="0" name="G4-style 62">
      <tableStyleElement dxfId="1" type="firstRowStripe"/>
      <tableStyleElement dxfId="1" type="secondRowStripe"/>
    </tableStyle>
    <tableStyle count="2" pivot="0" name="G4-style 63">
      <tableStyleElement dxfId="1" type="firstRowStripe"/>
      <tableStyleElement dxfId="1" type="secondRowStripe"/>
    </tableStyle>
    <tableStyle count="2" pivot="0" name="G4-style 64">
      <tableStyleElement dxfId="1" type="firstRowStripe"/>
      <tableStyleElement dxfId="1" type="secondRowStripe"/>
    </tableStyle>
    <tableStyle count="2" pivot="0" name="G4-style 65">
      <tableStyleElement dxfId="1" type="firstRowStripe"/>
      <tableStyleElement dxfId="1" type="secondRowStripe"/>
    </tableStyle>
    <tableStyle count="2" pivot="0" name="G8 (중2)-style">
      <tableStyleElement dxfId="1" type="firstRowStripe"/>
      <tableStyleElement dxfId="1" type="secondRowStripe"/>
    </tableStyle>
    <tableStyle count="2" pivot="0" name="G8 (중2)-style 2">
      <tableStyleElement dxfId="1" type="firstRowStripe"/>
      <tableStyleElement dxfId="1" type="secondRowStripe"/>
    </tableStyle>
    <tableStyle count="2" pivot="0" name="Quit List 2025-style">
      <tableStyleElement dxfId="1" type="firstRowStripe"/>
      <tableStyleElement dxfId="1" type="secondRowStripe"/>
    </tableStyle>
    <tableStyle count="2" pivot="0" name="Quit List 2025-style 2">
      <tableStyleElement dxfId="1" type="firstRowStripe"/>
      <tableStyleElement dxfId="1" type="secondRowStripe"/>
    </tableStyle>
    <tableStyle count="2" pivot="0" name="Quit List 2025-style 3">
      <tableStyleElement dxfId="1" type="firstRowStripe"/>
      <tableStyleElement dxfId="1" type="secondRowStripe"/>
    </tableStyle>
    <tableStyle count="2" pivot="0" name="Quit List 2025-style 4">
      <tableStyleElement dxfId="1" type="firstRowStripe"/>
      <tableStyleElement dxfId="1" type="secondRowStripe"/>
    </tableStyle>
    <tableStyle count="2" pivot="0" name="Quit List 2025-style 5">
      <tableStyleElement dxfId="1" type="firstRowStripe"/>
      <tableStyleElement dxfId="1" type="secondRowStripe"/>
    </tableStyle>
    <tableStyle count="2" pivot="0" name="Quit List 2025-style 6">
      <tableStyleElement dxfId="1" type="firstRowStripe"/>
      <tableStyleElement dxfId="1" type="secondRowStripe"/>
    </tableStyle>
    <tableStyle count="2" pivot="0" name="Quit List 2025-style 7">
      <tableStyleElement dxfId="1" type="firstRowStripe"/>
      <tableStyleElement dxfId="1" type="secondRowStripe"/>
    </tableStyle>
    <tableStyle count="2" pivot="0" name="Quit List 2025-style 8">
      <tableStyleElement dxfId="1" type="firstRowStripe"/>
      <tableStyleElement dxfId="1" type="secondRowStripe"/>
    </tableStyle>
    <tableStyle count="2" pivot="0" name="Quit List 2025-style 9">
      <tableStyleElement dxfId="1" type="firstRowStripe"/>
      <tableStyleElement dxfId="1" type="secondRowStripe"/>
    </tableStyle>
    <tableStyle count="2" pivot="0" name="Quit List 2025-style 10">
      <tableStyleElement dxfId="1" type="firstRowStripe"/>
      <tableStyleElement dxfId="1" type="secondRowStripe"/>
    </tableStyle>
    <tableStyle count="2" pivot="0" name="Quit List 2025-style 11">
      <tableStyleElement dxfId="1" type="firstRowStripe"/>
      <tableStyleElement dxfId="1" type="secondRowStripe"/>
    </tableStyle>
    <tableStyle count="2" pivot="0" name="Quit List 2025-style 12">
      <tableStyleElement dxfId="1" type="firstRowStripe"/>
      <tableStyleElement dxfId="1" type="secondRowStripe"/>
    </tableStyle>
    <tableStyle count="2" pivot="0" name="Quit List 2025-style 13">
      <tableStyleElement dxfId="1" type="firstRowStripe"/>
      <tableStyleElement dxfId="1" type="secondRowStripe"/>
    </tableStyle>
    <tableStyle count="2" pivot="0" name="Quit List 2025-style 14">
      <tableStyleElement dxfId="1" type="firstRowStripe"/>
      <tableStyleElement dxfId="1" type="secondRowStripe"/>
    </tableStyle>
    <tableStyle count="2" pivot="0" name="Quit List 2025-style 15">
      <tableStyleElement dxfId="1" type="firstRowStripe"/>
      <tableStyleElement dxfId="1" type="secondRowStripe"/>
    </tableStyle>
    <tableStyle count="2" pivot="0" name="Quit List 2025-style 16">
      <tableStyleElement dxfId="1" type="firstRowStripe"/>
      <tableStyleElement dxfId="1" type="secondRowStripe"/>
    </tableStyle>
    <tableStyle count="2" pivot="0" name="Quit List 2025-style 17">
      <tableStyleElement dxfId="1" type="firstRowStripe"/>
      <tableStyleElement dxfId="1" type="secondRowStripe"/>
    </tableStyle>
    <tableStyle count="2" pivot="0" name="Quit List 2025-style 18">
      <tableStyleElement dxfId="1" type="firstRowStripe"/>
      <tableStyleElement dxfId="1" type="secondRowStripe"/>
    </tableStyle>
    <tableStyle count="2" pivot="0" name="ClassNames-style">
      <tableStyleElement dxfId="1" type="firstRowStripe"/>
      <tableStyleElement dxfId="1" type="secondRowStripe"/>
    </tableStyle>
    <tableStyle count="2" pivot="0" name="ClassNames-style 2">
      <tableStyleElement dxfId="1" type="firstRowStripe"/>
      <tableStyleElement dxfId="1" type="secondRowStripe"/>
    </tableStyle>
    <tableStyle count="2" pivot="0" name="ClassNames-style 3">
      <tableStyleElement dxfId="1" type="firstRowStripe"/>
      <tableStyleElement dxfId="1" type="secondRowStripe"/>
    </tableStyle>
    <tableStyle count="2" pivot="0" name="ClassNames-style 4">
      <tableStyleElement dxfId="1" type="firstRowStripe"/>
      <tableStyleElement dxfId="1" type="secondRowStripe"/>
    </tableStyle>
    <tableStyle count="2" pivot="0" name="ClassNames-style 5">
      <tableStyleElement dxfId="1" type="firstRowStripe"/>
      <tableStyleElement dxfId="1" type="secondRowStripe"/>
    </tableStyle>
    <tableStyle count="2" pivot="0" name="ClassNames-style 6">
      <tableStyleElement dxfId="1" type="firstRowStripe"/>
      <tableStyleElement dxfId="1" type="secondRowStripe"/>
    </tableStyle>
    <tableStyle count="2" pivot="0" name="ClassNames-style 7">
      <tableStyleElement dxfId="1" type="firstRowStripe"/>
      <tableStyleElement dxfId="1" type="secondRowStripe"/>
    </tableStyle>
    <tableStyle count="2" pivot="0" name="ClassNames-style 8">
      <tableStyleElement dxfId="1" type="firstRowStripe"/>
      <tableStyleElement dxfId="1" type="secondRowStripe"/>
    </tableStyle>
    <tableStyle count="2" pivot="0" name="ClassNames-style 9">
      <tableStyleElement dxfId="1" type="firstRowStripe"/>
      <tableStyleElement dxfId="1" type="secondRowStripe"/>
    </tableStyle>
    <tableStyle count="2" pivot="0" name="ClassNames-style 10">
      <tableStyleElement dxfId="1" type="firstRowStripe"/>
      <tableStyleElement dxfId="1" type="secondRowStripe"/>
    </tableStyle>
    <tableStyle count="2" pivot="0" name="ClassNames-style 11">
      <tableStyleElement dxfId="1" type="firstRowStripe"/>
      <tableStyleElement dxfId="1" type="secondRowStripe"/>
    </tableStyle>
    <tableStyle count="2" pivot="0" name="ClassNames-style 12">
      <tableStyleElement dxfId="1" type="firstRowStripe"/>
      <tableStyleElement dxfId="1" type="secondRowStripe"/>
    </tableStyle>
    <tableStyle count="2" pivot="0" name="ClassNames-style 13">
      <tableStyleElement dxfId="1" type="firstRowStripe"/>
      <tableStyleElement dxfId="1" type="secondRowStripe"/>
    </tableStyle>
    <tableStyle count="2" pivot="0" name="ClassNames-style 14">
      <tableStyleElement dxfId="1" type="firstRowStripe"/>
      <tableStyleElement dxfId="1" type="secondRowStripe"/>
    </tableStyle>
    <tableStyle count="2" pivot="0" name="ClassNames-style 15">
      <tableStyleElement dxfId="1" type="firstRowStripe"/>
      <tableStyleElement dxfId="1" type="secondRowStripe"/>
    </tableStyle>
    <tableStyle count="2" pivot="0" name="ClassNames-style 16">
      <tableStyleElement dxfId="1" type="firstRowStripe"/>
      <tableStyleElement dxfId="1" type="secondRowStripe"/>
    </tableStyle>
    <tableStyle count="2" pivot="0" name="ClassNames-style 17">
      <tableStyleElement dxfId="1" type="firstRowStripe"/>
      <tableStyleElement dxfId="1" type="secondRowStripe"/>
    </tableStyle>
    <tableStyle count="2" pivot="0" name="ClassNames-style 18">
      <tableStyleElement dxfId="1" type="firstRowStripe"/>
      <tableStyleElement dxfId="1" type="secondRowStripe"/>
    </tableStyle>
    <tableStyle count="2" pivot="0" name="Alphabetical-style">
      <tableStyleElement dxfId="1" type="firstRowStripe"/>
      <tableStyleElement dxfId="1" type="secondRowStripe"/>
    </tableStyle>
    <tableStyle count="2" pivot="0" name="Alphabetical-style 2">
      <tableStyleElement dxfId="1" type="firstRowStripe"/>
      <tableStyleElement dxfId="1" type="secondRowStripe"/>
    </tableStyle>
    <tableStyle count="2" pivot="0" name="Alphabetical-style 3">
      <tableStyleElement dxfId="1" type="firstRowStripe"/>
      <tableStyleElement dxfId="1" type="secondRowStripe"/>
    </tableStyle>
    <tableStyle count="2" pivot="0" name="Alphabetical-style 4">
      <tableStyleElement dxfId="1" type="firstRowStripe"/>
      <tableStyleElement dxfId="1" type="secondRowStripe"/>
    </tableStyle>
    <tableStyle count="2" pivot="0" name="Alphabetical-style 5">
      <tableStyleElement dxfId="1" type="firstRowStripe"/>
      <tableStyleElement dxfId="1" type="secondRowStripe"/>
    </tableStyle>
    <tableStyle count="2" pivot="0" name="Alphabetical-style 6">
      <tableStyleElement dxfId="1" type="firstRowStripe"/>
      <tableStyleElement dxfId="1" type="secondRowStripe"/>
    </tableStyle>
    <tableStyle count="2" pivot="0" name="Alphabetical-style 7">
      <tableStyleElement dxfId="1" type="firstRowStripe"/>
      <tableStyleElement dxfId="1" type="secondRowStripe"/>
    </tableStyle>
    <tableStyle count="2" pivot="0" name="Alphabetical-style 8">
      <tableStyleElement dxfId="1" type="firstRowStripe"/>
      <tableStyleElement dxfId="1" type="secondRowStripe"/>
    </tableStyle>
    <tableStyle count="2" pivot="0" name="Alphabetical-style 9">
      <tableStyleElement dxfId="1" type="firstRowStripe"/>
      <tableStyleElement dxfId="1" type="secondRowStripe"/>
    </tableStyle>
    <tableStyle count="2" pivot="0" name="Alphabetical-style 10">
      <tableStyleElement dxfId="1" type="firstRowStripe"/>
      <tableStyleElement dxfId="1" type="secondRowStripe"/>
    </tableStyle>
    <tableStyle count="2" pivot="0" name="Alphabetical-style 11">
      <tableStyleElement dxfId="1" type="firstRowStripe"/>
      <tableStyleElement dxfId="1" type="secondRowStripe"/>
    </tableStyle>
    <tableStyle count="2" pivot="0" name="Alphabetical-style 12">
      <tableStyleElement dxfId="1" type="firstRowStripe"/>
      <tableStyleElement dxfId="1" type="secondRowStripe"/>
    </tableStyle>
    <tableStyle count="2" pivot="0" name="Alphabetical-style 13">
      <tableStyleElement dxfId="1" type="firstRowStripe"/>
      <tableStyleElement dxfId="1" type="secondRowStripe"/>
    </tableStyle>
    <tableStyle count="2" pivot="0" name="Alphabetical-style 14">
      <tableStyleElement dxfId="1" type="firstRowStripe"/>
      <tableStyleElement dxfId="1" type="secondRowStripe"/>
    </tableStyle>
    <tableStyle count="2" pivot="0" name="Alphabetical-style 15">
      <tableStyleElement dxfId="1" type="firstRowStripe"/>
      <tableStyleElement dxfId="1" type="secondRowStripe"/>
    </tableStyle>
    <tableStyle count="2" pivot="0" name="Alphabetical-style 16">
      <tableStyleElement dxfId="1" type="firstRowStripe"/>
      <tableStyleElement dxfId="1" type="secondRowStripe"/>
    </tableStyle>
    <tableStyle count="2" pivot="0" name="Alphabetical-style 17">
      <tableStyleElement dxfId="1" type="firstRowStripe"/>
      <tableStyleElement dxfId="1" type="secondRowStripe"/>
    </tableStyle>
    <tableStyle count="2" pivot="0" name="Alphabetical-style 18">
      <tableStyleElement dxfId="1" type="firstRowStripe"/>
      <tableStyleElement dxfId="1" type="secondRowStripe"/>
    </tableStyle>
    <tableStyle count="2" pivot="0" name="Quit_Shuttle-style">
      <tableStyleElement dxfId="1" type="firstRowStripe"/>
      <tableStyleElement dxfId="1" type="secondRowStripe"/>
    </tableStyle>
    <tableStyle count="2" pivot="0" name="Yellow Card-style">
      <tableStyleElement dxfId="1" type="firstRowStripe"/>
      <tableStyleElement dxfId="1" type="secondRowStripe"/>
    </tableStyle>
    <tableStyle count="2" pivot="0" name="Yellow Card-style 2">
      <tableStyleElement dxfId="1" type="firstRowStripe"/>
      <tableStyleElement dxfId="1" type="secondRowStripe"/>
    </tableStyle>
    <tableStyle count="2" pivot="0" name="Yellow Card-style 3">
      <tableStyleElement dxfId="1" type="firstRowStripe"/>
      <tableStyleElement dxfId="1"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N10:N45" displayName="Table_1" name="Table_1" id="1">
  <tableColumns count="1">
    <tableColumn name="Column1" id="1"/>
  </tableColumns>
  <tableStyleInfo name="2025 TueThu-style" showColumnStripes="0" showFirstColumn="1" showLastColumn="1" showRowStripes="1"/>
</table>
</file>

<file path=xl/tables/table2.xml><?xml version="1.0" encoding="utf-8"?>
<table xmlns="http://schemas.openxmlformats.org/spreadsheetml/2006/main" headerRowCount="0" ref="Q14" displayName="Table_2" name="Table_2" id="2">
  <tableColumns count="1">
    <tableColumn name="Column1" id="1"/>
  </tableColumns>
  <tableStyleInfo name="2025 TueThu-style 2" showColumnStripes="0" showFirstColumn="1" showLastColumn="1" showRowStripes="1"/>
</table>
</file>

<file path=xl/tables/table3.xml><?xml version="1.0" encoding="utf-8"?>
<table xmlns="http://schemas.openxmlformats.org/spreadsheetml/2006/main" headerRowCount="0" ref="Q15:R15" displayName="Table_3" name="Table_3" id="3">
  <tableColumns count="2">
    <tableColumn name="Column1" id="1"/>
    <tableColumn name="Column2" id="2"/>
  </tableColumns>
  <tableStyleInfo name="2025 TueThu-style 3" showColumnStripes="0" showFirstColumn="1" showLastColumn="1" showRowStripes="1"/>
</table>
</file>

<file path=xl/tables/table4.xml><?xml version="1.0" encoding="utf-8"?>
<table xmlns="http://schemas.openxmlformats.org/spreadsheetml/2006/main" headerRowCount="0" ref="N50:O52" displayName="Table_4" name="Table_4" id="4">
  <tableColumns count="2">
    <tableColumn name="Column1" id="1"/>
    <tableColumn name="Column2" id="2"/>
  </tableColumns>
  <tableStyleInfo name="2025 TueThu-style 4" showColumnStripes="0" showFirstColumn="1" showLastColumn="1" showRowStripes="1"/>
</table>
</file>

<file path=xl/tables/table5.xml><?xml version="1.0" encoding="utf-8"?>
<table xmlns="http://schemas.openxmlformats.org/spreadsheetml/2006/main" headerRowCount="0" ref="B11:B13" displayName="Table_5" name="Table_5" id="5">
  <tableColumns count="1">
    <tableColumn name="Column1" id="1"/>
  </tableColumns>
  <tableStyleInfo name="G1-style" showColumnStripes="0" showFirstColumn="1" showLastColumn="1" showRowStripes="1"/>
</table>
</file>

<file path=xl/tables/table6.xml><?xml version="1.0" encoding="utf-8"?>
<table xmlns="http://schemas.openxmlformats.org/spreadsheetml/2006/main" headerRowCount="0" ref="C11:C13" displayName="Table_6" name="Table_6" id="6">
  <tableColumns count="1">
    <tableColumn name="Column1" id="1"/>
  </tableColumns>
  <tableStyleInfo name="G1-style 2" showColumnStripes="0" showFirstColumn="1" showLastColumn="1" showRowStripes="1"/>
</table>
</file>

<file path=xl/tables/table7.xml><?xml version="1.0" encoding="utf-8"?>
<table xmlns="http://schemas.openxmlformats.org/spreadsheetml/2006/main" headerRowCount="0" ref="D11:H13" displayName="Table_7" name="Table_7" id="7">
  <tableColumns count="5">
    <tableColumn name="Column1" id="1"/>
    <tableColumn name="Column2" id="2"/>
    <tableColumn name="Column3" id="3"/>
    <tableColumn name="Column4" id="4"/>
    <tableColumn name="Column5" id="5"/>
  </tableColumns>
  <tableStyleInfo name="G1-style 3" showColumnStripes="0" showFirstColumn="1" showLastColumn="1" showRowStripes="1"/>
</table>
</file>

<file path=xl/tables/table8.xml><?xml version="1.0" encoding="utf-8"?>
<table xmlns="http://schemas.openxmlformats.org/spreadsheetml/2006/main" headerRowCount="0" ref="B14:B16" displayName="Table_8" name="Table_8" id="8">
  <tableColumns count="1">
    <tableColumn name="Column1" id="1"/>
  </tableColumns>
  <tableStyleInfo name="G1-style 4" showColumnStripes="0" showFirstColumn="1" showLastColumn="1" showRowStripes="1"/>
</table>
</file>

<file path=xl/tables/table9.xml><?xml version="1.0" encoding="utf-8"?>
<table xmlns="http://schemas.openxmlformats.org/spreadsheetml/2006/main" headerRowCount="0" ref="C14:C16" displayName="Table_9" name="Table_9" id="9">
  <tableColumns count="1">
    <tableColumn name="Column1" id="1"/>
  </tableColumns>
  <tableStyleInfo name="G1-style 5" showColumnStripes="0" showFirstColumn="1" showLastColumn="1" showRowStripes="1"/>
</table>
</file>

<file path=xl/tables/table10.xml><?xml version="1.0" encoding="utf-8"?>
<table xmlns="http://schemas.openxmlformats.org/spreadsheetml/2006/main" headerRowCount="0" ref="D14:H16" displayName="Table_10" name="Table_10" id="10">
  <tableColumns count="5">
    <tableColumn name="Column1" id="1"/>
    <tableColumn name="Column2" id="2"/>
    <tableColumn name="Column3" id="3"/>
    <tableColumn name="Column4" id="4"/>
    <tableColumn name="Column5" id="5"/>
  </tableColumns>
  <tableStyleInfo name="G1-style 6" showColumnStripes="0" showFirstColumn="1" showLastColumn="1" showRowStripes="1"/>
</table>
</file>

<file path=xl/tables/table11.xml><?xml version="1.0" encoding="utf-8"?>
<table xmlns="http://schemas.openxmlformats.org/spreadsheetml/2006/main" headerRowCount="0" ref="G21:H21" displayName="Table_11" name="Table_11" id="11">
  <tableColumns count="2">
    <tableColumn name="Column1" id="1"/>
    <tableColumn name="Column2" id="2"/>
  </tableColumns>
  <tableStyleInfo name="G1-style 7" showColumnStripes="0" showFirstColumn="1" showLastColumn="1" showRowStripes="1"/>
</table>
</file>

<file path=xl/tables/table12.xml><?xml version="1.0" encoding="utf-8"?>
<table xmlns="http://schemas.openxmlformats.org/spreadsheetml/2006/main" headerRowCount="0" ref="G22:H22" displayName="Table_12" name="Table_12" id="12">
  <tableColumns count="2">
    <tableColumn name="Column1" id="1"/>
    <tableColumn name="Column2" id="2"/>
  </tableColumns>
  <tableStyleInfo name="G1-style 8" showColumnStripes="0" showFirstColumn="1" showLastColumn="1" showRowStripes="1"/>
</table>
</file>

<file path=xl/tables/table13.xml><?xml version="1.0" encoding="utf-8"?>
<table xmlns="http://schemas.openxmlformats.org/spreadsheetml/2006/main" headerRowCount="0" ref="G23:H23" displayName="Table_13" name="Table_13" id="13">
  <tableColumns count="2">
    <tableColumn name="Column1" id="1"/>
    <tableColumn name="Column2" id="2"/>
  </tableColumns>
  <tableStyleInfo name="G1-style 9" showColumnStripes="0" showFirstColumn="1" showLastColumn="1" showRowStripes="1"/>
</table>
</file>

<file path=xl/tables/table14.xml><?xml version="1.0" encoding="utf-8"?>
<table xmlns="http://schemas.openxmlformats.org/spreadsheetml/2006/main" headerRowCount="0" ref="G24:H24" displayName="Table_14" name="Table_14" id="14">
  <tableColumns count="2">
    <tableColumn name="Column1" id="1"/>
    <tableColumn name="Column2" id="2"/>
  </tableColumns>
  <tableStyleInfo name="G1-style 10" showColumnStripes="0" showFirstColumn="1" showLastColumn="1" showRowStripes="1"/>
</table>
</file>

<file path=xl/tables/table15.xml><?xml version="1.0" encoding="utf-8"?>
<table xmlns="http://schemas.openxmlformats.org/spreadsheetml/2006/main" headerRowCount="0" ref="G25:H25" displayName="Table_15" name="Table_15" id="15">
  <tableColumns count="2">
    <tableColumn name="Column1" id="1"/>
    <tableColumn name="Column2" id="2"/>
  </tableColumns>
  <tableStyleInfo name="G1-style 11" showColumnStripes="0" showFirstColumn="1" showLastColumn="1" showRowStripes="1"/>
</table>
</file>

<file path=xl/tables/table16.xml><?xml version="1.0" encoding="utf-8"?>
<table xmlns="http://schemas.openxmlformats.org/spreadsheetml/2006/main" headerRowCount="0" ref="G42:H42" displayName="Table_16" name="Table_16" id="16">
  <tableColumns count="2">
    <tableColumn name="Column1" id="1"/>
    <tableColumn name="Column2" id="2"/>
  </tableColumns>
  <tableStyleInfo name="G1-style 12" showColumnStripes="0" showFirstColumn="1" showLastColumn="1" showRowStripes="1"/>
</table>
</file>

<file path=xl/tables/table17.xml><?xml version="1.0" encoding="utf-8"?>
<table xmlns="http://schemas.openxmlformats.org/spreadsheetml/2006/main" headerRowCount="0" ref="G43:H43" displayName="Table_17" name="Table_17" id="17">
  <tableColumns count="2">
    <tableColumn name="Column1" id="1"/>
    <tableColumn name="Column2" id="2"/>
  </tableColumns>
  <tableStyleInfo name="G1-style 13" showColumnStripes="0" showFirstColumn="1" showLastColumn="1" showRowStripes="1"/>
</table>
</file>

<file path=xl/tables/table18.xml><?xml version="1.0" encoding="utf-8"?>
<table xmlns="http://schemas.openxmlformats.org/spreadsheetml/2006/main" headerRowCount="0" ref="G44:H44" displayName="Table_18" name="Table_18" id="18">
  <tableColumns count="2">
    <tableColumn name="Column1" id="1"/>
    <tableColumn name="Column2" id="2"/>
  </tableColumns>
  <tableStyleInfo name="G1-style 14" showColumnStripes="0" showFirstColumn="1" showLastColumn="1" showRowStripes="1"/>
</table>
</file>

<file path=xl/tables/table19.xml><?xml version="1.0" encoding="utf-8"?>
<table xmlns="http://schemas.openxmlformats.org/spreadsheetml/2006/main" headerRowCount="0" ref="G45:H45" displayName="Table_19" name="Table_19" id="19">
  <tableColumns count="2">
    <tableColumn name="Column1" id="1"/>
    <tableColumn name="Column2" id="2"/>
  </tableColumns>
  <tableStyleInfo name="G1-style 15" showColumnStripes="0" showFirstColumn="1" showLastColumn="1" showRowStripes="1"/>
</table>
</file>

<file path=xl/tables/table20.xml><?xml version="1.0" encoding="utf-8"?>
<table xmlns="http://schemas.openxmlformats.org/spreadsheetml/2006/main" headerRowCount="0" ref="G48:H48" displayName="Table_20" name="Table_20" id="20">
  <tableColumns count="2">
    <tableColumn name="Column1" id="1"/>
    <tableColumn name="Column2" id="2"/>
  </tableColumns>
  <tableStyleInfo name="G1-style 16" showColumnStripes="0" showFirstColumn="1" showLastColumn="1" showRowStripes="1"/>
</table>
</file>

<file path=xl/tables/table21.xml><?xml version="1.0" encoding="utf-8"?>
<table xmlns="http://schemas.openxmlformats.org/spreadsheetml/2006/main" headerRowCount="0" ref="G51:H51" displayName="Table_21" name="Table_21" id="21">
  <tableColumns count="2">
    <tableColumn name="Column1" id="1"/>
    <tableColumn name="Column2" id="2"/>
  </tableColumns>
  <tableStyleInfo name="G1-style 17" showColumnStripes="0" showFirstColumn="1" showLastColumn="1" showRowStripes="1"/>
</table>
</file>

<file path=xl/tables/table22.xml><?xml version="1.0" encoding="utf-8"?>
<table xmlns="http://schemas.openxmlformats.org/spreadsheetml/2006/main" headerRowCount="0" ref="G52:H52" displayName="Table_22" name="Table_22" id="22">
  <tableColumns count="2">
    <tableColumn name="Column1" id="1"/>
    <tableColumn name="Column2" id="2"/>
  </tableColumns>
  <tableStyleInfo name="G1-style 18" showColumnStripes="0" showFirstColumn="1" showLastColumn="1" showRowStripes="1"/>
</table>
</file>

<file path=xl/tables/table23.xml><?xml version="1.0" encoding="utf-8"?>
<table xmlns="http://schemas.openxmlformats.org/spreadsheetml/2006/main" headerRowCount="0" ref="G53:H55" displayName="Table_23" name="Table_23" id="23">
  <tableColumns count="2">
    <tableColumn name="Column1" id="1"/>
    <tableColumn name="Column2" id="2"/>
  </tableColumns>
  <tableStyleInfo name="G1-style 19" showColumnStripes="0" showFirstColumn="1" showLastColumn="1" showRowStripes="1"/>
</table>
</file>

<file path=xl/tables/table24.xml><?xml version="1.0" encoding="utf-8"?>
<table xmlns="http://schemas.openxmlformats.org/spreadsheetml/2006/main" headerRowCount="0" ref="G58:H58" displayName="Table_24" name="Table_24" id="24">
  <tableColumns count="2">
    <tableColumn name="Column1" id="1"/>
    <tableColumn name="Column2" id="2"/>
  </tableColumns>
  <tableStyleInfo name="G1-style 20" showColumnStripes="0" showFirstColumn="1" showLastColumn="1" showRowStripes="1"/>
</table>
</file>

<file path=xl/tables/table25.xml><?xml version="1.0" encoding="utf-8"?>
<table xmlns="http://schemas.openxmlformats.org/spreadsheetml/2006/main" headerRowCount="0" ref="G59:H64" displayName="Table_25" name="Table_25" id="25">
  <tableColumns count="2">
    <tableColumn name="Column1" id="1"/>
    <tableColumn name="Column2" id="2"/>
  </tableColumns>
  <tableStyleInfo name="G1-style 21" showColumnStripes="0" showFirstColumn="1" showLastColumn="1" showRowStripes="1"/>
</table>
</file>

<file path=xl/tables/table26.xml><?xml version="1.0" encoding="utf-8"?>
<table xmlns="http://schemas.openxmlformats.org/spreadsheetml/2006/main" headerRowCount="0" ref="G68:H74" displayName="Table_26" name="Table_26" id="26">
  <tableColumns count="2">
    <tableColumn name="Column1" id="1"/>
    <tableColumn name="Column2" id="2"/>
  </tableColumns>
  <tableStyleInfo name="G1-style 22" showColumnStripes="0" showFirstColumn="1" showLastColumn="1" showRowStripes="1"/>
</table>
</file>

<file path=xl/tables/table27.xml><?xml version="1.0" encoding="utf-8"?>
<table xmlns="http://schemas.openxmlformats.org/spreadsheetml/2006/main" headerRowCount="0" ref="G75:H75" displayName="Table_27" name="Table_27" id="27">
  <tableColumns count="2">
    <tableColumn name="Column1" id="1"/>
    <tableColumn name="Column2" id="2"/>
  </tableColumns>
  <tableStyleInfo name="G1-style 23" showColumnStripes="0" showFirstColumn="1" showLastColumn="1" showRowStripes="1"/>
</table>
</file>

<file path=xl/tables/table28.xml><?xml version="1.0" encoding="utf-8"?>
<table xmlns="http://schemas.openxmlformats.org/spreadsheetml/2006/main" headerRowCount="0" ref="G78:H78" displayName="Table_28" name="Table_28" id="28">
  <tableColumns count="2">
    <tableColumn name="Column1" id="1"/>
    <tableColumn name="Column2" id="2"/>
  </tableColumns>
  <tableStyleInfo name="G1-style 24" showColumnStripes="0" showFirstColumn="1" showLastColumn="1" showRowStripes="1"/>
</table>
</file>

<file path=xl/tables/table29.xml><?xml version="1.0" encoding="utf-8"?>
<table xmlns="http://schemas.openxmlformats.org/spreadsheetml/2006/main" headerRowCount="0" ref="G79:H83" displayName="Table_29" name="Table_29" id="29">
  <tableColumns count="2">
    <tableColumn name="Column1" id="1"/>
    <tableColumn name="Column2" id="2"/>
  </tableColumns>
  <tableStyleInfo name="G1-style 25" showColumnStripes="0" showFirstColumn="1" showLastColumn="1" showRowStripes="1"/>
</table>
</file>

<file path=xl/tables/table30.xml><?xml version="1.0" encoding="utf-8"?>
<table xmlns="http://schemas.openxmlformats.org/spreadsheetml/2006/main" headerRowCount="0" ref="G84:H85" displayName="Table_30" name="Table_30" id="30">
  <tableColumns count="2">
    <tableColumn name="Column1" id="1"/>
    <tableColumn name="Column2" id="2"/>
  </tableColumns>
  <tableStyleInfo name="G1-style 26" showColumnStripes="0" showFirstColumn="1" showLastColumn="1" showRowStripes="1"/>
</table>
</file>

<file path=xl/tables/table31.xml><?xml version="1.0" encoding="utf-8"?>
<table xmlns="http://schemas.openxmlformats.org/spreadsheetml/2006/main" headerRowCount="0" ref="G88:G95" displayName="Table_31" name="Table_31" id="31">
  <tableColumns count="1">
    <tableColumn name="Column1" id="1"/>
  </tableColumns>
  <tableStyleInfo name="G1-style 27" showColumnStripes="0" showFirstColumn="1" showLastColumn="1" showRowStripes="1"/>
</table>
</file>

<file path=xl/tables/table32.xml><?xml version="1.0" encoding="utf-8"?>
<table xmlns="http://schemas.openxmlformats.org/spreadsheetml/2006/main" headerRowCount="0" ref="H88:H95" displayName="Table_32" name="Table_32" id="32">
  <tableColumns count="1">
    <tableColumn name="Column1" id="1"/>
  </tableColumns>
  <tableStyleInfo name="G1-style 28" showColumnStripes="0" showFirstColumn="1" showLastColumn="1" showRowStripes="1"/>
</table>
</file>

<file path=xl/tables/table33.xml><?xml version="1.0" encoding="utf-8"?>
<table xmlns="http://schemas.openxmlformats.org/spreadsheetml/2006/main" headerRowCount="0" ref="G102:H102" displayName="Table_33" name="Table_33" id="33">
  <tableColumns count="2">
    <tableColumn name="Column1" id="1"/>
    <tableColumn name="Column2" id="2"/>
  </tableColumns>
  <tableStyleInfo name="G1-style 29" showColumnStripes="0" showFirstColumn="1" showLastColumn="1" showRowStripes="1"/>
</table>
</file>

<file path=xl/tables/table34.xml><?xml version="1.0" encoding="utf-8"?>
<table xmlns="http://schemas.openxmlformats.org/spreadsheetml/2006/main" headerRowCount="0" ref="G103:H103" displayName="Table_34" name="Table_34" id="34">
  <tableColumns count="2">
    <tableColumn name="Column1" id="1"/>
    <tableColumn name="Column2" id="2"/>
  </tableColumns>
  <tableStyleInfo name="G1-style 30" showColumnStripes="0" showFirstColumn="1" showLastColumn="1" showRowStripes="1"/>
</table>
</file>

<file path=xl/tables/table35.xml><?xml version="1.0" encoding="utf-8"?>
<table xmlns="http://schemas.openxmlformats.org/spreadsheetml/2006/main" headerRowCount="0" ref="G104:H104" displayName="Table_35" name="Table_35" id="35">
  <tableColumns count="2">
    <tableColumn name="Column1" id="1"/>
    <tableColumn name="Column2" id="2"/>
  </tableColumns>
  <tableStyleInfo name="G1-style 31" showColumnStripes="0" showFirstColumn="1" showLastColumn="1" showRowStripes="1"/>
</table>
</file>

<file path=xl/tables/table36.xml><?xml version="1.0" encoding="utf-8"?>
<table xmlns="http://schemas.openxmlformats.org/spreadsheetml/2006/main" headerRowCount="0" ref="G105:H105" displayName="Table_36" name="Table_36" id="36">
  <tableColumns count="2">
    <tableColumn name="Column1" id="1"/>
    <tableColumn name="Column2" id="2"/>
  </tableColumns>
  <tableStyleInfo name="G1-style 32" showColumnStripes="0" showFirstColumn="1" showLastColumn="1" showRowStripes="1"/>
</table>
</file>

<file path=xl/tables/table37.xml><?xml version="1.0" encoding="utf-8"?>
<table xmlns="http://schemas.openxmlformats.org/spreadsheetml/2006/main" headerRowCount="0" ref="G121:H122" displayName="Table_37" name="Table_37" id="37">
  <tableColumns count="2">
    <tableColumn name="Column1" id="1"/>
    <tableColumn name="Column2" id="2"/>
  </tableColumns>
  <tableStyleInfo name="G1-style 33" showColumnStripes="0" showFirstColumn="1" showLastColumn="1" showRowStripes="1"/>
</table>
</file>

<file path=xl/tables/table38.xml><?xml version="1.0" encoding="utf-8"?>
<table xmlns="http://schemas.openxmlformats.org/spreadsheetml/2006/main" headerRowCount="0" ref="G123:H124" displayName="Table_38" name="Table_38" id="38">
  <tableColumns count="2">
    <tableColumn name="Column1" id="1"/>
    <tableColumn name="Column2" id="2"/>
  </tableColumns>
  <tableStyleInfo name="G1-style 34" showColumnStripes="0" showFirstColumn="1" showLastColumn="1" showRowStripes="1"/>
</table>
</file>

<file path=xl/tables/table39.xml><?xml version="1.0" encoding="utf-8"?>
<table xmlns="http://schemas.openxmlformats.org/spreadsheetml/2006/main" headerRowCount="0" ref="G125:H125" displayName="Table_39" name="Table_39" id="39">
  <tableColumns count="2">
    <tableColumn name="Column1" id="1"/>
    <tableColumn name="Column2" id="2"/>
  </tableColumns>
  <tableStyleInfo name="G1-style 35" showColumnStripes="0" showFirstColumn="1" showLastColumn="1" showRowStripes="1"/>
</table>
</file>

<file path=xl/tables/table40.xml><?xml version="1.0" encoding="utf-8"?>
<table xmlns="http://schemas.openxmlformats.org/spreadsheetml/2006/main" headerRowCount="0" ref="G126:H126" displayName="Table_40" name="Table_40" id="40">
  <tableColumns count="2">
    <tableColumn name="Column1" id="1"/>
    <tableColumn name="Column2" id="2"/>
  </tableColumns>
  <tableStyleInfo name="G1-style 36" showColumnStripes="0" showFirstColumn="1" showLastColumn="1" showRowStripes="1"/>
</table>
</file>

<file path=xl/tables/table41.xml><?xml version="1.0" encoding="utf-8"?>
<table xmlns="http://schemas.openxmlformats.org/spreadsheetml/2006/main" headerRowCount="0" ref="B143:E144" displayName="Table_41" name="Table_41" id="41">
  <tableColumns count="4">
    <tableColumn name="Column1" id="1"/>
    <tableColumn name="Column2" id="2"/>
    <tableColumn name="Column3" id="3"/>
    <tableColumn name="Column4" id="4"/>
  </tableColumns>
  <tableStyleInfo name="G1-style 37" showColumnStripes="0" showFirstColumn="1" showLastColumn="1" showRowStripes="1"/>
</table>
</file>

<file path=xl/tables/table42.xml><?xml version="1.0" encoding="utf-8"?>
<table xmlns="http://schemas.openxmlformats.org/spreadsheetml/2006/main" headerRowCount="0" ref="G143:I144" displayName="Table_42" name="Table_42" id="42">
  <tableColumns count="3">
    <tableColumn name="Column1" id="1"/>
    <tableColumn name="Column2" id="2"/>
    <tableColumn name="Column3" id="3"/>
  </tableColumns>
  <tableStyleInfo name="G1-style 38" showColumnStripes="0" showFirstColumn="1" showLastColumn="1" showRowStripes="1"/>
</table>
</file>

<file path=xl/tables/table43.xml><?xml version="1.0" encoding="utf-8"?>
<table xmlns="http://schemas.openxmlformats.org/spreadsheetml/2006/main" headerRowCount="0" ref="G163:H163" displayName="Table_43" name="Table_43" id="43">
  <tableColumns count="2">
    <tableColumn name="Column1" id="1"/>
    <tableColumn name="Column2" id="2"/>
  </tableColumns>
  <tableStyleInfo name="G1-style 39" showColumnStripes="0" showFirstColumn="1" showLastColumn="1" showRowStripes="1"/>
</table>
</file>

<file path=xl/tables/table44.xml><?xml version="1.0" encoding="utf-8"?>
<table xmlns="http://schemas.openxmlformats.org/spreadsheetml/2006/main" headerRowCount="0" ref="G164:H164" displayName="Table_44" name="Table_44" id="44">
  <tableColumns count="2">
    <tableColumn name="Column1" id="1"/>
    <tableColumn name="Column2" id="2"/>
  </tableColumns>
  <tableStyleInfo name="G1-style 40" showColumnStripes="0" showFirstColumn="1" showLastColumn="1" showRowStripes="1"/>
</table>
</file>

<file path=xl/tables/table45.xml><?xml version="1.0" encoding="utf-8"?>
<table xmlns="http://schemas.openxmlformats.org/spreadsheetml/2006/main" headerRowCount="0" ref="G174:H174" displayName="Table_45" name="Table_45" id="45">
  <tableColumns count="2">
    <tableColumn name="Column1" id="1"/>
    <tableColumn name="Column2" id="2"/>
  </tableColumns>
  <tableStyleInfo name="G1-style 41" showColumnStripes="0" showFirstColumn="1" showLastColumn="1" showRowStripes="1"/>
</table>
</file>

<file path=xl/tables/table46.xml><?xml version="1.0" encoding="utf-8"?>
<table xmlns="http://schemas.openxmlformats.org/spreadsheetml/2006/main" headerRowCount="0" ref="B14:B15" displayName="Table_46" name="Table_46" id="46">
  <tableColumns count="1">
    <tableColumn name="Column1" id="1"/>
  </tableColumns>
  <tableStyleInfo name="G2-style" showColumnStripes="0" showFirstColumn="1" showLastColumn="1" showRowStripes="1"/>
</table>
</file>

<file path=xl/tables/table47.xml><?xml version="1.0" encoding="utf-8"?>
<table xmlns="http://schemas.openxmlformats.org/spreadsheetml/2006/main" headerRowCount="0" ref="C14:C15" displayName="Table_47" name="Table_47" id="47">
  <tableColumns count="1">
    <tableColumn name="Column1" id="1"/>
  </tableColumns>
  <tableStyleInfo name="G2-style 2" showColumnStripes="0" showFirstColumn="1" showLastColumn="1" showRowStripes="1"/>
</table>
</file>

<file path=xl/tables/table48.xml><?xml version="1.0" encoding="utf-8"?>
<table xmlns="http://schemas.openxmlformats.org/spreadsheetml/2006/main" headerRowCount="0" ref="D14:G15" displayName="Table_48" name="Table_48" id="48">
  <tableColumns count="4">
    <tableColumn name="Column1" id="1"/>
    <tableColumn name="Column2" id="2"/>
    <tableColumn name="Column3" id="3"/>
    <tableColumn name="Column4" id="4"/>
  </tableColumns>
  <tableStyleInfo name="G2-style 3" showColumnStripes="0" showFirstColumn="1" showLastColumn="1" showRowStripes="1"/>
</table>
</file>

<file path=xl/tables/table49.xml><?xml version="1.0" encoding="utf-8"?>
<table xmlns="http://schemas.openxmlformats.org/spreadsheetml/2006/main" headerRowCount="0" ref="G19:H19" displayName="Table_49" name="Table_49" id="49">
  <tableColumns count="2">
    <tableColumn name="Column1" id="1"/>
    <tableColumn name="Column2" id="2"/>
  </tableColumns>
  <tableStyleInfo name="G2-style 4" showColumnStripes="0" showFirstColumn="1" showLastColumn="1" showRowStripes="1"/>
</table>
</file>

<file path=xl/tables/table50.xml><?xml version="1.0" encoding="utf-8"?>
<table xmlns="http://schemas.openxmlformats.org/spreadsheetml/2006/main" headerRowCount="0" ref="G20:H20" displayName="Table_50" name="Table_50" id="50">
  <tableColumns count="2">
    <tableColumn name="Column1" id="1"/>
    <tableColumn name="Column2" id="2"/>
  </tableColumns>
  <tableStyleInfo name="G2-style 5" showColumnStripes="0" showFirstColumn="1" showLastColumn="1" showRowStripes="1"/>
</table>
</file>

<file path=xl/tables/table51.xml><?xml version="1.0" encoding="utf-8"?>
<table xmlns="http://schemas.openxmlformats.org/spreadsheetml/2006/main" headerRowCount="0" ref="G21:H21" displayName="Table_51" name="Table_51" id="51">
  <tableColumns count="2">
    <tableColumn name="Column1" id="1"/>
    <tableColumn name="Column2" id="2"/>
  </tableColumns>
  <tableStyleInfo name="G2-style 6" showColumnStripes="0" showFirstColumn="1" showLastColumn="1" showRowStripes="1"/>
</table>
</file>

<file path=xl/tables/table52.xml><?xml version="1.0" encoding="utf-8"?>
<table xmlns="http://schemas.openxmlformats.org/spreadsheetml/2006/main" headerRowCount="0" ref="G22:H22" displayName="Table_52" name="Table_52" id="52">
  <tableColumns count="2">
    <tableColumn name="Column1" id="1"/>
    <tableColumn name="Column2" id="2"/>
  </tableColumns>
  <tableStyleInfo name="G2-style 7" showColumnStripes="0" showFirstColumn="1" showLastColumn="1" showRowStripes="1"/>
</table>
</file>

<file path=xl/tables/table53.xml><?xml version="1.0" encoding="utf-8"?>
<table xmlns="http://schemas.openxmlformats.org/spreadsheetml/2006/main" headerRowCount="0" ref="G23:H23" displayName="Table_53" name="Table_53" id="53">
  <tableColumns count="2">
    <tableColumn name="Column1" id="1"/>
    <tableColumn name="Column2" id="2"/>
  </tableColumns>
  <tableStyleInfo name="G2-style 8" showColumnStripes="0" showFirstColumn="1" showLastColumn="1" showRowStripes="1"/>
</table>
</file>

<file path=xl/tables/table54.xml><?xml version="1.0" encoding="utf-8"?>
<table xmlns="http://schemas.openxmlformats.org/spreadsheetml/2006/main" headerRowCount="0" ref="G24:H24" displayName="Table_54" name="Table_54" id="54">
  <tableColumns count="2">
    <tableColumn name="Column1" id="1"/>
    <tableColumn name="Column2" id="2"/>
  </tableColumns>
  <tableStyleInfo name="G2-style 9" showColumnStripes="0" showFirstColumn="1" showLastColumn="1" showRowStripes="1"/>
</table>
</file>

<file path=xl/tables/table55.xml><?xml version="1.0" encoding="utf-8"?>
<table xmlns="http://schemas.openxmlformats.org/spreadsheetml/2006/main" headerRowCount="0" ref="G25:H25" displayName="Table_55" name="Table_55" id="55">
  <tableColumns count="2">
    <tableColumn name="Column1" id="1"/>
    <tableColumn name="Column2" id="2"/>
  </tableColumns>
  <tableStyleInfo name="G2-style 10" showColumnStripes="0" showFirstColumn="1" showLastColumn="1" showRowStripes="1"/>
</table>
</file>

<file path=xl/tables/table56.xml><?xml version="1.0" encoding="utf-8"?>
<table xmlns="http://schemas.openxmlformats.org/spreadsheetml/2006/main" headerRowCount="0" ref="G55:H55" displayName="Table_56" name="Table_56" id="56">
  <tableColumns count="2">
    <tableColumn name="Column1" id="1"/>
    <tableColumn name="Column2" id="2"/>
  </tableColumns>
  <tableStyleInfo name="G2-style 11" showColumnStripes="0" showFirstColumn="1" showLastColumn="1" showRowStripes="1"/>
</table>
</file>

<file path=xl/tables/table57.xml><?xml version="1.0" encoding="utf-8"?>
<table xmlns="http://schemas.openxmlformats.org/spreadsheetml/2006/main" headerRowCount="0" ref="G74:H75" displayName="Table_57" name="Table_57" id="57">
  <tableColumns count="2">
    <tableColumn name="Column1" id="1"/>
    <tableColumn name="Column2" id="2"/>
  </tableColumns>
  <tableStyleInfo name="G2-style 12" showColumnStripes="0" showFirstColumn="1" showLastColumn="1" showRowStripes="1"/>
</table>
</file>

<file path=xl/tables/table58.xml><?xml version="1.0" encoding="utf-8"?>
<table xmlns="http://schemas.openxmlformats.org/spreadsheetml/2006/main" headerRowCount="0" ref="G79:H79" displayName="Table_58" name="Table_58" id="58">
  <tableColumns count="2">
    <tableColumn name="Column1" id="1"/>
    <tableColumn name="Column2" id="2"/>
  </tableColumns>
  <tableStyleInfo name="G2-style 13" showColumnStripes="0" showFirstColumn="1" showLastColumn="1" showRowStripes="1"/>
</table>
</file>

<file path=xl/tables/table59.xml><?xml version="1.0" encoding="utf-8"?>
<table xmlns="http://schemas.openxmlformats.org/spreadsheetml/2006/main" headerRowCount="0" ref="G84:H85" displayName="Table_59" name="Table_59" id="59">
  <tableColumns count="2">
    <tableColumn name="Column1" id="1"/>
    <tableColumn name="Column2" id="2"/>
  </tableColumns>
  <tableStyleInfo name="G2-style 14" showColumnStripes="0" showFirstColumn="1" showLastColumn="1" showRowStripes="1"/>
</table>
</file>

<file path=xl/tables/table60.xml><?xml version="1.0" encoding="utf-8"?>
<table xmlns="http://schemas.openxmlformats.org/spreadsheetml/2006/main" headerRowCount="0" ref="G102:H102" displayName="Table_60" name="Table_60" id="60">
  <tableColumns count="2">
    <tableColumn name="Column1" id="1"/>
    <tableColumn name="Column2" id="2"/>
  </tableColumns>
  <tableStyleInfo name="G2-style 15" showColumnStripes="0" showFirstColumn="1" showLastColumn="1" showRowStripes="1"/>
</table>
</file>

<file path=xl/tables/table61.xml><?xml version="1.0" encoding="utf-8"?>
<table xmlns="http://schemas.openxmlformats.org/spreadsheetml/2006/main" headerRowCount="0" ref="G103:H103" displayName="Table_61" name="Table_61" id="61">
  <tableColumns count="2">
    <tableColumn name="Column1" id="1"/>
    <tableColumn name="Column2" id="2"/>
  </tableColumns>
  <tableStyleInfo name="G2-style 16" showColumnStripes="0" showFirstColumn="1" showLastColumn="1" showRowStripes="1"/>
</table>
</file>

<file path=xl/tables/table62.xml><?xml version="1.0" encoding="utf-8"?>
<table xmlns="http://schemas.openxmlformats.org/spreadsheetml/2006/main" headerRowCount="0" ref="G104:H104" displayName="Table_62" name="Table_62" id="62">
  <tableColumns count="2">
    <tableColumn name="Column1" id="1"/>
    <tableColumn name="Column2" id="2"/>
  </tableColumns>
  <tableStyleInfo name="G2-style 17" showColumnStripes="0" showFirstColumn="1" showLastColumn="1" showRowStripes="1"/>
</table>
</file>

<file path=xl/tables/table63.xml><?xml version="1.0" encoding="utf-8"?>
<table xmlns="http://schemas.openxmlformats.org/spreadsheetml/2006/main" headerRowCount="0" ref="G105:H105" displayName="Table_63" name="Table_63" id="63">
  <tableColumns count="2">
    <tableColumn name="Column1" id="1"/>
    <tableColumn name="Column2" id="2"/>
  </tableColumns>
  <tableStyleInfo name="G2-style 18" showColumnStripes="0" showFirstColumn="1" showLastColumn="1" showRowStripes="1"/>
</table>
</file>

<file path=xl/tables/table64.xml><?xml version="1.0" encoding="utf-8"?>
<table xmlns="http://schemas.openxmlformats.org/spreadsheetml/2006/main" headerRowCount="0" ref="B122:E123" displayName="Table_64" name="Table_64" id="64">
  <tableColumns count="4">
    <tableColumn name="Column1" id="1"/>
    <tableColumn name="Column2" id="2"/>
    <tableColumn name="Column3" id="3"/>
    <tableColumn name="Column4" id="4"/>
  </tableColumns>
  <tableStyleInfo name="G2-style 19" showColumnStripes="0" showFirstColumn="1" showLastColumn="1" showRowStripes="1"/>
</table>
</file>

<file path=xl/tables/table65.xml><?xml version="1.0" encoding="utf-8"?>
<table xmlns="http://schemas.openxmlformats.org/spreadsheetml/2006/main" headerRowCount="0" ref="G122:I123" displayName="Table_65" name="Table_65" id="65">
  <tableColumns count="3">
    <tableColumn name="Column1" id="1"/>
    <tableColumn name="Column2" id="2"/>
    <tableColumn name="Column3" id="3"/>
  </tableColumns>
  <tableStyleInfo name="G2-style 20" showColumnStripes="0" showFirstColumn="1" showLastColumn="1" showRowStripes="1"/>
</table>
</file>

<file path=xl/tables/table66.xml><?xml version="1.0" encoding="utf-8"?>
<table xmlns="http://schemas.openxmlformats.org/spreadsheetml/2006/main" headerRowCount="0" ref="G132:H132" displayName="Table_66" name="Table_66" id="66">
  <tableColumns count="2">
    <tableColumn name="Column1" id="1"/>
    <tableColumn name="Column2" id="2"/>
  </tableColumns>
  <tableStyleInfo name="G2-style 21" showColumnStripes="0" showFirstColumn="1" showLastColumn="1" showRowStripes="1"/>
</table>
</file>

<file path=xl/tables/table67.xml><?xml version="1.0" encoding="utf-8"?>
<table xmlns="http://schemas.openxmlformats.org/spreadsheetml/2006/main" headerRowCount="0" ref="G133:H133" displayName="Table_67" name="Table_67" id="67">
  <tableColumns count="2">
    <tableColumn name="Column1" id="1"/>
    <tableColumn name="Column2" id="2"/>
  </tableColumns>
  <tableStyleInfo name="G2-style 22" showColumnStripes="0" showFirstColumn="1" showLastColumn="1" showRowStripes="1"/>
</table>
</file>

<file path=xl/tables/table68.xml><?xml version="1.0" encoding="utf-8"?>
<table xmlns="http://schemas.openxmlformats.org/spreadsheetml/2006/main" headerRowCount="0" ref="G140:H140" displayName="Table_68" name="Table_68" id="68">
  <tableColumns count="2">
    <tableColumn name="Column1" id="1"/>
    <tableColumn name="Column2" id="2"/>
  </tableColumns>
  <tableStyleInfo name="G2-style 23" showColumnStripes="0" showFirstColumn="1" showLastColumn="1" showRowStripes="1"/>
</table>
</file>

<file path=xl/tables/table69.xml><?xml version="1.0" encoding="utf-8"?>
<table xmlns="http://schemas.openxmlformats.org/spreadsheetml/2006/main" headerRowCount="0" ref="G141:H141" displayName="Table_69" name="Table_69" id="69">
  <tableColumns count="2">
    <tableColumn name="Column1" id="1"/>
    <tableColumn name="Column2" id="2"/>
  </tableColumns>
  <tableStyleInfo name="G2-style 24" showColumnStripes="0" showFirstColumn="1" showLastColumn="1" showRowStripes="1"/>
</table>
</file>

<file path=xl/tables/table70.xml><?xml version="1.0" encoding="utf-8"?>
<table xmlns="http://schemas.openxmlformats.org/spreadsheetml/2006/main" headerRowCount="0" ref="G142:H142" displayName="Table_70" name="Table_70" id="70">
  <tableColumns count="2">
    <tableColumn name="Column1" id="1"/>
    <tableColumn name="Column2" id="2"/>
  </tableColumns>
  <tableStyleInfo name="G2-style 25" showColumnStripes="0" showFirstColumn="1" showLastColumn="1" showRowStripes="1"/>
</table>
</file>

<file path=xl/tables/table71.xml><?xml version="1.0" encoding="utf-8"?>
<table xmlns="http://schemas.openxmlformats.org/spreadsheetml/2006/main" headerRowCount="0" ref="G143:H143" displayName="Table_71" name="Table_71" id="71">
  <tableColumns count="2">
    <tableColumn name="Column1" id="1"/>
    <tableColumn name="Column2" id="2"/>
  </tableColumns>
  <tableStyleInfo name="G2-style 26" showColumnStripes="0" showFirstColumn="1" showLastColumn="1" showRowStripes="1"/>
</table>
</file>

<file path=xl/tables/table72.xml><?xml version="1.0" encoding="utf-8"?>
<table xmlns="http://schemas.openxmlformats.org/spreadsheetml/2006/main" headerRowCount="0" ref="G152:H152" displayName="Table_72" name="Table_72" id="72">
  <tableColumns count="2">
    <tableColumn name="Column1" id="1"/>
    <tableColumn name="Column2" id="2"/>
  </tableColumns>
  <tableStyleInfo name="G2-style 27" showColumnStripes="0" showFirstColumn="1" showLastColumn="1" showRowStripes="1"/>
</table>
</file>

<file path=xl/tables/table73.xml><?xml version="1.0" encoding="utf-8"?>
<table xmlns="http://schemas.openxmlformats.org/spreadsheetml/2006/main" headerRowCount="0" ref="G153:H153" displayName="Table_73" name="Table_73" id="73">
  <tableColumns count="2">
    <tableColumn name="Column1" id="1"/>
    <tableColumn name="Column2" id="2"/>
  </tableColumns>
  <tableStyleInfo name="G2-style 28" showColumnStripes="0" showFirstColumn="1" showLastColumn="1" showRowStripes="1"/>
</table>
</file>

<file path=xl/tables/table74.xml><?xml version="1.0" encoding="utf-8"?>
<table xmlns="http://schemas.openxmlformats.org/spreadsheetml/2006/main" headerRowCount="0" ref="G163:H163" displayName="Table_74" name="Table_74" id="74">
  <tableColumns count="2">
    <tableColumn name="Column1" id="1"/>
    <tableColumn name="Column2" id="2"/>
  </tableColumns>
  <tableStyleInfo name="G2-style 29" showColumnStripes="0" showFirstColumn="1" showLastColumn="1" showRowStripes="1"/>
</table>
</file>

<file path=xl/tables/table75.xml><?xml version="1.0" encoding="utf-8"?>
<table xmlns="http://schemas.openxmlformats.org/spreadsheetml/2006/main" headerRowCount="0" ref="G172:H172" displayName="Table_75" name="Table_75" id="75">
  <tableColumns count="2">
    <tableColumn name="Column1" id="1"/>
    <tableColumn name="Column2" id="2"/>
  </tableColumns>
  <tableStyleInfo name="G2-style 30" showColumnStripes="0" showFirstColumn="1" showLastColumn="1" showRowStripes="1"/>
</table>
</file>

<file path=xl/tables/table76.xml><?xml version="1.0" encoding="utf-8"?>
<table xmlns="http://schemas.openxmlformats.org/spreadsheetml/2006/main" headerRowCount="0" ref="I2:J8" displayName="Table_76" name="Table_76" id="76">
  <tableColumns count="2">
    <tableColumn name="Column1" id="1"/>
    <tableColumn name="Column2" id="2"/>
  </tableColumns>
  <tableStyleInfo name="G3-style" showColumnStripes="0" showFirstColumn="1" showLastColumn="1" showRowStripes="1"/>
</table>
</file>

<file path=xl/tables/table77.xml><?xml version="1.0" encoding="utf-8"?>
<table xmlns="http://schemas.openxmlformats.org/spreadsheetml/2006/main" headerRowCount="0" ref="C8:H8" displayName="Table_77" name="Table_77" id="77">
  <tableColumns count="6">
    <tableColumn name="Column1" id="1"/>
    <tableColumn name="Column2" id="2"/>
    <tableColumn name="Column3" id="3"/>
    <tableColumn name="Column4" id="4"/>
    <tableColumn name="Column5" id="5"/>
    <tableColumn name="Column6" id="6"/>
  </tableColumns>
  <tableStyleInfo name="G3-style 2" showColumnStripes="0" showFirstColumn="1" showLastColumn="1" showRowStripes="1"/>
</table>
</file>

<file path=xl/tables/table78.xml><?xml version="1.0" encoding="utf-8"?>
<table xmlns="http://schemas.openxmlformats.org/spreadsheetml/2006/main" headerRowCount="0" ref="C9:H9" displayName="Table_78" name="Table_78" id="78">
  <tableColumns count="6">
    <tableColumn name="Column1" id="1"/>
    <tableColumn name="Column2" id="2"/>
    <tableColumn name="Column3" id="3"/>
    <tableColumn name="Column4" id="4"/>
    <tableColumn name="Column5" id="5"/>
    <tableColumn name="Column6" id="6"/>
  </tableColumns>
  <tableStyleInfo name="G3-style 3" showColumnStripes="0" showFirstColumn="1" showLastColumn="1" showRowStripes="1"/>
</table>
</file>

<file path=xl/tables/table79.xml><?xml version="1.0" encoding="utf-8"?>
<table xmlns="http://schemas.openxmlformats.org/spreadsheetml/2006/main" headerRowCount="0" ref="I9:J9" displayName="Table_79" name="Table_79" id="79">
  <tableColumns count="2">
    <tableColumn name="Column1" id="1"/>
    <tableColumn name="Column2" id="2"/>
  </tableColumns>
  <tableStyleInfo name="G3-style 4" showColumnStripes="0" showFirstColumn="1" showLastColumn="1" showRowStripes="1"/>
</table>
</file>

<file path=xl/tables/table80.xml><?xml version="1.0" encoding="utf-8"?>
<table xmlns="http://schemas.openxmlformats.org/spreadsheetml/2006/main" headerRowCount="0" ref="C10:H10" displayName="Table_80" name="Table_80" id="80">
  <tableColumns count="6">
    <tableColumn name="Column1" id="1"/>
    <tableColumn name="Column2" id="2"/>
    <tableColumn name="Column3" id="3"/>
    <tableColumn name="Column4" id="4"/>
    <tableColumn name="Column5" id="5"/>
    <tableColumn name="Column6" id="6"/>
  </tableColumns>
  <tableStyleInfo name="G3-style 5" showColumnStripes="0" showFirstColumn="1" showLastColumn="1" showRowStripes="1"/>
</table>
</file>

<file path=xl/tables/table81.xml><?xml version="1.0" encoding="utf-8"?>
<table xmlns="http://schemas.openxmlformats.org/spreadsheetml/2006/main" headerRowCount="0" ref="I10:J10" displayName="Table_81" name="Table_81" id="81">
  <tableColumns count="2">
    <tableColumn name="Column1" id="1"/>
    <tableColumn name="Column2" id="2"/>
  </tableColumns>
  <tableStyleInfo name="G3-style 6" showColumnStripes="0" showFirstColumn="1" showLastColumn="1" showRowStripes="1"/>
</table>
</file>

<file path=xl/tables/table82.xml><?xml version="1.0" encoding="utf-8"?>
<table xmlns="http://schemas.openxmlformats.org/spreadsheetml/2006/main" headerRowCount="0" ref="C11:H11" displayName="Table_82" name="Table_82" id="82">
  <tableColumns count="6">
    <tableColumn name="Column1" id="1"/>
    <tableColumn name="Column2" id="2"/>
    <tableColumn name="Column3" id="3"/>
    <tableColumn name="Column4" id="4"/>
    <tableColumn name="Column5" id="5"/>
    <tableColumn name="Column6" id="6"/>
  </tableColumns>
  <tableStyleInfo name="G3-style 7" showColumnStripes="0" showFirstColumn="1" showLastColumn="1" showRowStripes="1"/>
</table>
</file>

<file path=xl/tables/table83.xml><?xml version="1.0" encoding="utf-8"?>
<table xmlns="http://schemas.openxmlformats.org/spreadsheetml/2006/main" headerRowCount="0" ref="I11:J11" displayName="Table_83" name="Table_83" id="83">
  <tableColumns count="2">
    <tableColumn name="Column1" id="1"/>
    <tableColumn name="Column2" id="2"/>
  </tableColumns>
  <tableStyleInfo name="G3-style 8" showColumnStripes="0" showFirstColumn="1" showLastColumn="1" showRowStripes="1"/>
</table>
</file>

<file path=xl/tables/table84.xml><?xml version="1.0" encoding="utf-8"?>
<table xmlns="http://schemas.openxmlformats.org/spreadsheetml/2006/main" headerRowCount="0" ref="C12:H12" displayName="Table_84" name="Table_84" id="84">
  <tableColumns count="6">
    <tableColumn name="Column1" id="1"/>
    <tableColumn name="Column2" id="2"/>
    <tableColumn name="Column3" id="3"/>
    <tableColumn name="Column4" id="4"/>
    <tableColumn name="Column5" id="5"/>
    <tableColumn name="Column6" id="6"/>
  </tableColumns>
  <tableStyleInfo name="G3-style 9" showColumnStripes="0" showFirstColumn="1" showLastColumn="1" showRowStripes="1"/>
</table>
</file>

<file path=xl/tables/table85.xml><?xml version="1.0" encoding="utf-8"?>
<table xmlns="http://schemas.openxmlformats.org/spreadsheetml/2006/main" headerRowCount="0" ref="B13:D13" displayName="Table_85" name="Table_85" id="85">
  <tableColumns count="3">
    <tableColumn name="Column1" id="1"/>
    <tableColumn name="Column2" id="2"/>
    <tableColumn name="Column3" id="3"/>
  </tableColumns>
  <tableStyleInfo name="G3-style 10" showColumnStripes="0" showFirstColumn="1" showLastColumn="1" showRowStripes="1"/>
</table>
</file>

<file path=xl/tables/table86.xml><?xml version="1.0" encoding="utf-8"?>
<table xmlns="http://schemas.openxmlformats.org/spreadsheetml/2006/main" headerRowCount="0" ref="I13:M15" displayName="Table_86" name="Table_86" id="86">
  <tableColumns count="5">
    <tableColumn name="Column1" id="1"/>
    <tableColumn name="Column2" id="2"/>
    <tableColumn name="Column3" id="3"/>
    <tableColumn name="Column4" id="4"/>
    <tableColumn name="Column5" id="5"/>
  </tableColumns>
  <tableStyleInfo name="G3-style 11" showColumnStripes="0" showFirstColumn="1" showLastColumn="1" showRowStripes="1"/>
</table>
</file>

<file path=xl/tables/table87.xml><?xml version="1.0" encoding="utf-8"?>
<table xmlns="http://schemas.openxmlformats.org/spreadsheetml/2006/main" headerRowCount="0" ref="B14:C14" displayName="Table_87" name="Table_87" id="87">
  <tableColumns count="2">
    <tableColumn name="Column1" id="1"/>
    <tableColumn name="Column2" id="2"/>
  </tableColumns>
  <tableStyleInfo name="G3-style 12" showColumnStripes="0" showFirstColumn="1" showLastColumn="1" showRowStripes="1"/>
</table>
</file>

<file path=xl/tables/table88.xml><?xml version="1.0" encoding="utf-8"?>
<table xmlns="http://schemas.openxmlformats.org/spreadsheetml/2006/main" headerRowCount="0" ref="B15:C16" displayName="Table_88" name="Table_88" id="88">
  <tableColumns count="2">
    <tableColumn name="Column1" id="1"/>
    <tableColumn name="Column2" id="2"/>
  </tableColumns>
  <tableStyleInfo name="G3-style 13" showColumnStripes="0" showFirstColumn="1" showLastColumn="1" showRowStripes="1"/>
</table>
</file>

<file path=xl/tables/table89.xml><?xml version="1.0" encoding="utf-8"?>
<table xmlns="http://schemas.openxmlformats.org/spreadsheetml/2006/main" headerRowCount="0" ref="B18:N27" displayName="Table_89" name="Table_89" id="8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G3-style 14" showColumnStripes="0" showFirstColumn="1" showLastColumn="1" showRowStripes="1"/>
</table>
</file>

<file path=xl/tables/table90.xml><?xml version="1.0" encoding="utf-8"?>
<table xmlns="http://schemas.openxmlformats.org/spreadsheetml/2006/main" headerRowCount="0" ref="B28:D37" displayName="Table_90" name="Table_90" id="90">
  <tableColumns count="3">
    <tableColumn name="Column1" id="1"/>
    <tableColumn name="Column2" id="2"/>
    <tableColumn name="Column3" id="3"/>
  </tableColumns>
  <tableStyleInfo name="G3-style 15" showColumnStripes="0" showFirstColumn="1" showLastColumn="1" showRowStripes="1"/>
</table>
</file>

<file path=xl/tables/table91.xml><?xml version="1.0" encoding="utf-8"?>
<table xmlns="http://schemas.openxmlformats.org/spreadsheetml/2006/main" headerRowCount="0" ref="G28:K28" displayName="Table_91" name="Table_91" id="91">
  <tableColumns count="5">
    <tableColumn name="Column1" id="1"/>
    <tableColumn name="Column2" id="2"/>
    <tableColumn name="Column3" id="3"/>
    <tableColumn name="Column4" id="4"/>
    <tableColumn name="Column5" id="5"/>
  </tableColumns>
  <tableStyleInfo name="G3-style 16" showColumnStripes="0" showFirstColumn="1" showLastColumn="1" showRowStripes="1"/>
</table>
</file>

<file path=xl/tables/table92.xml><?xml version="1.0" encoding="utf-8"?>
<table xmlns="http://schemas.openxmlformats.org/spreadsheetml/2006/main" headerRowCount="0" ref="G29:L30" displayName="Table_92" name="Table_92" id="92">
  <tableColumns count="6">
    <tableColumn name="Column1" id="1"/>
    <tableColumn name="Column2" id="2"/>
    <tableColumn name="Column3" id="3"/>
    <tableColumn name="Column4" id="4"/>
    <tableColumn name="Column5" id="5"/>
    <tableColumn name="Column6" id="6"/>
  </tableColumns>
  <tableStyleInfo name="G3-style 17" showColumnStripes="0" showFirstColumn="1" showLastColumn="1" showRowStripes="1"/>
</table>
</file>

<file path=xl/tables/table93.xml><?xml version="1.0" encoding="utf-8"?>
<table xmlns="http://schemas.openxmlformats.org/spreadsheetml/2006/main" headerRowCount="0" ref="G31:M31" displayName="Table_93" name="Table_93" id="93">
  <tableColumns count="7">
    <tableColumn name="Column1" id="1"/>
    <tableColumn name="Column2" id="2"/>
    <tableColumn name="Column3" id="3"/>
    <tableColumn name="Column4" id="4"/>
    <tableColumn name="Column5" id="5"/>
    <tableColumn name="Column6" id="6"/>
    <tableColumn name="Column7" id="7"/>
  </tableColumns>
  <tableStyleInfo name="G3-style 18" showColumnStripes="0" showFirstColumn="1" showLastColumn="1" showRowStripes="1"/>
</table>
</file>

<file path=xl/tables/table94.xml><?xml version="1.0" encoding="utf-8"?>
<table xmlns="http://schemas.openxmlformats.org/spreadsheetml/2006/main" headerRowCount="0" ref="G32:K32" displayName="Table_94" name="Table_94" id="94">
  <tableColumns count="5">
    <tableColumn name="Column1" id="1"/>
    <tableColumn name="Column2" id="2"/>
    <tableColumn name="Column3" id="3"/>
    <tableColumn name="Column4" id="4"/>
    <tableColumn name="Column5" id="5"/>
  </tableColumns>
  <tableStyleInfo name="G3-style 19" showColumnStripes="0" showFirstColumn="1" showLastColumn="1" showRowStripes="1"/>
</table>
</file>

<file path=xl/tables/table95.xml><?xml version="1.0" encoding="utf-8"?>
<table xmlns="http://schemas.openxmlformats.org/spreadsheetml/2006/main" headerRowCount="0" ref="G33:P37" displayName="Table_95" name="Table_95" id="9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G3-style 20" showColumnStripes="0" showFirstColumn="1" showLastColumn="1" showRowStripes="1"/>
</table>
</file>

<file path=xl/tables/table96.xml><?xml version="1.0" encoding="utf-8"?>
<table xmlns="http://schemas.openxmlformats.org/spreadsheetml/2006/main" headerRowCount="0" ref="C38:P39" displayName="Table_96" name="Table_96" id="96">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G3-style 21" showColumnStripes="0" showFirstColumn="1" showLastColumn="1" showRowStripes="1"/>
</table>
</file>

<file path=xl/tables/table97.xml><?xml version="1.0" encoding="utf-8"?>
<table xmlns="http://schemas.openxmlformats.org/spreadsheetml/2006/main" headerRowCount="0" ref="P40:P41" displayName="Table_97" name="Table_97" id="97">
  <tableColumns count="1">
    <tableColumn name="Column1" id="1"/>
  </tableColumns>
  <tableStyleInfo name="G3-style 22" showColumnStripes="0" showFirstColumn="1" showLastColumn="1" showRowStripes="1"/>
</table>
</file>

<file path=xl/tables/table98.xml><?xml version="1.0" encoding="utf-8"?>
<table xmlns="http://schemas.openxmlformats.org/spreadsheetml/2006/main" headerRowCount="0" ref="C42:P47" displayName="Table_98" name="Table_98" id="98">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G3-style 23" showColumnStripes="0" showFirstColumn="1" showLastColumn="1" showRowStripes="1"/>
</table>
</file>

<file path=xl/tables/table99.xml><?xml version="1.0" encoding="utf-8"?>
<table xmlns="http://schemas.openxmlformats.org/spreadsheetml/2006/main" headerRowCount="0" ref="B43:B45" displayName="Table_99" name="Table_99" id="99">
  <tableColumns count="1">
    <tableColumn name="Column1" id="1"/>
  </tableColumns>
  <tableStyleInfo name="G3-style 24" showColumnStripes="0" showFirstColumn="1" showLastColumn="1" showRowStripes="1"/>
</table>
</file>

<file path=xl/tables/table100.xml><?xml version="1.0" encoding="utf-8"?>
<table xmlns="http://schemas.openxmlformats.org/spreadsheetml/2006/main" headerRowCount="0" ref="C48:K49" displayName="Table_100" name="Table_100" id="10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G3-style 25" showColumnStripes="0" showFirstColumn="1" showLastColumn="1" showRowStripes="1"/>
</table>
</file>

<file path=xl/tables/table101.xml><?xml version="1.0" encoding="utf-8"?>
<table xmlns="http://schemas.openxmlformats.org/spreadsheetml/2006/main" headerRowCount="0" ref="B49" displayName="Table_101" name="Table_101" id="101">
  <tableColumns count="1">
    <tableColumn name="Column1" id="1"/>
  </tableColumns>
  <tableStyleInfo name="G3-style 26" showColumnStripes="0" showFirstColumn="1" showLastColumn="1" showRowStripes="1"/>
</table>
</file>

<file path=xl/tables/table102.xml><?xml version="1.0" encoding="utf-8"?>
<table xmlns="http://schemas.openxmlformats.org/spreadsheetml/2006/main" headerRowCount="0" ref="B50" displayName="Table_102" name="Table_102" id="102">
  <tableColumns count="1">
    <tableColumn name="Column1" id="1"/>
  </tableColumns>
  <tableStyleInfo name="G3-style 27" showColumnStripes="0" showFirstColumn="1" showLastColumn="1" showRowStripes="1"/>
</table>
</file>

<file path=xl/tables/table103.xml><?xml version="1.0" encoding="utf-8"?>
<table xmlns="http://schemas.openxmlformats.org/spreadsheetml/2006/main" headerRowCount="0" ref="C50:U50" displayName="Table_103" name="Table_103" id="103">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G3-style 28" showColumnStripes="0" showFirstColumn="1" showLastColumn="1" showRowStripes="1"/>
</table>
</file>

<file path=xl/tables/table104.xml><?xml version="1.0" encoding="utf-8"?>
<table xmlns="http://schemas.openxmlformats.org/spreadsheetml/2006/main" headerRowCount="0" ref="B51" displayName="Table_104" name="Table_104" id="104">
  <tableColumns count="1">
    <tableColumn name="Column1" id="1"/>
  </tableColumns>
  <tableStyleInfo name="G3-style 29" showColumnStripes="0" showFirstColumn="1" showLastColumn="1" showRowStripes="1"/>
</table>
</file>

<file path=xl/tables/table105.xml><?xml version="1.0" encoding="utf-8"?>
<table xmlns="http://schemas.openxmlformats.org/spreadsheetml/2006/main" headerRowCount="0" ref="C51:M56" displayName="Table_105" name="Table_105" id="10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G3-style 30" showColumnStripes="0" showFirstColumn="1" showLastColumn="1" showRowStripes="1"/>
</table>
</file>

<file path=xl/tables/table106.xml><?xml version="1.0" encoding="utf-8"?>
<table xmlns="http://schemas.openxmlformats.org/spreadsheetml/2006/main" headerRowCount="0" ref="B52" displayName="Table_106" name="Table_106" id="106">
  <tableColumns count="1">
    <tableColumn name="Column1" id="1"/>
  </tableColumns>
  <tableStyleInfo name="G3-style 31" showColumnStripes="0" showFirstColumn="1" showLastColumn="1" showRowStripes="1"/>
</table>
</file>

<file path=xl/tables/table107.xml><?xml version="1.0" encoding="utf-8"?>
<table xmlns="http://schemas.openxmlformats.org/spreadsheetml/2006/main" headerRowCount="0" ref="B53" displayName="Table_107" name="Table_107" id="107">
  <tableColumns count="1">
    <tableColumn name="Column1" id="1"/>
  </tableColumns>
  <tableStyleInfo name="G3-style 32" showColumnStripes="0" showFirstColumn="1" showLastColumn="1" showRowStripes="1"/>
</table>
</file>

<file path=xl/tables/table108.xml><?xml version="1.0" encoding="utf-8"?>
<table xmlns="http://schemas.openxmlformats.org/spreadsheetml/2006/main" headerRowCount="0" ref="B54:B56" displayName="Table_108" name="Table_108" id="108">
  <tableColumns count="1">
    <tableColumn name="Column1" id="1"/>
  </tableColumns>
  <tableStyleInfo name="G3-style 33" showColumnStripes="0" showFirstColumn="1" showLastColumn="1" showRowStripes="1"/>
</table>
</file>

<file path=xl/tables/table109.xml><?xml version="1.0" encoding="utf-8"?>
<table xmlns="http://schemas.openxmlformats.org/spreadsheetml/2006/main" headerRowCount="0" ref="C59:O68" displayName="Table_109" name="Table_109" id="10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G3-style 34" showColumnStripes="0" showFirstColumn="1" showLastColumn="1" showRowStripes="1"/>
</table>
</file>

<file path=xl/tables/table110.xml><?xml version="1.0" encoding="utf-8"?>
<table xmlns="http://schemas.openxmlformats.org/spreadsheetml/2006/main" headerRowCount="0" ref="B64:B66" displayName="Table_110" name="Table_110" id="110">
  <tableColumns count="1">
    <tableColumn name="Column1" id="1"/>
  </tableColumns>
  <tableStyleInfo name="G3-style 35" showColumnStripes="0" showFirstColumn="1" showLastColumn="1" showRowStripes="1"/>
</table>
</file>

<file path=xl/tables/table111.xml><?xml version="1.0" encoding="utf-8"?>
<table xmlns="http://schemas.openxmlformats.org/spreadsheetml/2006/main" headerRowCount="0" ref="C69:M78" displayName="Table_111" name="Table_111" id="1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G3-style 36" showColumnStripes="0" showFirstColumn="1" showLastColumn="1" showRowStripes="1"/>
</table>
</file>

<file path=xl/tables/table112.xml><?xml version="1.0" encoding="utf-8"?>
<table xmlns="http://schemas.openxmlformats.org/spreadsheetml/2006/main" headerRowCount="0" ref="B73:B76" displayName="Table_112" name="Table_112" id="112">
  <tableColumns count="1">
    <tableColumn name="Column1" id="1"/>
  </tableColumns>
  <tableStyleInfo name="G3-style 37" showColumnStripes="0" showFirstColumn="1" showLastColumn="1" showRowStripes="1"/>
</table>
</file>

<file path=xl/tables/table113.xml><?xml version="1.0" encoding="utf-8"?>
<table xmlns="http://schemas.openxmlformats.org/spreadsheetml/2006/main" headerRowCount="0" ref="B79:B87" displayName="Table_113" name="Table_113" id="113">
  <tableColumns count="1">
    <tableColumn name="Column1" id="1"/>
  </tableColumns>
  <tableStyleInfo name="G3-style 38" showColumnStripes="0" showFirstColumn="1" showLastColumn="1" showRowStripes="1"/>
</table>
</file>

<file path=xl/tables/table114.xml><?xml version="1.0" encoding="utf-8"?>
<table xmlns="http://schemas.openxmlformats.org/spreadsheetml/2006/main" headerRowCount="0" ref="G79:K87" displayName="Table_114" name="Table_114" id="114">
  <tableColumns count="5">
    <tableColumn name="Column1" id="1"/>
    <tableColumn name="Column2" id="2"/>
    <tableColumn name="Column3" id="3"/>
    <tableColumn name="Column4" id="4"/>
    <tableColumn name="Column5" id="5"/>
  </tableColumns>
  <tableStyleInfo name="G3-style 39" showColumnStripes="0" showFirstColumn="1" showLastColumn="1" showRowStripes="1"/>
</table>
</file>

<file path=xl/tables/table115.xml><?xml version="1.0" encoding="utf-8"?>
<table xmlns="http://schemas.openxmlformats.org/spreadsheetml/2006/main" headerRowCount="0" ref="C84:F84" displayName="Table_115" name="Table_115" id="115">
  <tableColumns count="4">
    <tableColumn name="Column1" id="1"/>
    <tableColumn name="Column2" id="2"/>
    <tableColumn name="Column3" id="3"/>
    <tableColumn name="Column4" id="4"/>
  </tableColumns>
  <tableStyleInfo name="G3-style 40" showColumnStripes="0" showFirstColumn="1" showLastColumn="1" showRowStripes="1"/>
</table>
</file>

<file path=xl/tables/table116.xml><?xml version="1.0" encoding="utf-8"?>
<table xmlns="http://schemas.openxmlformats.org/spreadsheetml/2006/main" headerRowCount="0" ref="C85:F85" displayName="Table_116" name="Table_116" id="116">
  <tableColumns count="4">
    <tableColumn name="Column1" id="1"/>
    <tableColumn name="Column2" id="2"/>
    <tableColumn name="Column3" id="3"/>
    <tableColumn name="Column4" id="4"/>
  </tableColumns>
  <tableStyleInfo name="G3-style 41" showColumnStripes="0" showFirstColumn="1" showLastColumn="1" showRowStripes="1"/>
</table>
</file>

<file path=xl/tables/table117.xml><?xml version="1.0" encoding="utf-8"?>
<table xmlns="http://schemas.openxmlformats.org/spreadsheetml/2006/main" headerRowCount="0" ref="C86:F87" displayName="Table_117" name="Table_117" id="117">
  <tableColumns count="4">
    <tableColumn name="Column1" id="1"/>
    <tableColumn name="Column2" id="2"/>
    <tableColumn name="Column3" id="3"/>
    <tableColumn name="Column4" id="4"/>
  </tableColumns>
  <tableStyleInfo name="G3-style 42" showColumnStripes="0" showFirstColumn="1" showLastColumn="1" showRowStripes="1"/>
</table>
</file>

<file path=xl/tables/table118.xml><?xml version="1.0" encoding="utf-8"?>
<table xmlns="http://schemas.openxmlformats.org/spreadsheetml/2006/main" headerRowCount="0" ref="C89:F90" displayName="Table_118" name="Table_118" id="118">
  <tableColumns count="4">
    <tableColumn name="Column1" id="1"/>
    <tableColumn name="Column2" id="2"/>
    <tableColumn name="Column3" id="3"/>
    <tableColumn name="Column4" id="4"/>
  </tableColumns>
  <tableStyleInfo name="G3-style 43" showColumnStripes="0" showFirstColumn="1" showLastColumn="1" showRowStripes="1"/>
</table>
</file>

<file path=xl/tables/table119.xml><?xml version="1.0" encoding="utf-8"?>
<table xmlns="http://schemas.openxmlformats.org/spreadsheetml/2006/main" headerRowCount="0" ref="G89:M89" displayName="Table_119" name="Table_119" id="119">
  <tableColumns count="7">
    <tableColumn name="Column1" id="1"/>
    <tableColumn name="Column2" id="2"/>
    <tableColumn name="Column3" id="3"/>
    <tableColumn name="Column4" id="4"/>
    <tableColumn name="Column5" id="5"/>
    <tableColumn name="Column6" id="6"/>
    <tableColumn name="Column7" id="7"/>
  </tableColumns>
  <tableStyleInfo name="G3-style 44" showColumnStripes="0" showFirstColumn="1" showLastColumn="1" showRowStripes="1"/>
</table>
</file>

<file path=xl/tables/table120.xml><?xml version="1.0" encoding="utf-8"?>
<table xmlns="http://schemas.openxmlformats.org/spreadsheetml/2006/main" headerRowCount="0" ref="B91:O92" displayName="Table_120" name="Table_120" id="12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G3-style 45" showColumnStripes="0" showFirstColumn="1" showLastColumn="1" showRowStripes="1"/>
</table>
</file>

<file path=xl/tables/table121.xml><?xml version="1.0" encoding="utf-8"?>
<table xmlns="http://schemas.openxmlformats.org/spreadsheetml/2006/main" headerRowCount="0" ref="B93" displayName="Table_121" name="Table_121" id="121">
  <tableColumns count="1">
    <tableColumn name="Column1" id="1"/>
  </tableColumns>
  <tableStyleInfo name="G3-style 46" showColumnStripes="0" showFirstColumn="1" showLastColumn="1" showRowStripes="1"/>
</table>
</file>

<file path=xl/tables/table122.xml><?xml version="1.0" encoding="utf-8"?>
<table xmlns="http://schemas.openxmlformats.org/spreadsheetml/2006/main" headerRowCount="0" ref="C93:F93" displayName="Table_122" name="Table_122" id="122">
  <tableColumns count="4">
    <tableColumn name="Column1" id="1"/>
    <tableColumn name="Column2" id="2"/>
    <tableColumn name="Column3" id="3"/>
    <tableColumn name="Column4" id="4"/>
  </tableColumns>
  <tableStyleInfo name="G3-style 47" showColumnStripes="0" showFirstColumn="1" showLastColumn="1" showRowStripes="1"/>
</table>
</file>

<file path=xl/tables/table123.xml><?xml version="1.0" encoding="utf-8"?>
<table xmlns="http://schemas.openxmlformats.org/spreadsheetml/2006/main" headerRowCount="0" ref="G93:O97" displayName="Table_123" name="Table_123" id="12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G3-style 48" showColumnStripes="0" showFirstColumn="1" showLastColumn="1" showRowStripes="1"/>
</table>
</file>

<file path=xl/tables/table124.xml><?xml version="1.0" encoding="utf-8"?>
<table xmlns="http://schemas.openxmlformats.org/spreadsheetml/2006/main" headerRowCount="0" ref="B94" displayName="Table_124" name="Table_124" id="124">
  <tableColumns count="1">
    <tableColumn name="Column1" id="1"/>
  </tableColumns>
  <tableStyleInfo name="G3-style 49" showColumnStripes="0" showFirstColumn="1" showLastColumn="1" showRowStripes="1"/>
</table>
</file>

<file path=xl/tables/table125.xml><?xml version="1.0" encoding="utf-8"?>
<table xmlns="http://schemas.openxmlformats.org/spreadsheetml/2006/main" headerRowCount="0" ref="C94:F96" displayName="Table_125" name="Table_125" id="125">
  <tableColumns count="4">
    <tableColumn name="Column1" id="1"/>
    <tableColumn name="Column2" id="2"/>
    <tableColumn name="Column3" id="3"/>
    <tableColumn name="Column4" id="4"/>
  </tableColumns>
  <tableStyleInfo name="G3-style 50" showColumnStripes="0" showFirstColumn="1" showLastColumn="1" showRowStripes="1"/>
</table>
</file>

<file path=xl/tables/table126.xml><?xml version="1.0" encoding="utf-8"?>
<table xmlns="http://schemas.openxmlformats.org/spreadsheetml/2006/main" headerRowCount="0" ref="B95:B96" displayName="Table_126" name="Table_126" id="126">
  <tableColumns count="1">
    <tableColumn name="Column1" id="1"/>
  </tableColumns>
  <tableStyleInfo name="G3-style 51" showColumnStripes="0" showFirstColumn="1" showLastColumn="1" showRowStripes="1"/>
</table>
</file>

<file path=xl/tables/table127.xml><?xml version="1.0" encoding="utf-8"?>
<table xmlns="http://schemas.openxmlformats.org/spreadsheetml/2006/main" headerRowCount="0" ref="B98:C98" displayName="Table_127" name="Table_127" id="127">
  <tableColumns count="2">
    <tableColumn name="Column1" id="1"/>
    <tableColumn name="Column2" id="2"/>
  </tableColumns>
  <tableStyleInfo name="G3-style 52" showColumnStripes="0" showFirstColumn="1" showLastColumn="1" showRowStripes="1"/>
</table>
</file>

<file path=xl/tables/table128.xml><?xml version="1.0" encoding="utf-8"?>
<table xmlns="http://schemas.openxmlformats.org/spreadsheetml/2006/main" headerRowCount="0" ref="G98:H98" displayName="Table_128" name="Table_128" id="128">
  <tableColumns count="2">
    <tableColumn name="Column1" id="1"/>
    <tableColumn name="Column2" id="2"/>
  </tableColumns>
  <tableStyleInfo name="G3-style 53" showColumnStripes="0" showFirstColumn="1" showLastColumn="1" showRowStripes="1"/>
</table>
</file>

<file path=xl/tables/table129.xml><?xml version="1.0" encoding="utf-8"?>
<table xmlns="http://schemas.openxmlformats.org/spreadsheetml/2006/main" headerRowCount="0" ref="L98:M98" displayName="Table_129" name="Table_129" id="129">
  <tableColumns count="2">
    <tableColumn name="Column1" id="1"/>
    <tableColumn name="Column2" id="2"/>
  </tableColumns>
  <tableStyleInfo name="G3-style 54" showColumnStripes="0" showFirstColumn="1" showLastColumn="1" showRowStripes="1"/>
</table>
</file>

<file path=xl/tables/table130.xml><?xml version="1.0" encoding="utf-8"?>
<table xmlns="http://schemas.openxmlformats.org/spreadsheetml/2006/main" headerRowCount="0" ref="B99:C99" displayName="Table_130" name="Table_130" id="130">
  <tableColumns count="2">
    <tableColumn name="Column1" id="1"/>
    <tableColumn name="Column2" id="2"/>
  </tableColumns>
  <tableStyleInfo name="G3-style 55" showColumnStripes="0" showFirstColumn="1" showLastColumn="1" showRowStripes="1"/>
</table>
</file>

<file path=xl/tables/table131.xml><?xml version="1.0" encoding="utf-8"?>
<table xmlns="http://schemas.openxmlformats.org/spreadsheetml/2006/main" headerRowCount="0" ref="G99:H99" displayName="Table_131" name="Table_131" id="131">
  <tableColumns count="2">
    <tableColumn name="Column1" id="1"/>
    <tableColumn name="Column2" id="2"/>
  </tableColumns>
  <tableStyleInfo name="G3-style 56" showColumnStripes="0" showFirstColumn="1" showLastColumn="1" showRowStripes="1"/>
</table>
</file>

<file path=xl/tables/table132.xml><?xml version="1.0" encoding="utf-8"?>
<table xmlns="http://schemas.openxmlformats.org/spreadsheetml/2006/main" headerRowCount="0" ref="L99:M99" displayName="Table_132" name="Table_132" id="132">
  <tableColumns count="2">
    <tableColumn name="Column1" id="1"/>
    <tableColumn name="Column2" id="2"/>
  </tableColumns>
  <tableStyleInfo name="G3-style 57" showColumnStripes="0" showFirstColumn="1" showLastColumn="1" showRowStripes="1"/>
</table>
</file>

<file path=xl/tables/table133.xml><?xml version="1.0" encoding="utf-8"?>
<table xmlns="http://schemas.openxmlformats.org/spreadsheetml/2006/main" headerRowCount="0" ref="B100:C100" displayName="Table_133" name="Table_133" id="133">
  <tableColumns count="2">
    <tableColumn name="Column1" id="1"/>
    <tableColumn name="Column2" id="2"/>
  </tableColumns>
  <tableStyleInfo name="G3-style 58" showColumnStripes="0" showFirstColumn="1" showLastColumn="1" showRowStripes="1"/>
</table>
</file>

<file path=xl/tables/table134.xml><?xml version="1.0" encoding="utf-8"?>
<table xmlns="http://schemas.openxmlformats.org/spreadsheetml/2006/main" headerRowCount="0" ref="G100:H100" displayName="Table_134" name="Table_134" id="134">
  <tableColumns count="2">
    <tableColumn name="Column1" id="1"/>
    <tableColumn name="Column2" id="2"/>
  </tableColumns>
  <tableStyleInfo name="G3-style 59" showColumnStripes="0" showFirstColumn="1" showLastColumn="1" showRowStripes="1"/>
</table>
</file>

<file path=xl/tables/table135.xml><?xml version="1.0" encoding="utf-8"?>
<table xmlns="http://schemas.openxmlformats.org/spreadsheetml/2006/main" headerRowCount="0" ref="L100:O100" displayName="Table_135" name="Table_135" id="135">
  <tableColumns count="4">
    <tableColumn name="Column1" id="1"/>
    <tableColumn name="Column2" id="2"/>
    <tableColumn name="Column3" id="3"/>
    <tableColumn name="Column4" id="4"/>
  </tableColumns>
  <tableStyleInfo name="G3-style 60" showColumnStripes="0" showFirstColumn="1" showLastColumn="1" showRowStripes="1"/>
</table>
</file>

<file path=xl/tables/table136.xml><?xml version="1.0" encoding="utf-8"?>
<table xmlns="http://schemas.openxmlformats.org/spreadsheetml/2006/main" headerRowCount="0" ref="B101:C101" displayName="Table_136" name="Table_136" id="136">
  <tableColumns count="2">
    <tableColumn name="Column1" id="1"/>
    <tableColumn name="Column2" id="2"/>
  </tableColumns>
  <tableStyleInfo name="G3-style 61" showColumnStripes="0" showFirstColumn="1" showLastColumn="1" showRowStripes="1"/>
</table>
</file>

<file path=xl/tables/table137.xml><?xml version="1.0" encoding="utf-8"?>
<table xmlns="http://schemas.openxmlformats.org/spreadsheetml/2006/main" headerRowCount="0" ref="G101:K101" displayName="Table_137" name="Table_137" id="137">
  <tableColumns count="5">
    <tableColumn name="Column1" id="1"/>
    <tableColumn name="Column2" id="2"/>
    <tableColumn name="Column3" id="3"/>
    <tableColumn name="Column4" id="4"/>
    <tableColumn name="Column5" id="5"/>
  </tableColumns>
  <tableStyleInfo name="G3-style 62" showColumnStripes="0" showFirstColumn="1" showLastColumn="1" showRowStripes="1"/>
</table>
</file>

<file path=xl/tables/table138.xml><?xml version="1.0" encoding="utf-8"?>
<table xmlns="http://schemas.openxmlformats.org/spreadsheetml/2006/main" headerRowCount="0" ref="N101:N102" displayName="Table_138" name="Table_138" id="138">
  <tableColumns count="1">
    <tableColumn name="Column1" id="1"/>
  </tableColumns>
  <tableStyleInfo name="G3-style 63" showColumnStripes="0" showFirstColumn="1" showLastColumn="1" showRowStripes="1"/>
</table>
</file>

<file path=xl/tables/table139.xml><?xml version="1.0" encoding="utf-8"?>
<table xmlns="http://schemas.openxmlformats.org/spreadsheetml/2006/main" headerRowCount="0" ref="B102:C102" displayName="Table_139" name="Table_139" id="139">
  <tableColumns count="2">
    <tableColumn name="Column1" id="1"/>
    <tableColumn name="Column2" id="2"/>
  </tableColumns>
  <tableStyleInfo name="G3-style 64" showColumnStripes="0" showFirstColumn="1" showLastColumn="1" showRowStripes="1"/>
</table>
</file>

<file path=xl/tables/table140.xml><?xml version="1.0" encoding="utf-8"?>
<table xmlns="http://schemas.openxmlformats.org/spreadsheetml/2006/main" headerRowCount="0" ref="G102:H102" displayName="Table_140" name="Table_140" id="140">
  <tableColumns count="2">
    <tableColumn name="Column1" id="1"/>
    <tableColumn name="Column2" id="2"/>
  </tableColumns>
  <tableStyleInfo name="G3-style 65" showColumnStripes="0" showFirstColumn="1" showLastColumn="1" showRowStripes="1"/>
</table>
</file>

<file path=xl/tables/table141.xml><?xml version="1.0" encoding="utf-8"?>
<table xmlns="http://schemas.openxmlformats.org/spreadsheetml/2006/main" headerRowCount="0" ref="I102:K102" displayName="Table_141" name="Table_141" id="141">
  <tableColumns count="3">
    <tableColumn name="Column1" id="1"/>
    <tableColumn name="Column2" id="2"/>
    <tableColumn name="Column3" id="3"/>
  </tableColumns>
  <tableStyleInfo name="G3-style 66" showColumnStripes="0" showFirstColumn="1" showLastColumn="1" showRowStripes="1"/>
</table>
</file>

<file path=xl/tables/table142.xml><?xml version="1.0" encoding="utf-8"?>
<table xmlns="http://schemas.openxmlformats.org/spreadsheetml/2006/main" headerRowCount="0" ref="L102:M102" displayName="Table_142" name="Table_142" id="142">
  <tableColumns count="2">
    <tableColumn name="Column1" id="1"/>
    <tableColumn name="Column2" id="2"/>
  </tableColumns>
  <tableStyleInfo name="G3-style 67" showColumnStripes="0" showFirstColumn="1" showLastColumn="1" showRowStripes="1"/>
</table>
</file>

<file path=xl/tables/table143.xml><?xml version="1.0" encoding="utf-8"?>
<table xmlns="http://schemas.openxmlformats.org/spreadsheetml/2006/main" headerRowCount="0" ref="B103:C103" displayName="Table_143" name="Table_143" id="143">
  <tableColumns count="2">
    <tableColumn name="Column1" id="1"/>
    <tableColumn name="Column2" id="2"/>
  </tableColumns>
  <tableStyleInfo name="G3-style 68" showColumnStripes="0" showFirstColumn="1" showLastColumn="1" showRowStripes="1"/>
</table>
</file>

<file path=xl/tables/table144.xml><?xml version="1.0" encoding="utf-8"?>
<table xmlns="http://schemas.openxmlformats.org/spreadsheetml/2006/main" headerRowCount="0" ref="G103:H103" displayName="Table_144" name="Table_144" id="144">
  <tableColumns count="2">
    <tableColumn name="Column1" id="1"/>
    <tableColumn name="Column2" id="2"/>
  </tableColumns>
  <tableStyleInfo name="G3-style 69" showColumnStripes="0" showFirstColumn="1" showLastColumn="1" showRowStripes="1"/>
</table>
</file>

<file path=xl/tables/table145.xml><?xml version="1.0" encoding="utf-8"?>
<table xmlns="http://schemas.openxmlformats.org/spreadsheetml/2006/main" headerRowCount="0" ref="I103:K103" displayName="Table_145" name="Table_145" id="145">
  <tableColumns count="3">
    <tableColumn name="Column1" id="1"/>
    <tableColumn name="Column2" id="2"/>
    <tableColumn name="Column3" id="3"/>
  </tableColumns>
  <tableStyleInfo name="G3-style 70" showColumnStripes="0" showFirstColumn="1" showLastColumn="1" showRowStripes="1"/>
</table>
</file>

<file path=xl/tables/table146.xml><?xml version="1.0" encoding="utf-8"?>
<table xmlns="http://schemas.openxmlformats.org/spreadsheetml/2006/main" headerRowCount="0" ref="L103:M103" displayName="Table_146" name="Table_146" id="146">
  <tableColumns count="2">
    <tableColumn name="Column1" id="1"/>
    <tableColumn name="Column2" id="2"/>
  </tableColumns>
  <tableStyleInfo name="G3-style 71" showColumnStripes="0" showFirstColumn="1" showLastColumn="1" showRowStripes="1"/>
</table>
</file>

<file path=xl/tables/table147.xml><?xml version="1.0" encoding="utf-8"?>
<table xmlns="http://schemas.openxmlformats.org/spreadsheetml/2006/main" headerRowCount="0" ref="B104:C105" displayName="Table_147" name="Table_147" id="147">
  <tableColumns count="2">
    <tableColumn name="Column1" id="1"/>
    <tableColumn name="Column2" id="2"/>
  </tableColumns>
  <tableStyleInfo name="G3-style 72" showColumnStripes="0" showFirstColumn="1" showLastColumn="1" showRowStripes="1"/>
</table>
</file>

<file path=xl/tables/table148.xml><?xml version="1.0" encoding="utf-8"?>
<table xmlns="http://schemas.openxmlformats.org/spreadsheetml/2006/main" headerRowCount="0" ref="G104:K105" displayName="Table_148" name="Table_148" id="148">
  <tableColumns count="5">
    <tableColumn name="Column1" id="1"/>
    <tableColumn name="Column2" id="2"/>
    <tableColumn name="Column3" id="3"/>
    <tableColumn name="Column4" id="4"/>
    <tableColumn name="Column5" id="5"/>
  </tableColumns>
  <tableStyleInfo name="G3-style 73" showColumnStripes="0" showFirstColumn="1" showLastColumn="1" showRowStripes="1"/>
</table>
</file>

<file path=xl/tables/table149.xml><?xml version="1.0" encoding="utf-8"?>
<table xmlns="http://schemas.openxmlformats.org/spreadsheetml/2006/main" headerRowCount="0" ref="L105:S106" displayName="Table_149" name="Table_149" id="149">
  <tableColumns count="8">
    <tableColumn name="Column1" id="1"/>
    <tableColumn name="Column2" id="2"/>
    <tableColumn name="Column3" id="3"/>
    <tableColumn name="Column4" id="4"/>
    <tableColumn name="Column5" id="5"/>
    <tableColumn name="Column6" id="6"/>
    <tableColumn name="Column7" id="7"/>
    <tableColumn name="Column8" id="8"/>
  </tableColumns>
  <tableStyleInfo name="G3-style 74" showColumnStripes="0" showFirstColumn="1" showLastColumn="1" showRowStripes="1"/>
</table>
</file>

<file path=xl/tables/table150.xml><?xml version="1.0" encoding="utf-8"?>
<table xmlns="http://schemas.openxmlformats.org/spreadsheetml/2006/main" headerRowCount="0" ref="B107:C107" displayName="Table_150" name="Table_150" id="150">
  <tableColumns count="2">
    <tableColumn name="Column1" id="1"/>
    <tableColumn name="Column2" id="2"/>
  </tableColumns>
  <tableStyleInfo name="G3-style 75" showColumnStripes="0" showFirstColumn="1" showLastColumn="1" showRowStripes="1"/>
</table>
</file>

<file path=xl/tables/table151.xml><?xml version="1.0" encoding="utf-8"?>
<table xmlns="http://schemas.openxmlformats.org/spreadsheetml/2006/main" headerRowCount="0" ref="G107:H107" displayName="Table_151" name="Table_151" id="151">
  <tableColumns count="2">
    <tableColumn name="Column1" id="1"/>
    <tableColumn name="Column2" id="2"/>
  </tableColumns>
  <tableStyleInfo name="G3-style 76" showColumnStripes="0" showFirstColumn="1" showLastColumn="1" showRowStripes="1"/>
</table>
</file>

<file path=xl/tables/table152.xml><?xml version="1.0" encoding="utf-8"?>
<table xmlns="http://schemas.openxmlformats.org/spreadsheetml/2006/main" headerRowCount="0" ref="B108" displayName="Table_152" name="Table_152" id="152">
  <tableColumns count="1">
    <tableColumn name="Column1" id="1"/>
  </tableColumns>
  <tableStyleInfo name="G3-style 77" showColumnStripes="0" showFirstColumn="1" showLastColumn="1" showRowStripes="1"/>
</table>
</file>

<file path=xl/tables/table153.xml><?xml version="1.0" encoding="utf-8"?>
<table xmlns="http://schemas.openxmlformats.org/spreadsheetml/2006/main" headerRowCount="0" ref="G108:H108" displayName="Table_153" name="Table_153" id="153">
  <tableColumns count="2">
    <tableColumn name="Column1" id="1"/>
    <tableColumn name="Column2" id="2"/>
  </tableColumns>
  <tableStyleInfo name="G3-style 78" showColumnStripes="0" showFirstColumn="1" showLastColumn="1" showRowStripes="1"/>
</table>
</file>

<file path=xl/tables/table154.xml><?xml version="1.0" encoding="utf-8"?>
<table xmlns="http://schemas.openxmlformats.org/spreadsheetml/2006/main" headerRowCount="0" ref="B109" displayName="Table_154" name="Table_154" id="154">
  <tableColumns count="1">
    <tableColumn name="Column1" id="1"/>
  </tableColumns>
  <tableStyleInfo name="G3-style 79" showColumnStripes="0" showFirstColumn="1" showLastColumn="1" showRowStripes="1"/>
</table>
</file>

<file path=xl/tables/table155.xml><?xml version="1.0" encoding="utf-8"?>
<table xmlns="http://schemas.openxmlformats.org/spreadsheetml/2006/main" headerRowCount="0" ref="G109:K109" displayName="Table_155" name="Table_155" id="155">
  <tableColumns count="5">
    <tableColumn name="Column1" id="1"/>
    <tableColumn name="Column2" id="2"/>
    <tableColumn name="Column3" id="3"/>
    <tableColumn name="Column4" id="4"/>
    <tableColumn name="Column5" id="5"/>
  </tableColumns>
  <tableStyleInfo name="G3-style 80" showColumnStripes="0" showFirstColumn="1" showLastColumn="1" showRowStripes="1"/>
</table>
</file>

<file path=xl/tables/table156.xml><?xml version="1.0" encoding="utf-8"?>
<table xmlns="http://schemas.openxmlformats.org/spreadsheetml/2006/main" headerRowCount="0" ref="B110:C110" displayName="Table_156" name="Table_156" id="156">
  <tableColumns count="2">
    <tableColumn name="Column1" id="1"/>
    <tableColumn name="Column2" id="2"/>
  </tableColumns>
  <tableStyleInfo name="G3-style 81" showColumnStripes="0" showFirstColumn="1" showLastColumn="1" showRowStripes="1"/>
</table>
</file>

<file path=xl/tables/table157.xml><?xml version="1.0" encoding="utf-8"?>
<table xmlns="http://schemas.openxmlformats.org/spreadsheetml/2006/main" headerRowCount="0" ref="G110:L110" displayName="Table_157" name="Table_157" id="157">
  <tableColumns count="6">
    <tableColumn name="Column1" id="1"/>
    <tableColumn name="Column2" id="2"/>
    <tableColumn name="Column3" id="3"/>
    <tableColumn name="Column4" id="4"/>
    <tableColumn name="Column5" id="5"/>
    <tableColumn name="Column6" id="6"/>
  </tableColumns>
  <tableStyleInfo name="G3-style 82" showColumnStripes="0" showFirstColumn="1" showLastColumn="1" showRowStripes="1"/>
</table>
</file>

<file path=xl/tables/table158.xml><?xml version="1.0" encoding="utf-8"?>
<table xmlns="http://schemas.openxmlformats.org/spreadsheetml/2006/main" headerRowCount="0" ref="B111:C111" displayName="Table_158" name="Table_158" id="158">
  <tableColumns count="2">
    <tableColumn name="Column1" id="1"/>
    <tableColumn name="Column2" id="2"/>
  </tableColumns>
  <tableStyleInfo name="G3-style 83" showColumnStripes="0" showFirstColumn="1" showLastColumn="1" showRowStripes="1"/>
</table>
</file>

<file path=xl/tables/table159.xml><?xml version="1.0" encoding="utf-8"?>
<table xmlns="http://schemas.openxmlformats.org/spreadsheetml/2006/main" headerRowCount="0" ref="G111:L111" displayName="Table_159" name="Table_159" id="159">
  <tableColumns count="6">
    <tableColumn name="Column1" id="1"/>
    <tableColumn name="Column2" id="2"/>
    <tableColumn name="Column3" id="3"/>
    <tableColumn name="Column4" id="4"/>
    <tableColumn name="Column5" id="5"/>
    <tableColumn name="Column6" id="6"/>
  </tableColumns>
  <tableStyleInfo name="G3-style 84" showColumnStripes="0" showFirstColumn="1" showLastColumn="1" showRowStripes="1"/>
</table>
</file>

<file path=xl/tables/table160.xml><?xml version="1.0" encoding="utf-8"?>
<table xmlns="http://schemas.openxmlformats.org/spreadsheetml/2006/main" headerRowCount="0" ref="B112:D114" displayName="Table_160" name="Table_160" id="160">
  <tableColumns count="3">
    <tableColumn name="Column1" id="1"/>
    <tableColumn name="Column2" id="2"/>
    <tableColumn name="Column3" id="3"/>
  </tableColumns>
  <tableStyleInfo name="G3-style 85" showColumnStripes="0" showFirstColumn="1" showLastColumn="1" showRowStripes="1"/>
</table>
</file>

<file path=xl/tables/table161.xml><?xml version="1.0" encoding="utf-8"?>
<table xmlns="http://schemas.openxmlformats.org/spreadsheetml/2006/main" headerRowCount="0" ref="N112" displayName="Table_161" name="Table_161" id="161">
  <tableColumns count="1">
    <tableColumn name="Column1" id="1"/>
  </tableColumns>
  <tableStyleInfo name="G3-style 86" showColumnStripes="0" showFirstColumn="1" showLastColumn="1" showRowStripes="1"/>
</table>
</file>

<file path=xl/tables/table162.xml><?xml version="1.0" encoding="utf-8"?>
<table xmlns="http://schemas.openxmlformats.org/spreadsheetml/2006/main" headerRowCount="0" ref="N113:O113" displayName="Table_162" name="Table_162" id="162">
  <tableColumns count="2">
    <tableColumn name="Column1" id="1"/>
    <tableColumn name="Column2" id="2"/>
  </tableColumns>
  <tableStyleInfo name="G3-style 87" showColumnStripes="0" showFirstColumn="1" showLastColumn="1" showRowStripes="1"/>
</table>
</file>

<file path=xl/tables/table163.xml><?xml version="1.0" encoding="utf-8"?>
<table xmlns="http://schemas.openxmlformats.org/spreadsheetml/2006/main" headerRowCount="0" ref="G114:N114" displayName="Table_163" name="Table_163" id="163">
  <tableColumns count="8">
    <tableColumn name="Column1" id="1"/>
    <tableColumn name="Column2" id="2"/>
    <tableColumn name="Column3" id="3"/>
    <tableColumn name="Column4" id="4"/>
    <tableColumn name="Column5" id="5"/>
    <tableColumn name="Column6" id="6"/>
    <tableColumn name="Column7" id="7"/>
    <tableColumn name="Column8" id="8"/>
  </tableColumns>
  <tableStyleInfo name="G3-style 88" showColumnStripes="0" showFirstColumn="1" showLastColumn="1" showRowStripes="1"/>
</table>
</file>

<file path=xl/tables/table164.xml><?xml version="1.0" encoding="utf-8"?>
<table xmlns="http://schemas.openxmlformats.org/spreadsheetml/2006/main" headerRowCount="0" ref="B116:C118" displayName="Table_164" name="Table_164" id="164">
  <tableColumns count="2">
    <tableColumn name="Column1" id="1"/>
    <tableColumn name="Column2" id="2"/>
  </tableColumns>
  <tableStyleInfo name="G3-style 89" showColumnStripes="0" showFirstColumn="1" showLastColumn="1" showRowStripes="1"/>
</table>
</file>

<file path=xl/tables/table165.xml><?xml version="1.0" encoding="utf-8"?>
<table xmlns="http://schemas.openxmlformats.org/spreadsheetml/2006/main" headerRowCount="0" ref="G116:O118" displayName="Table_165" name="Table_165" id="16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G3-style 90" showColumnStripes="0" showFirstColumn="1" showLastColumn="1" showRowStripes="1"/>
</table>
</file>

<file path=xl/tables/table166.xml><?xml version="1.0" encoding="utf-8"?>
<table xmlns="http://schemas.openxmlformats.org/spreadsheetml/2006/main" headerRowCount="0" ref="B119:F123" displayName="Table_166" name="Table_166" id="166">
  <tableColumns count="5">
    <tableColumn name="Column1" id="1"/>
    <tableColumn name="Column2" id="2"/>
    <tableColumn name="Column3" id="3"/>
    <tableColumn name="Column4" id="4"/>
    <tableColumn name="Column5" id="5"/>
  </tableColumns>
  <tableStyleInfo name="G3-style 91" showColumnStripes="0" showFirstColumn="1" showLastColumn="1" showRowStripes="1"/>
</table>
</file>

<file path=xl/tables/table167.xml><?xml version="1.0" encoding="utf-8"?>
<table xmlns="http://schemas.openxmlformats.org/spreadsheetml/2006/main" headerRowCount="0" ref="G119:L123" displayName="Table_167" name="Table_167" id="167">
  <tableColumns count="6">
    <tableColumn name="Column1" id="1"/>
    <tableColumn name="Column2" id="2"/>
    <tableColumn name="Column3" id="3"/>
    <tableColumn name="Column4" id="4"/>
    <tableColumn name="Column5" id="5"/>
    <tableColumn name="Column6" id="6"/>
  </tableColumns>
  <tableStyleInfo name="G3-style 92" showColumnStripes="0" showFirstColumn="1" showLastColumn="1" showRowStripes="1"/>
</table>
</file>

<file path=xl/tables/table168.xml><?xml version="1.0" encoding="utf-8"?>
<table xmlns="http://schemas.openxmlformats.org/spreadsheetml/2006/main" headerRowCount="0" ref="M119" displayName="Table_168" name="Table_168" id="168">
  <tableColumns count="1">
    <tableColumn name="Column1" id="1"/>
  </tableColumns>
  <tableStyleInfo name="G3-style 93" showColumnStripes="0" showFirstColumn="1" showLastColumn="1" showRowStripes="1"/>
</table>
</file>

<file path=xl/tables/table169.xml><?xml version="1.0" encoding="utf-8"?>
<table xmlns="http://schemas.openxmlformats.org/spreadsheetml/2006/main" headerRowCount="0" ref="M120" displayName="Table_169" name="Table_169" id="169">
  <tableColumns count="1">
    <tableColumn name="Column1" id="1"/>
  </tableColumns>
  <tableStyleInfo name="G3-style 94" showColumnStripes="0" showFirstColumn="1" showLastColumn="1" showRowStripes="1"/>
</table>
</file>

<file path=xl/tables/table170.xml><?xml version="1.0" encoding="utf-8"?>
<table xmlns="http://schemas.openxmlformats.org/spreadsheetml/2006/main" headerRowCount="0" ref="M121" displayName="Table_170" name="Table_170" id="170">
  <tableColumns count="1">
    <tableColumn name="Column1" id="1"/>
  </tableColumns>
  <tableStyleInfo name="G3-style 95" showColumnStripes="0" showFirstColumn="1" showLastColumn="1" showRowStripes="1"/>
</table>
</file>

<file path=xl/tables/table171.xml><?xml version="1.0" encoding="utf-8"?>
<table xmlns="http://schemas.openxmlformats.org/spreadsheetml/2006/main" headerRowCount="0" ref="M122" displayName="Table_171" name="Table_171" id="171">
  <tableColumns count="1">
    <tableColumn name="Column1" id="1"/>
  </tableColumns>
  <tableStyleInfo name="G3-style 96" showColumnStripes="0" showFirstColumn="1" showLastColumn="1" showRowStripes="1"/>
</table>
</file>

<file path=xl/tables/table172.xml><?xml version="1.0" encoding="utf-8"?>
<table xmlns="http://schemas.openxmlformats.org/spreadsheetml/2006/main" headerRowCount="0" ref="M123:N123" displayName="Table_172" name="Table_172" id="172">
  <tableColumns count="2">
    <tableColumn name="Column1" id="1"/>
    <tableColumn name="Column2" id="2"/>
  </tableColumns>
  <tableStyleInfo name="G3-style 97" showColumnStripes="0" showFirstColumn="1" showLastColumn="1" showRowStripes="1"/>
</table>
</file>

<file path=xl/tables/table173.xml><?xml version="1.0" encoding="utf-8"?>
<table xmlns="http://schemas.openxmlformats.org/spreadsheetml/2006/main" headerRowCount="0" ref="B126:C127" displayName="Table_173" name="Table_173" id="173">
  <tableColumns count="2">
    <tableColumn name="Column1" id="1"/>
    <tableColumn name="Column2" id="2"/>
  </tableColumns>
  <tableStyleInfo name="G3-style 98" showColumnStripes="0" showFirstColumn="1" showLastColumn="1" showRowStripes="1"/>
</table>
</file>

<file path=xl/tables/table174.xml><?xml version="1.0" encoding="utf-8"?>
<table xmlns="http://schemas.openxmlformats.org/spreadsheetml/2006/main" headerRowCount="0" ref="G126:N133" displayName="Table_174" name="Table_174" id="174">
  <tableColumns count="8">
    <tableColumn name="Column1" id="1"/>
    <tableColumn name="Column2" id="2"/>
    <tableColumn name="Column3" id="3"/>
    <tableColumn name="Column4" id="4"/>
    <tableColumn name="Column5" id="5"/>
    <tableColumn name="Column6" id="6"/>
    <tableColumn name="Column7" id="7"/>
    <tableColumn name="Column8" id="8"/>
  </tableColumns>
  <tableStyleInfo name="G3-style 99" showColumnStripes="0" showFirstColumn="1" showLastColumn="1" showRowStripes="1"/>
</table>
</file>

<file path=xl/tables/table175.xml><?xml version="1.0" encoding="utf-8"?>
<table xmlns="http://schemas.openxmlformats.org/spreadsheetml/2006/main" headerRowCount="0" ref="B128:D133" displayName="Table_175" name="Table_175" id="175">
  <tableColumns count="3">
    <tableColumn name="Column1" id="1"/>
    <tableColumn name="Column2" id="2"/>
    <tableColumn name="Column3" id="3"/>
  </tableColumns>
  <tableStyleInfo name="G3-style 100" showColumnStripes="0" showFirstColumn="1" showLastColumn="1" showRowStripes="1"/>
</table>
</file>

<file path=xl/tables/table176.xml><?xml version="1.0" encoding="utf-8"?>
<table xmlns="http://schemas.openxmlformats.org/spreadsheetml/2006/main" headerRowCount="0" ref="B135:C137" displayName="Table_176" name="Table_176" id="176">
  <tableColumns count="2">
    <tableColumn name="Column1" id="1"/>
    <tableColumn name="Column2" id="2"/>
  </tableColumns>
  <tableStyleInfo name="G3-style 101" showColumnStripes="0" showFirstColumn="1" showLastColumn="1" showRowStripes="1"/>
</table>
</file>

<file path=xl/tables/table177.xml><?xml version="1.0" encoding="utf-8"?>
<table xmlns="http://schemas.openxmlformats.org/spreadsheetml/2006/main" headerRowCount="0" ref="G136:K142" displayName="Table_177" name="Table_177" id="177">
  <tableColumns count="5">
    <tableColumn name="Column1" id="1"/>
    <tableColumn name="Column2" id="2"/>
    <tableColumn name="Column3" id="3"/>
    <tableColumn name="Column4" id="4"/>
    <tableColumn name="Column5" id="5"/>
  </tableColumns>
  <tableStyleInfo name="G3-style 102" showColumnStripes="0" showFirstColumn="1" showLastColumn="1" showRowStripes="1"/>
</table>
</file>

<file path=xl/tables/table178.xml><?xml version="1.0" encoding="utf-8"?>
<table xmlns="http://schemas.openxmlformats.org/spreadsheetml/2006/main" headerRowCount="0" ref="L136:M142" displayName="Table_178" name="Table_178" id="178">
  <tableColumns count="2">
    <tableColumn name="Column1" id="1"/>
    <tableColumn name="Column2" id="2"/>
  </tableColumns>
  <tableStyleInfo name="G3-style 103" showColumnStripes="0" showFirstColumn="1" showLastColumn="1" showRowStripes="1"/>
</table>
</file>

<file path=xl/tables/table179.xml><?xml version="1.0" encoding="utf-8"?>
<table xmlns="http://schemas.openxmlformats.org/spreadsheetml/2006/main" headerRowCount="0" ref="B138:C139" displayName="Table_179" name="Table_179" id="179">
  <tableColumns count="2">
    <tableColumn name="Column1" id="1"/>
    <tableColumn name="Column2" id="2"/>
  </tableColumns>
  <tableStyleInfo name="G3-style 104" showColumnStripes="0" showFirstColumn="1" showLastColumn="1" showRowStripes="1"/>
</table>
</file>

<file path=xl/tables/table180.xml><?xml version="1.0" encoding="utf-8"?>
<table xmlns="http://schemas.openxmlformats.org/spreadsheetml/2006/main" headerRowCount="0" ref="B140:D140" displayName="Table_180" name="Table_180" id="180">
  <tableColumns count="3">
    <tableColumn name="Column1" id="1"/>
    <tableColumn name="Column2" id="2"/>
    <tableColumn name="Column3" id="3"/>
  </tableColumns>
  <tableStyleInfo name="G3-style 105" showColumnStripes="0" showFirstColumn="1" showLastColumn="1" showRowStripes="1"/>
</table>
</file>

<file path=xl/tables/table181.xml><?xml version="1.0" encoding="utf-8"?>
<table xmlns="http://schemas.openxmlformats.org/spreadsheetml/2006/main" headerRowCount="0" ref="B141:C141" displayName="Table_181" name="Table_181" id="181">
  <tableColumns count="2">
    <tableColumn name="Column1" id="1"/>
    <tableColumn name="Column2" id="2"/>
  </tableColumns>
  <tableStyleInfo name="G3-style 106" showColumnStripes="0" showFirstColumn="1" showLastColumn="1" showRowStripes="1"/>
</table>
</file>

<file path=xl/tables/table182.xml><?xml version="1.0" encoding="utf-8"?>
<table xmlns="http://schemas.openxmlformats.org/spreadsheetml/2006/main" headerRowCount="0" ref="B142:C142" displayName="Table_182" name="Table_182" id="182">
  <tableColumns count="2">
    <tableColumn name="Column1" id="1"/>
    <tableColumn name="Column2" id="2"/>
  </tableColumns>
  <tableStyleInfo name="G3-style 107" showColumnStripes="0" showFirstColumn="1" showLastColumn="1" showRowStripes="1"/>
</table>
</file>

<file path=xl/tables/table183.xml><?xml version="1.0" encoding="utf-8"?>
<table xmlns="http://schemas.openxmlformats.org/spreadsheetml/2006/main" headerRowCount="0" ref="B145:C147" displayName="Table_183" name="Table_183" id="183">
  <tableColumns count="2">
    <tableColumn name="Column1" id="1"/>
    <tableColumn name="Column2" id="2"/>
  </tableColumns>
  <tableStyleInfo name="G3-style 108" showColumnStripes="0" showFirstColumn="1" showLastColumn="1" showRowStripes="1"/>
</table>
</file>

<file path=xl/tables/table184.xml><?xml version="1.0" encoding="utf-8"?>
<table xmlns="http://schemas.openxmlformats.org/spreadsheetml/2006/main" headerRowCount="0" ref="G146:K1163" displayName="Table_184" name="Table_184" id="184">
  <tableColumns count="5">
    <tableColumn name="Column1" id="1"/>
    <tableColumn name="Column2" id="2"/>
    <tableColumn name="Column3" id="3"/>
    <tableColumn name="Column4" id="4"/>
    <tableColumn name="Column5" id="5"/>
  </tableColumns>
  <tableStyleInfo name="G3-style 109" showColumnStripes="0" showFirstColumn="1" showLastColumn="1" showRowStripes="1"/>
</table>
</file>

<file path=xl/tables/table185.xml><?xml version="1.0" encoding="utf-8"?>
<table xmlns="http://schemas.openxmlformats.org/spreadsheetml/2006/main" headerRowCount="0" ref="B148:D149" displayName="Table_185" name="Table_185" id="185">
  <tableColumns count="3">
    <tableColumn name="Column1" id="1"/>
    <tableColumn name="Column2" id="2"/>
    <tableColumn name="Column3" id="3"/>
  </tableColumns>
  <tableStyleInfo name="G3-style 110" showColumnStripes="0" showFirstColumn="1" showLastColumn="1" showRowStripes="1"/>
</table>
</file>

<file path=xl/tables/table186.xml><?xml version="1.0" encoding="utf-8"?>
<table xmlns="http://schemas.openxmlformats.org/spreadsheetml/2006/main" headerRowCount="0" ref="B150:C150" displayName="Table_186" name="Table_186" id="186">
  <tableColumns count="2">
    <tableColumn name="Column1" id="1"/>
    <tableColumn name="Column2" id="2"/>
  </tableColumns>
  <tableStyleInfo name="G3-style 111" showColumnStripes="0" showFirstColumn="1" showLastColumn="1" showRowStripes="1"/>
</table>
</file>

<file path=xl/tables/table187.xml><?xml version="1.0" encoding="utf-8"?>
<table xmlns="http://schemas.openxmlformats.org/spreadsheetml/2006/main" headerRowCount="0" ref="B151:C151" displayName="Table_187" name="Table_187" id="187">
  <tableColumns count="2">
    <tableColumn name="Column1" id="1"/>
    <tableColumn name="Column2" id="2"/>
  </tableColumns>
  <tableStyleInfo name="G3-style 112" showColumnStripes="0" showFirstColumn="1" showLastColumn="1" showRowStripes="1"/>
</table>
</file>

<file path=xl/tables/table188.xml><?xml version="1.0" encoding="utf-8"?>
<table xmlns="http://schemas.openxmlformats.org/spreadsheetml/2006/main" headerRowCount="0" ref="B152:B1163" displayName="Table_188" name="Table_188" id="188">
  <tableColumns count="1">
    <tableColumn name="Column1" id="1"/>
  </tableColumns>
  <tableStyleInfo name="G3-style 113" showColumnStripes="0" showFirstColumn="1" showLastColumn="1" showRowStripes="1"/>
</table>
</file>

<file path=xl/tables/table189.xml><?xml version="1.0" encoding="utf-8"?>
<table xmlns="http://schemas.openxmlformats.org/spreadsheetml/2006/main" headerRowCount="0" ref="C152:D1163" displayName="Table_189" name="Table_189" id="189">
  <tableColumns count="2">
    <tableColumn name="Column1" id="1"/>
    <tableColumn name="Column2" id="2"/>
  </tableColumns>
  <tableStyleInfo name="G3-style 114" showColumnStripes="0" showFirstColumn="1" showLastColumn="1" showRowStripes="1"/>
</table>
</file>

<file path=xl/tables/table190.xml><?xml version="1.0" encoding="utf-8"?>
<table xmlns="http://schemas.openxmlformats.org/spreadsheetml/2006/main" headerRowCount="0" ref="B2:B26" displayName="Table_190" name="Table_190" id="190">
  <tableColumns count="1">
    <tableColumn name="Column1" id="1"/>
  </tableColumns>
  <tableStyleInfo name="G5-style" showColumnStripes="0" showFirstColumn="1" showLastColumn="1" showRowStripes="1"/>
</table>
</file>

<file path=xl/tables/table191.xml><?xml version="1.0" encoding="utf-8"?>
<table xmlns="http://schemas.openxmlformats.org/spreadsheetml/2006/main" headerRowCount="0" ref="C2:W26" displayName="Table_191" name="Table_191" id="191">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G5-style 2" showColumnStripes="0" showFirstColumn="1" showLastColumn="1" showRowStripes="1"/>
</table>
</file>

<file path=xl/tables/table192.xml><?xml version="1.0" encoding="utf-8"?>
<table xmlns="http://schemas.openxmlformats.org/spreadsheetml/2006/main" headerRowCount="0" ref="R27:W27" displayName="Table_192" name="Table_192" id="192">
  <tableColumns count="6">
    <tableColumn name="Column1" id="1"/>
    <tableColumn name="Column2" id="2"/>
    <tableColumn name="Column3" id="3"/>
    <tableColumn name="Column4" id="4"/>
    <tableColumn name="Column5" id="5"/>
    <tableColumn name="Column6" id="6"/>
  </tableColumns>
  <tableStyleInfo name="G5-style 3" showColumnStripes="0" showFirstColumn="1" showLastColumn="1" showRowStripes="1"/>
</table>
</file>

<file path=xl/tables/table193.xml><?xml version="1.0" encoding="utf-8"?>
<table xmlns="http://schemas.openxmlformats.org/spreadsheetml/2006/main" headerRowCount="0" ref="R28:W35" displayName="Table_193" name="Table_193" id="193">
  <tableColumns count="6">
    <tableColumn name="Column1" id="1"/>
    <tableColumn name="Column2" id="2"/>
    <tableColumn name="Column3" id="3"/>
    <tableColumn name="Column4" id="4"/>
    <tableColumn name="Column5" id="5"/>
    <tableColumn name="Column6" id="6"/>
  </tableColumns>
  <tableStyleInfo name="G5-style 4" showColumnStripes="0" showFirstColumn="1" showLastColumn="1" showRowStripes="1"/>
</table>
</file>

<file path=xl/tables/table194.xml><?xml version="1.0" encoding="utf-8"?>
<table xmlns="http://schemas.openxmlformats.org/spreadsheetml/2006/main" headerRowCount="0" ref="B31" displayName="Table_194" name="Table_194" id="194">
  <tableColumns count="1">
    <tableColumn name="Column1" id="1"/>
  </tableColumns>
  <tableStyleInfo name="G5-style 5" showColumnStripes="0" showFirstColumn="1" showLastColumn="1" showRowStripes="1"/>
</table>
</file>

<file path=xl/tables/table195.xml><?xml version="1.0" encoding="utf-8"?>
<table xmlns="http://schemas.openxmlformats.org/spreadsheetml/2006/main" headerRowCount="0" ref="C31:J31" displayName="Table_195" name="Table_195" id="195">
  <tableColumns count="8">
    <tableColumn name="Column1" id="1"/>
    <tableColumn name="Column2" id="2"/>
    <tableColumn name="Column3" id="3"/>
    <tableColumn name="Column4" id="4"/>
    <tableColumn name="Column5" id="5"/>
    <tableColumn name="Column6" id="6"/>
    <tableColumn name="Column7" id="7"/>
    <tableColumn name="Column8" id="8"/>
  </tableColumns>
  <tableStyleInfo name="G5-style 6" showColumnStripes="0" showFirstColumn="1" showLastColumn="1" showRowStripes="1"/>
</table>
</file>

<file path=xl/tables/table196.xml><?xml version="1.0" encoding="utf-8"?>
<table xmlns="http://schemas.openxmlformats.org/spreadsheetml/2006/main" headerRowCount="0" ref="B32" displayName="Table_196" name="Table_196" id="196">
  <tableColumns count="1">
    <tableColumn name="Column1" id="1"/>
  </tableColumns>
  <tableStyleInfo name="G5-style 7" showColumnStripes="0" showFirstColumn="1" showLastColumn="1" showRowStripes="1"/>
</table>
</file>

<file path=xl/tables/table197.xml><?xml version="1.0" encoding="utf-8"?>
<table xmlns="http://schemas.openxmlformats.org/spreadsheetml/2006/main" headerRowCount="0" ref="C32:J32" displayName="Table_197" name="Table_197" id="197">
  <tableColumns count="8">
    <tableColumn name="Column1" id="1"/>
    <tableColumn name="Column2" id="2"/>
    <tableColumn name="Column3" id="3"/>
    <tableColumn name="Column4" id="4"/>
    <tableColumn name="Column5" id="5"/>
    <tableColumn name="Column6" id="6"/>
    <tableColumn name="Column7" id="7"/>
    <tableColumn name="Column8" id="8"/>
  </tableColumns>
  <tableStyleInfo name="G5-style 8" showColumnStripes="0" showFirstColumn="1" showLastColumn="1" showRowStripes="1"/>
</table>
</file>

<file path=xl/tables/table198.xml><?xml version="1.0" encoding="utf-8"?>
<table xmlns="http://schemas.openxmlformats.org/spreadsheetml/2006/main" headerRowCount="0" ref="B34:B35" displayName="Table_198" name="Table_198" id="198">
  <tableColumns count="1">
    <tableColumn name="Column1" id="1"/>
  </tableColumns>
  <tableStyleInfo name="G5-style 9" showColumnStripes="0" showFirstColumn="1" showLastColumn="1" showRowStripes="1"/>
</table>
</file>

<file path=xl/tables/table199.xml><?xml version="1.0" encoding="utf-8"?>
<table xmlns="http://schemas.openxmlformats.org/spreadsheetml/2006/main" headerRowCount="0" ref="C34:K34" displayName="Table_199" name="Table_199" id="19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G5-style 10" showColumnStripes="0" showFirstColumn="1" showLastColumn="1" showRowStripes="1"/>
</table>
</file>

<file path=xl/tables/table200.xml><?xml version="1.0" encoding="utf-8"?>
<table xmlns="http://schemas.openxmlformats.org/spreadsheetml/2006/main" headerRowCount="0" ref="C35:L35" displayName="Table_200" name="Table_200" id="20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G5-style 11" showColumnStripes="0" showFirstColumn="1" showLastColumn="1" showRowStripes="1"/>
</table>
</file>

<file path=xl/tables/table201.xml><?xml version="1.0" encoding="utf-8"?>
<table xmlns="http://schemas.openxmlformats.org/spreadsheetml/2006/main" headerRowCount="0" ref="L82:L87" displayName="Table_201" name="Table_201" id="201">
  <tableColumns count="1">
    <tableColumn name="Column1" id="1"/>
  </tableColumns>
  <tableStyleInfo name="G5-style 12" showColumnStripes="0" showFirstColumn="1" showLastColumn="1" showRowStripes="1"/>
</table>
</file>

<file path=xl/tables/table202.xml><?xml version="1.0" encoding="utf-8"?>
<table xmlns="http://schemas.openxmlformats.org/spreadsheetml/2006/main" headerRowCount="0" ref="C2:M10" displayName="Table_202" name="Table_202" id="20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G4-style" showColumnStripes="0" showFirstColumn="1" showLastColumn="1" showRowStripes="1"/>
</table>
</file>

<file path=xl/tables/table203.xml><?xml version="1.0" encoding="utf-8"?>
<table xmlns="http://schemas.openxmlformats.org/spreadsheetml/2006/main" headerRowCount="0" ref="I11:R12" displayName="Table_203" name="Table_203" id="20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G4-style 2" showColumnStripes="0" showFirstColumn="1" showLastColumn="1" showRowStripes="1"/>
</table>
</file>

<file path=xl/tables/table204.xml><?xml version="1.0" encoding="utf-8"?>
<table xmlns="http://schemas.openxmlformats.org/spreadsheetml/2006/main" headerRowCount="0" ref="B12" displayName="Table_204" name="Table_204" id="204">
  <tableColumns count="1">
    <tableColumn name="Column1" id="1"/>
  </tableColumns>
  <tableStyleInfo name="G4-style 3" showColumnStripes="0" showFirstColumn="1" showLastColumn="1" showRowStripes="1"/>
</table>
</file>

<file path=xl/tables/table205.xml><?xml version="1.0" encoding="utf-8"?>
<table xmlns="http://schemas.openxmlformats.org/spreadsheetml/2006/main" headerRowCount="0" ref="B13" displayName="Table_205" name="Table_205" id="205">
  <tableColumns count="1">
    <tableColumn name="Column1" id="1"/>
  </tableColumns>
  <tableStyleInfo name="G4-style 4" showColumnStripes="0" showFirstColumn="1" showLastColumn="1" showRowStripes="1"/>
</table>
</file>

<file path=xl/tables/table206.xml><?xml version="1.0" encoding="utf-8"?>
<table xmlns="http://schemas.openxmlformats.org/spreadsheetml/2006/main" headerRowCount="0" ref="C13:R17" displayName="Table_206" name="Table_206" id="20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G4-style 5" showColumnStripes="0" showFirstColumn="1" showLastColumn="1" showRowStripes="1"/>
</table>
</file>

<file path=xl/tables/table207.xml><?xml version="1.0" encoding="utf-8"?>
<table xmlns="http://schemas.openxmlformats.org/spreadsheetml/2006/main" headerRowCount="0" ref="B14" displayName="Table_207" name="Table_207" id="207">
  <tableColumns count="1">
    <tableColumn name="Column1" id="1"/>
  </tableColumns>
  <tableStyleInfo name="G4-style 6" showColumnStripes="0" showFirstColumn="1" showLastColumn="1" showRowStripes="1"/>
</table>
</file>

<file path=xl/tables/table208.xml><?xml version="1.0" encoding="utf-8"?>
<table xmlns="http://schemas.openxmlformats.org/spreadsheetml/2006/main" headerRowCount="0" ref="B15" displayName="Table_208" name="Table_208" id="208">
  <tableColumns count="1">
    <tableColumn name="Column1" id="1"/>
  </tableColumns>
  <tableStyleInfo name="G4-style 7" showColumnStripes="0" showFirstColumn="1" showLastColumn="1" showRowStripes="1"/>
</table>
</file>

<file path=xl/tables/table209.xml><?xml version="1.0" encoding="utf-8"?>
<table xmlns="http://schemas.openxmlformats.org/spreadsheetml/2006/main" headerRowCount="0" ref="C18:R25" displayName="Table_209" name="Table_209" id="20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G4-style 8" showColumnStripes="0" showFirstColumn="1" showLastColumn="1" showRowStripes="1"/>
</table>
</file>

<file path=xl/tables/table210.xml><?xml version="1.0" encoding="utf-8"?>
<table xmlns="http://schemas.openxmlformats.org/spreadsheetml/2006/main" headerRowCount="0" ref="B20" displayName="Table_210" name="Table_210" id="210">
  <tableColumns count="1">
    <tableColumn name="Column1" id="1"/>
  </tableColumns>
  <tableStyleInfo name="G4-style 9" showColumnStripes="0" showFirstColumn="1" showLastColumn="1" showRowStripes="1"/>
</table>
</file>

<file path=xl/tables/table211.xml><?xml version="1.0" encoding="utf-8"?>
<table xmlns="http://schemas.openxmlformats.org/spreadsheetml/2006/main" headerRowCount="0" ref="B21" displayName="Table_211" name="Table_211" id="211">
  <tableColumns count="1">
    <tableColumn name="Column1" id="1"/>
  </tableColumns>
  <tableStyleInfo name="G4-style 10" showColumnStripes="0" showFirstColumn="1" showLastColumn="1" showRowStripes="1"/>
</table>
</file>

<file path=xl/tables/table212.xml><?xml version="1.0" encoding="utf-8"?>
<table xmlns="http://schemas.openxmlformats.org/spreadsheetml/2006/main" headerRowCount="0" ref="B22" displayName="Table_212" name="Table_212" id="212">
  <tableColumns count="1">
    <tableColumn name="Column1" id="1"/>
  </tableColumns>
  <tableStyleInfo name="G4-style 11" showColumnStripes="0" showFirstColumn="1" showLastColumn="1" showRowStripes="1"/>
</table>
</file>

<file path=xl/tables/table213.xml><?xml version="1.0" encoding="utf-8"?>
<table xmlns="http://schemas.openxmlformats.org/spreadsheetml/2006/main" headerRowCount="0" ref="B23" displayName="Table_213" name="Table_213" id="213">
  <tableColumns count="1">
    <tableColumn name="Column1" id="1"/>
  </tableColumns>
  <tableStyleInfo name="G4-style 12" showColumnStripes="0" showFirstColumn="1" showLastColumn="1" showRowStripes="1"/>
</table>
</file>

<file path=xl/tables/table214.xml><?xml version="1.0" encoding="utf-8"?>
<table xmlns="http://schemas.openxmlformats.org/spreadsheetml/2006/main" headerRowCount="0" ref="B24" displayName="Table_214" name="Table_214" id="214">
  <tableColumns count="1">
    <tableColumn name="Column1" id="1"/>
  </tableColumns>
  <tableStyleInfo name="G4-style 13" showColumnStripes="0" showFirstColumn="1" showLastColumn="1" showRowStripes="1"/>
</table>
</file>

<file path=xl/tables/table215.xml><?xml version="1.0" encoding="utf-8"?>
<table xmlns="http://schemas.openxmlformats.org/spreadsheetml/2006/main" headerRowCount="0" ref="B25" displayName="Table_215" name="Table_215" id="215">
  <tableColumns count="1">
    <tableColumn name="Column1" id="1"/>
  </tableColumns>
  <tableStyleInfo name="G4-style 14" showColumnStripes="0" showFirstColumn="1" showLastColumn="1" showRowStripes="1"/>
</table>
</file>

<file path=xl/tables/table216.xml><?xml version="1.0" encoding="utf-8"?>
<table xmlns="http://schemas.openxmlformats.org/spreadsheetml/2006/main" headerRowCount="0" ref="C26:R27" displayName="Table_216" name="Table_216" id="2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G4-style 15" showColumnStripes="0" showFirstColumn="1" showLastColumn="1" showRowStripes="1"/>
</table>
</file>

<file path=xl/tables/table217.xml><?xml version="1.0" encoding="utf-8"?>
<table xmlns="http://schemas.openxmlformats.org/spreadsheetml/2006/main" headerRowCount="0" ref="C28:R30" displayName="Table_217" name="Table_217" id="2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G4-style 16" showColumnStripes="0" showFirstColumn="1" showLastColumn="1" showRowStripes="1"/>
</table>
</file>

<file path=xl/tables/table218.xml><?xml version="1.0" encoding="utf-8"?>
<table xmlns="http://schemas.openxmlformats.org/spreadsheetml/2006/main" headerRowCount="0" ref="B29" displayName="Table_218" name="Table_218" id="218">
  <tableColumns count="1">
    <tableColumn name="Column1" id="1"/>
  </tableColumns>
  <tableStyleInfo name="G4-style 17" showColumnStripes="0" showFirstColumn="1" showLastColumn="1" showRowStripes="1"/>
</table>
</file>

<file path=xl/tables/table219.xml><?xml version="1.0" encoding="utf-8"?>
<table xmlns="http://schemas.openxmlformats.org/spreadsheetml/2006/main" headerRowCount="0" ref="B30" displayName="Table_219" name="Table_219" id="219">
  <tableColumns count="1">
    <tableColumn name="Column1" id="1"/>
  </tableColumns>
  <tableStyleInfo name="G4-style 18" showColumnStripes="0" showFirstColumn="1" showLastColumn="1" showRowStripes="1"/>
</table>
</file>

<file path=xl/tables/table220.xml><?xml version="1.0" encoding="utf-8"?>
<table xmlns="http://schemas.openxmlformats.org/spreadsheetml/2006/main" headerRowCount="0" ref="B31" displayName="Table_220" name="Table_220" id="220">
  <tableColumns count="1">
    <tableColumn name="Column1" id="1"/>
  </tableColumns>
  <tableStyleInfo name="G4-style 19" showColumnStripes="0" showFirstColumn="1" showLastColumn="1" showRowStripes="1"/>
</table>
</file>

<file path=xl/tables/table221.xml><?xml version="1.0" encoding="utf-8"?>
<table xmlns="http://schemas.openxmlformats.org/spreadsheetml/2006/main" headerRowCount="0" ref="C31:R37" displayName="Table_221" name="Table_221" id="2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G4-style 20" showColumnStripes="0" showFirstColumn="1" showLastColumn="1" showRowStripes="1"/>
</table>
</file>

<file path=xl/tables/table222.xml><?xml version="1.0" encoding="utf-8"?>
<table xmlns="http://schemas.openxmlformats.org/spreadsheetml/2006/main" headerRowCount="0" ref="B32" displayName="Table_222" name="Table_222" id="222">
  <tableColumns count="1">
    <tableColumn name="Column1" id="1"/>
  </tableColumns>
  <tableStyleInfo name="G4-style 21" showColumnStripes="0" showFirstColumn="1" showLastColumn="1" showRowStripes="1"/>
</table>
</file>

<file path=xl/tables/table223.xml><?xml version="1.0" encoding="utf-8"?>
<table xmlns="http://schemas.openxmlformats.org/spreadsheetml/2006/main" headerRowCount="0" ref="B33" displayName="Table_223" name="Table_223" id="223">
  <tableColumns count="1">
    <tableColumn name="Column1" id="1"/>
  </tableColumns>
  <tableStyleInfo name="G4-style 22" showColumnStripes="0" showFirstColumn="1" showLastColumn="1" showRowStripes="1"/>
</table>
</file>

<file path=xl/tables/table224.xml><?xml version="1.0" encoding="utf-8"?>
<table xmlns="http://schemas.openxmlformats.org/spreadsheetml/2006/main" headerRowCount="0" ref="B34" displayName="Table_224" name="Table_224" id="224">
  <tableColumns count="1">
    <tableColumn name="Column1" id="1"/>
  </tableColumns>
  <tableStyleInfo name="G4-style 23" showColumnStripes="0" showFirstColumn="1" showLastColumn="1" showRowStripes="1"/>
</table>
</file>

<file path=xl/tables/table225.xml><?xml version="1.0" encoding="utf-8"?>
<table xmlns="http://schemas.openxmlformats.org/spreadsheetml/2006/main" headerRowCount="0" ref="B35" displayName="Table_225" name="Table_225" id="225">
  <tableColumns count="1">
    <tableColumn name="Column1" id="1"/>
  </tableColumns>
  <tableStyleInfo name="G4-style 24" showColumnStripes="0" showFirstColumn="1" showLastColumn="1" showRowStripes="1"/>
</table>
</file>

<file path=xl/tables/table226.xml><?xml version="1.0" encoding="utf-8"?>
<table xmlns="http://schemas.openxmlformats.org/spreadsheetml/2006/main" headerRowCount="0" ref="C38:T47" displayName="Table_226" name="Table_226" id="226">
  <tableColumns count="1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s>
  <tableStyleInfo name="G4-style 25" showColumnStripes="0" showFirstColumn="1" showLastColumn="1" showRowStripes="1"/>
</table>
</file>

<file path=xl/tables/table227.xml><?xml version="1.0" encoding="utf-8"?>
<table xmlns="http://schemas.openxmlformats.org/spreadsheetml/2006/main" headerRowCount="0" ref="B40" displayName="Table_227" name="Table_227" id="227">
  <tableColumns count="1">
    <tableColumn name="Column1" id="1"/>
  </tableColumns>
  <tableStyleInfo name="G4-style 26" showColumnStripes="0" showFirstColumn="1" showLastColumn="1" showRowStripes="1"/>
</table>
</file>

<file path=xl/tables/table228.xml><?xml version="1.0" encoding="utf-8"?>
<table xmlns="http://schemas.openxmlformats.org/spreadsheetml/2006/main" headerRowCount="0" ref="B41" displayName="Table_228" name="Table_228" id="228">
  <tableColumns count="1">
    <tableColumn name="Column1" id="1"/>
  </tableColumns>
  <tableStyleInfo name="G4-style 27" showColumnStripes="0" showFirstColumn="1" showLastColumn="1" showRowStripes="1"/>
</table>
</file>

<file path=xl/tables/table229.xml><?xml version="1.0" encoding="utf-8"?>
<table xmlns="http://schemas.openxmlformats.org/spreadsheetml/2006/main" headerRowCount="0" ref="B42" displayName="Table_229" name="Table_229" id="229">
  <tableColumns count="1">
    <tableColumn name="Column1" id="1"/>
  </tableColumns>
  <tableStyleInfo name="G4-style 28" showColumnStripes="0" showFirstColumn="1" showLastColumn="1" showRowStripes="1"/>
</table>
</file>

<file path=xl/tables/table230.xml><?xml version="1.0" encoding="utf-8"?>
<table xmlns="http://schemas.openxmlformats.org/spreadsheetml/2006/main" headerRowCount="0" ref="B43" displayName="Table_230" name="Table_230" id="230">
  <tableColumns count="1">
    <tableColumn name="Column1" id="1"/>
  </tableColumns>
  <tableStyleInfo name="G4-style 29" showColumnStripes="0" showFirstColumn="1" showLastColumn="1" showRowStripes="1"/>
</table>
</file>

<file path=xl/tables/table231.xml><?xml version="1.0" encoding="utf-8"?>
<table xmlns="http://schemas.openxmlformats.org/spreadsheetml/2006/main" headerRowCount="0" ref="B44" displayName="Table_231" name="Table_231" id="231">
  <tableColumns count="1">
    <tableColumn name="Column1" id="1"/>
  </tableColumns>
  <tableStyleInfo name="G4-style 30" showColumnStripes="0" showFirstColumn="1" showLastColumn="1" showRowStripes="1"/>
</table>
</file>

<file path=xl/tables/table232.xml><?xml version="1.0" encoding="utf-8"?>
<table xmlns="http://schemas.openxmlformats.org/spreadsheetml/2006/main" headerRowCount="0" ref="B45" displayName="Table_232" name="Table_232" id="232">
  <tableColumns count="1">
    <tableColumn name="Column1" id="1"/>
  </tableColumns>
  <tableStyleInfo name="G4-style 31" showColumnStripes="0" showFirstColumn="1" showLastColumn="1" showRowStripes="1"/>
</table>
</file>

<file path=xl/tables/table233.xml><?xml version="1.0" encoding="utf-8"?>
<table xmlns="http://schemas.openxmlformats.org/spreadsheetml/2006/main" headerRowCount="0" ref="C48:R50" displayName="Table_233" name="Table_233" id="23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G4-style 32" showColumnStripes="0" showFirstColumn="1" showLastColumn="1" showRowStripes="1"/>
</table>
</file>

<file path=xl/tables/table234.xml><?xml version="1.0" encoding="utf-8"?>
<table xmlns="http://schemas.openxmlformats.org/spreadsheetml/2006/main" headerRowCount="0" ref="C51:R55" displayName="Table_234" name="Table_234" id="23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G4-style 33" showColumnStripes="0" showFirstColumn="1" showLastColumn="1" showRowStripes="1"/>
</table>
</file>

<file path=xl/tables/table235.xml><?xml version="1.0" encoding="utf-8"?>
<table xmlns="http://schemas.openxmlformats.org/spreadsheetml/2006/main" headerRowCount="0" ref="C56:T136" displayName="Table_235" name="Table_235" id="235">
  <tableColumns count="1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s>
  <tableStyleInfo name="G4-style 34" showColumnStripes="0" showFirstColumn="1" showLastColumn="1" showRowStripes="1"/>
</table>
</file>

<file path=xl/tables/table236.xml><?xml version="1.0" encoding="utf-8"?>
<table xmlns="http://schemas.openxmlformats.org/spreadsheetml/2006/main" headerRowCount="0" ref="B63" displayName="Table_236" name="Table_236" id="236">
  <tableColumns count="1">
    <tableColumn name="Column1" id="1"/>
  </tableColumns>
  <tableStyleInfo name="G4-style 35" showColumnStripes="0" showFirstColumn="1" showLastColumn="1" showRowStripes="1"/>
</table>
</file>

<file path=xl/tables/table237.xml><?xml version="1.0" encoding="utf-8"?>
<table xmlns="http://schemas.openxmlformats.org/spreadsheetml/2006/main" headerRowCount="0" ref="B64:B65" displayName="Table_237" name="Table_237" id="237">
  <tableColumns count="1">
    <tableColumn name="Column1" id="1"/>
  </tableColumns>
  <tableStyleInfo name="G4-style 36" showColumnStripes="0" showFirstColumn="1" showLastColumn="1" showRowStripes="1"/>
</table>
</file>

<file path=xl/tables/table238.xml><?xml version="1.0" encoding="utf-8"?>
<table xmlns="http://schemas.openxmlformats.org/spreadsheetml/2006/main" headerRowCount="0" ref="B68:B75" displayName="Table_238" name="Table_238" id="238">
  <tableColumns count="1">
    <tableColumn name="Column1" id="1"/>
  </tableColumns>
  <tableStyleInfo name="G4-style 37" showColumnStripes="0" showFirstColumn="1" showLastColumn="1" showRowStripes="1"/>
</table>
</file>

<file path=xl/tables/table239.xml><?xml version="1.0" encoding="utf-8"?>
<table xmlns="http://schemas.openxmlformats.org/spreadsheetml/2006/main" headerRowCount="0" ref="B78" displayName="Table_239" name="Table_239" id="239">
  <tableColumns count="1">
    <tableColumn name="Column1" id="1"/>
  </tableColumns>
  <tableStyleInfo name="G4-style 38" showColumnStripes="0" showFirstColumn="1" showLastColumn="1" showRowStripes="1"/>
</table>
</file>

<file path=xl/tables/table240.xml><?xml version="1.0" encoding="utf-8"?>
<table xmlns="http://schemas.openxmlformats.org/spreadsheetml/2006/main" headerRowCount="0" ref="B79" displayName="Table_240" name="Table_240" id="240">
  <tableColumns count="1">
    <tableColumn name="Column1" id="1"/>
  </tableColumns>
  <tableStyleInfo name="G4-style 39" showColumnStripes="0" showFirstColumn="1" showLastColumn="1" showRowStripes="1"/>
</table>
</file>

<file path=xl/tables/table241.xml><?xml version="1.0" encoding="utf-8"?>
<table xmlns="http://schemas.openxmlformats.org/spreadsheetml/2006/main" headerRowCount="0" ref="B80" displayName="Table_241" name="Table_241" id="241">
  <tableColumns count="1">
    <tableColumn name="Column1" id="1"/>
  </tableColumns>
  <tableStyleInfo name="G4-style 40" showColumnStripes="0" showFirstColumn="1" showLastColumn="1" showRowStripes="1"/>
</table>
</file>

<file path=xl/tables/table242.xml><?xml version="1.0" encoding="utf-8"?>
<table xmlns="http://schemas.openxmlformats.org/spreadsheetml/2006/main" headerRowCount="0" ref="B81" displayName="Table_242" name="Table_242" id="242">
  <tableColumns count="1">
    <tableColumn name="Column1" id="1"/>
  </tableColumns>
  <tableStyleInfo name="G4-style 41" showColumnStripes="0" showFirstColumn="1" showLastColumn="1" showRowStripes="1"/>
</table>
</file>

<file path=xl/tables/table243.xml><?xml version="1.0" encoding="utf-8"?>
<table xmlns="http://schemas.openxmlformats.org/spreadsheetml/2006/main" headerRowCount="0" ref="B82" displayName="Table_243" name="Table_243" id="243">
  <tableColumns count="1">
    <tableColumn name="Column1" id="1"/>
  </tableColumns>
  <tableStyleInfo name="G4-style 42" showColumnStripes="0" showFirstColumn="1" showLastColumn="1" showRowStripes="1"/>
</table>
</file>

<file path=xl/tables/table244.xml><?xml version="1.0" encoding="utf-8"?>
<table xmlns="http://schemas.openxmlformats.org/spreadsheetml/2006/main" headerRowCount="0" ref="B83" displayName="Table_244" name="Table_244" id="244">
  <tableColumns count="1">
    <tableColumn name="Column1" id="1"/>
  </tableColumns>
  <tableStyleInfo name="G4-style 43" showColumnStripes="0" showFirstColumn="1" showLastColumn="1" showRowStripes="1"/>
</table>
</file>

<file path=xl/tables/table245.xml><?xml version="1.0" encoding="utf-8"?>
<table xmlns="http://schemas.openxmlformats.org/spreadsheetml/2006/main" headerRowCount="0" ref="B84" displayName="Table_245" name="Table_245" id="245">
  <tableColumns count="1">
    <tableColumn name="Column1" id="1"/>
  </tableColumns>
  <tableStyleInfo name="G4-style 44" showColumnStripes="0" showFirstColumn="1" showLastColumn="1" showRowStripes="1"/>
</table>
</file>

<file path=xl/tables/table246.xml><?xml version="1.0" encoding="utf-8"?>
<table xmlns="http://schemas.openxmlformats.org/spreadsheetml/2006/main" headerRowCount="0" ref="B85" displayName="Table_246" name="Table_246" id="246">
  <tableColumns count="1">
    <tableColumn name="Column1" id="1"/>
  </tableColumns>
  <tableStyleInfo name="G4-style 45" showColumnStripes="0" showFirstColumn="1" showLastColumn="1" showRowStripes="1"/>
</table>
</file>

<file path=xl/tables/table247.xml><?xml version="1.0" encoding="utf-8"?>
<table xmlns="http://schemas.openxmlformats.org/spreadsheetml/2006/main" headerRowCount="0" ref="B89" displayName="Table_247" name="Table_247" id="247">
  <tableColumns count="1">
    <tableColumn name="Column1" id="1"/>
  </tableColumns>
  <tableStyleInfo name="G4-style 46" showColumnStripes="0" showFirstColumn="1" showLastColumn="1" showRowStripes="1"/>
</table>
</file>

<file path=xl/tables/table248.xml><?xml version="1.0" encoding="utf-8"?>
<table xmlns="http://schemas.openxmlformats.org/spreadsheetml/2006/main" headerRowCount="0" ref="B90" displayName="Table_248" name="Table_248" id="248">
  <tableColumns count="1">
    <tableColumn name="Column1" id="1"/>
  </tableColumns>
  <tableStyleInfo name="G4-style 47" showColumnStripes="0" showFirstColumn="1" showLastColumn="1" showRowStripes="1"/>
</table>
</file>

<file path=xl/tables/table249.xml><?xml version="1.0" encoding="utf-8"?>
<table xmlns="http://schemas.openxmlformats.org/spreadsheetml/2006/main" headerRowCount="0" ref="B91" displayName="Table_249" name="Table_249" id="249">
  <tableColumns count="1">
    <tableColumn name="Column1" id="1"/>
  </tableColumns>
  <tableStyleInfo name="G4-style 48" showColumnStripes="0" showFirstColumn="1" showLastColumn="1" showRowStripes="1"/>
</table>
</file>

<file path=xl/tables/table250.xml><?xml version="1.0" encoding="utf-8"?>
<table xmlns="http://schemas.openxmlformats.org/spreadsheetml/2006/main" headerRowCount="0" ref="B92" displayName="Table_250" name="Table_250" id="250">
  <tableColumns count="1">
    <tableColumn name="Column1" id="1"/>
  </tableColumns>
  <tableStyleInfo name="G4-style 49" showColumnStripes="0" showFirstColumn="1" showLastColumn="1" showRowStripes="1"/>
</table>
</file>

<file path=xl/tables/table251.xml><?xml version="1.0" encoding="utf-8"?>
<table xmlns="http://schemas.openxmlformats.org/spreadsheetml/2006/main" headerRowCount="0" ref="B93" displayName="Table_251" name="Table_251" id="251">
  <tableColumns count="1">
    <tableColumn name="Column1" id="1"/>
  </tableColumns>
  <tableStyleInfo name="G4-style 50" showColumnStripes="0" showFirstColumn="1" showLastColumn="1" showRowStripes="1"/>
</table>
</file>

<file path=xl/tables/table252.xml><?xml version="1.0" encoding="utf-8"?>
<table xmlns="http://schemas.openxmlformats.org/spreadsheetml/2006/main" headerRowCount="0" ref="B94" displayName="Table_252" name="Table_252" id="252">
  <tableColumns count="1">
    <tableColumn name="Column1" id="1"/>
  </tableColumns>
  <tableStyleInfo name="G4-style 51" showColumnStripes="0" showFirstColumn="1" showLastColumn="1" showRowStripes="1"/>
</table>
</file>

<file path=xl/tables/table253.xml><?xml version="1.0" encoding="utf-8"?>
<table xmlns="http://schemas.openxmlformats.org/spreadsheetml/2006/main" headerRowCount="0" ref="B95:B96" displayName="Table_253" name="Table_253" id="253">
  <tableColumns count="1">
    <tableColumn name="Column1" id="1"/>
  </tableColumns>
  <tableStyleInfo name="G4-style 52" showColumnStripes="0" showFirstColumn="1" showLastColumn="1" showRowStripes="1"/>
</table>
</file>

<file path=xl/tables/table254.xml><?xml version="1.0" encoding="utf-8"?>
<table xmlns="http://schemas.openxmlformats.org/spreadsheetml/2006/main" headerRowCount="0" ref="B99" displayName="Table_254" name="Table_254" id="254">
  <tableColumns count="1">
    <tableColumn name="Column1" id="1"/>
  </tableColumns>
  <tableStyleInfo name="G4-style 53" showColumnStripes="0" showFirstColumn="1" showLastColumn="1" showRowStripes="1"/>
</table>
</file>

<file path=xl/tables/table255.xml><?xml version="1.0" encoding="utf-8"?>
<table xmlns="http://schemas.openxmlformats.org/spreadsheetml/2006/main" headerRowCount="0" ref="B100" displayName="Table_255" name="Table_255" id="255">
  <tableColumns count="1">
    <tableColumn name="Column1" id="1"/>
  </tableColumns>
  <tableStyleInfo name="G4-style 54" showColumnStripes="0" showFirstColumn="1" showLastColumn="1" showRowStripes="1"/>
</table>
</file>

<file path=xl/tables/table256.xml><?xml version="1.0" encoding="utf-8"?>
<table xmlns="http://schemas.openxmlformats.org/spreadsheetml/2006/main" headerRowCount="0" ref="B101" displayName="Table_256" name="Table_256" id="256">
  <tableColumns count="1">
    <tableColumn name="Column1" id="1"/>
  </tableColumns>
  <tableStyleInfo name="G4-style 55" showColumnStripes="0" showFirstColumn="1" showLastColumn="1" showRowStripes="1"/>
</table>
</file>

<file path=xl/tables/table257.xml><?xml version="1.0" encoding="utf-8"?>
<table xmlns="http://schemas.openxmlformats.org/spreadsheetml/2006/main" headerRowCount="0" ref="B102" displayName="Table_257" name="Table_257" id="257">
  <tableColumns count="1">
    <tableColumn name="Column1" id="1"/>
  </tableColumns>
  <tableStyleInfo name="G4-style 56" showColumnStripes="0" showFirstColumn="1" showLastColumn="1" showRowStripes="1"/>
</table>
</file>

<file path=xl/tables/table258.xml><?xml version="1.0" encoding="utf-8"?>
<table xmlns="http://schemas.openxmlformats.org/spreadsheetml/2006/main" headerRowCount="0" ref="B103" displayName="Table_258" name="Table_258" id="258">
  <tableColumns count="1">
    <tableColumn name="Column1" id="1"/>
  </tableColumns>
  <tableStyleInfo name="G4-style 57" showColumnStripes="0" showFirstColumn="1" showLastColumn="1" showRowStripes="1"/>
</table>
</file>

<file path=xl/tables/table259.xml><?xml version="1.0" encoding="utf-8"?>
<table xmlns="http://schemas.openxmlformats.org/spreadsheetml/2006/main" headerRowCount="0" ref="B104" displayName="Table_259" name="Table_259" id="259">
  <tableColumns count="1">
    <tableColumn name="Column1" id="1"/>
  </tableColumns>
  <tableStyleInfo name="G4-style 58" showColumnStripes="0" showFirstColumn="1" showLastColumn="1" showRowStripes="1"/>
</table>
</file>

<file path=xl/tables/table260.xml><?xml version="1.0" encoding="utf-8"?>
<table xmlns="http://schemas.openxmlformats.org/spreadsheetml/2006/main" headerRowCount="0" ref="B105" displayName="Table_260" name="Table_260" id="260">
  <tableColumns count="1">
    <tableColumn name="Column1" id="1"/>
  </tableColumns>
  <tableStyleInfo name="G4-style 59" showColumnStripes="0" showFirstColumn="1" showLastColumn="1" showRowStripes="1"/>
</table>
</file>

<file path=xl/tables/table261.xml><?xml version="1.0" encoding="utf-8"?>
<table xmlns="http://schemas.openxmlformats.org/spreadsheetml/2006/main" headerRowCount="0" ref="B110" displayName="Table_261" name="Table_261" id="261">
  <tableColumns count="1">
    <tableColumn name="Column1" id="1"/>
  </tableColumns>
  <tableStyleInfo name="G4-style 60" showColumnStripes="0" showFirstColumn="1" showLastColumn="1" showRowStripes="1"/>
</table>
</file>

<file path=xl/tables/table262.xml><?xml version="1.0" encoding="utf-8"?>
<table xmlns="http://schemas.openxmlformats.org/spreadsheetml/2006/main" headerRowCount="0" ref="B111" displayName="Table_262" name="Table_262" id="262">
  <tableColumns count="1">
    <tableColumn name="Column1" id="1"/>
  </tableColumns>
  <tableStyleInfo name="G4-style 61" showColumnStripes="0" showFirstColumn="1" showLastColumn="1" showRowStripes="1"/>
</table>
</file>

<file path=xl/tables/table263.xml><?xml version="1.0" encoding="utf-8"?>
<table xmlns="http://schemas.openxmlformats.org/spreadsheetml/2006/main" headerRowCount="0" ref="B112" displayName="Table_263" name="Table_263" id="263">
  <tableColumns count="1">
    <tableColumn name="Column1" id="1"/>
  </tableColumns>
  <tableStyleInfo name="G4-style 62" showColumnStripes="0" showFirstColumn="1" showLastColumn="1" showRowStripes="1"/>
</table>
</file>

<file path=xl/tables/table264.xml><?xml version="1.0" encoding="utf-8"?>
<table xmlns="http://schemas.openxmlformats.org/spreadsheetml/2006/main" headerRowCount="0" ref="B113" displayName="Table_264" name="Table_264" id="264">
  <tableColumns count="1">
    <tableColumn name="Column1" id="1"/>
  </tableColumns>
  <tableStyleInfo name="G4-style 63" showColumnStripes="0" showFirstColumn="1" showLastColumn="1" showRowStripes="1"/>
</table>
</file>

<file path=xl/tables/table265.xml><?xml version="1.0" encoding="utf-8"?>
<table xmlns="http://schemas.openxmlformats.org/spreadsheetml/2006/main" headerRowCount="0" ref="B114" displayName="Table_265" name="Table_265" id="265">
  <tableColumns count="1">
    <tableColumn name="Column1" id="1"/>
  </tableColumns>
  <tableStyleInfo name="G4-style 64" showColumnStripes="0" showFirstColumn="1" showLastColumn="1" showRowStripes="1"/>
</table>
</file>

<file path=xl/tables/table266.xml><?xml version="1.0" encoding="utf-8"?>
<table xmlns="http://schemas.openxmlformats.org/spreadsheetml/2006/main" headerRowCount="0" ref="B115" displayName="Table_266" name="Table_266" id="266">
  <tableColumns count="1">
    <tableColumn name="Column1" id="1"/>
  </tableColumns>
  <tableStyleInfo name="G4-style 65" showColumnStripes="0" showFirstColumn="1" showLastColumn="1" showRowStripes="1"/>
</table>
</file>

<file path=xl/tables/table267.xml><?xml version="1.0" encoding="utf-8"?>
<table xmlns="http://schemas.openxmlformats.org/spreadsheetml/2006/main" headerRowCount="0" ref="G7:H7" displayName="Table_267" name="Table_267" id="267">
  <tableColumns count="2">
    <tableColumn name="Column1" id="1"/>
    <tableColumn name="Column2" id="2"/>
  </tableColumns>
  <tableStyleInfo name="G8 (중2)-style" showColumnStripes="0" showFirstColumn="1" showLastColumn="1" showRowStripes="1"/>
</table>
</file>

<file path=xl/tables/table268.xml><?xml version="1.0" encoding="utf-8"?>
<table xmlns="http://schemas.openxmlformats.org/spreadsheetml/2006/main" headerRowCount="0" ref="G8:H8" displayName="Table_268" name="Table_268" id="268">
  <tableColumns count="2">
    <tableColumn name="Column1" id="1"/>
    <tableColumn name="Column2" id="2"/>
  </tableColumns>
  <tableStyleInfo name="G8 (중2)-style 2" showColumnStripes="0" showFirstColumn="1" showLastColumn="1" showRowStripes="1"/>
</table>
</file>

<file path=xl/tables/table269.xml><?xml version="1.0" encoding="utf-8"?>
<table xmlns="http://schemas.openxmlformats.org/spreadsheetml/2006/main" headerRowCount="0" ref="F1:G27" displayName="Table_269" name="Table_269" id="269">
  <tableColumns count="2">
    <tableColumn name="Column1" id="1"/>
    <tableColumn name="Column2" id="2"/>
  </tableColumns>
  <tableStyleInfo name="Quit List 2025-style" showColumnStripes="0" showFirstColumn="1" showLastColumn="1" showRowStripes="1"/>
</table>
</file>

<file path=xl/tables/table270.xml><?xml version="1.0" encoding="utf-8"?>
<table xmlns="http://schemas.openxmlformats.org/spreadsheetml/2006/main" headerRowCount="0" ref="H1:I27" displayName="Table_270" name="Table_270" id="270">
  <tableColumns count="2">
    <tableColumn name="Column1" id="1"/>
    <tableColumn name="Column2" id="2"/>
  </tableColumns>
  <tableStyleInfo name="Quit List 2025-style 2" showColumnStripes="0" showFirstColumn="1" showLastColumn="1" showRowStripes="1"/>
</table>
</file>

<file path=xl/tables/table271.xml><?xml version="1.0" encoding="utf-8"?>
<table xmlns="http://schemas.openxmlformats.org/spreadsheetml/2006/main" headerRowCount="0" ref="K8:M8" displayName="Table_271" name="Table_271" id="271">
  <tableColumns count="3">
    <tableColumn name="Column1" id="1"/>
    <tableColumn name="Column2" id="2"/>
    <tableColumn name="Column3" id="3"/>
  </tableColumns>
  <tableStyleInfo name="Quit List 2025-style 3" showColumnStripes="0" showFirstColumn="1" showLastColumn="1" showRowStripes="1"/>
</table>
</file>

<file path=xl/tables/table272.xml><?xml version="1.0" encoding="utf-8"?>
<table xmlns="http://schemas.openxmlformats.org/spreadsheetml/2006/main" headerRowCount="0" ref="E9" displayName="Table_272" name="Table_272" id="272">
  <tableColumns count="1">
    <tableColumn name="Column1" id="1"/>
  </tableColumns>
  <tableStyleInfo name="Quit List 2025-style 4" showColumnStripes="0" showFirstColumn="1" showLastColumn="1" showRowStripes="1"/>
</table>
</file>

<file path=xl/tables/table273.xml><?xml version="1.0" encoding="utf-8"?>
<table xmlns="http://schemas.openxmlformats.org/spreadsheetml/2006/main" headerRowCount="0" ref="L9" displayName="Table_273" name="Table_273" id="273">
  <tableColumns count="1">
    <tableColumn name="Column1" id="1"/>
  </tableColumns>
  <tableStyleInfo name="Quit List 2025-style 5" showColumnStripes="0" showFirstColumn="1" showLastColumn="1" showRowStripes="1"/>
</table>
</file>

<file path=xl/tables/table274.xml><?xml version="1.0" encoding="utf-8"?>
<table xmlns="http://schemas.openxmlformats.org/spreadsheetml/2006/main" headerRowCount="0" ref="M9:R9" displayName="Table_274" name="Table_274" id="274">
  <tableColumns count="6">
    <tableColumn name="Column1" id="1"/>
    <tableColumn name="Column2" id="2"/>
    <tableColumn name="Column3" id="3"/>
    <tableColumn name="Column4" id="4"/>
    <tableColumn name="Column5" id="5"/>
    <tableColumn name="Column6" id="6"/>
  </tableColumns>
  <tableStyleInfo name="Quit List 2025-style 6" showColumnStripes="0" showFirstColumn="1" showLastColumn="1" showRowStripes="1"/>
</table>
</file>

<file path=xl/tables/table275.xml><?xml version="1.0" encoding="utf-8"?>
<table xmlns="http://schemas.openxmlformats.org/spreadsheetml/2006/main" headerRowCount="0" ref="E10:E14" displayName="Table_275" name="Table_275" id="275">
  <tableColumns count="1">
    <tableColumn name="Column1" id="1"/>
  </tableColumns>
  <tableStyleInfo name="Quit List 2025-style 7" showColumnStripes="0" showFirstColumn="1" showLastColumn="1" showRowStripes="1"/>
</table>
</file>

<file path=xl/tables/table276.xml><?xml version="1.0" encoding="utf-8"?>
<table xmlns="http://schemas.openxmlformats.org/spreadsheetml/2006/main" headerRowCount="0" ref="D13:D29" displayName="Table_276" name="Table_276" id="276">
  <tableColumns count="1">
    <tableColumn name="Column1" id="1"/>
  </tableColumns>
  <tableStyleInfo name="Quit List 2025-style 8" showColumnStripes="0" showFirstColumn="1" showLastColumn="1" showRowStripes="1"/>
</table>
</file>

<file path=xl/tables/table277.xml><?xml version="1.0" encoding="utf-8"?>
<table xmlns="http://schemas.openxmlformats.org/spreadsheetml/2006/main" headerRowCount="0" ref="E15:E27" displayName="Table_277" name="Table_277" id="277">
  <tableColumns count="1">
    <tableColumn name="Column1" id="1"/>
  </tableColumns>
  <tableStyleInfo name="Quit List 2025-style 9" showColumnStripes="0" showFirstColumn="1" showLastColumn="1" showRowStripes="1"/>
</table>
</file>

<file path=xl/tables/table278.xml><?xml version="1.0" encoding="utf-8"?>
<table xmlns="http://schemas.openxmlformats.org/spreadsheetml/2006/main" headerRowCount="0" ref="K19:L20" displayName="Table_278" name="Table_278" id="278">
  <tableColumns count="2">
    <tableColumn name="Column1" id="1"/>
    <tableColumn name="Column2" id="2"/>
  </tableColumns>
  <tableStyleInfo name="Quit List 2025-style 10" showColumnStripes="0" showFirstColumn="1" showLastColumn="1" showRowStripes="1"/>
</table>
</file>

<file path=xl/tables/table279.xml><?xml version="1.0" encoding="utf-8"?>
<table xmlns="http://schemas.openxmlformats.org/spreadsheetml/2006/main" headerRowCount="0" ref="K27:M27" displayName="Table_279" name="Table_279" id="279">
  <tableColumns count="3">
    <tableColumn name="Column1" id="1"/>
    <tableColumn name="Column2" id="2"/>
    <tableColumn name="Column3" id="3"/>
  </tableColumns>
  <tableStyleInfo name="Quit List 2025-style 11" showColumnStripes="0" showFirstColumn="1" showLastColumn="1" showRowStripes="1"/>
</table>
</file>

<file path=xl/tables/table280.xml><?xml version="1.0" encoding="utf-8"?>
<table xmlns="http://schemas.openxmlformats.org/spreadsheetml/2006/main" headerRowCount="0" ref="E28:S29" displayName="Table_280" name="Table_280" id="28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Quit List 2025-style 12" showColumnStripes="0" showFirstColumn="1" showLastColumn="1" showRowStripes="1"/>
</table>
</file>

<file path=xl/tables/table281.xml><?xml version="1.0" encoding="utf-8"?>
<table xmlns="http://schemas.openxmlformats.org/spreadsheetml/2006/main" headerRowCount="0" ref="D30:S35" displayName="Table_281" name="Table_281" id="28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Quit List 2025-style 13" showColumnStripes="0" showFirstColumn="1" showLastColumn="1" showRowStripes="1"/>
</table>
</file>

<file path=xl/tables/table282.xml><?xml version="1.0" encoding="utf-8"?>
<table xmlns="http://schemas.openxmlformats.org/spreadsheetml/2006/main" headerRowCount="0" ref="D36:V1046" displayName="Table_282" name="Table_282" id="282">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Quit List 2025-style 14" showColumnStripes="0" showFirstColumn="1" showLastColumn="1" showRowStripes="1"/>
</table>
</file>

<file path=xl/tables/table283.xml><?xml version="1.0" encoding="utf-8"?>
<table xmlns="http://schemas.openxmlformats.org/spreadsheetml/2006/main" headerRowCount="0" ref="C169:C244" displayName="Table_283" name="Table_283" id="283">
  <tableColumns count="1">
    <tableColumn name="Column1" id="1"/>
  </tableColumns>
  <tableStyleInfo name="Quit List 2025-style 15" showColumnStripes="0" showFirstColumn="1" showLastColumn="1" showRowStripes="1"/>
</table>
</file>

<file path=xl/tables/table284.xml><?xml version="1.0" encoding="utf-8"?>
<table xmlns="http://schemas.openxmlformats.org/spreadsheetml/2006/main" headerRowCount="0" ref="C245:C267" displayName="Table_284" name="Table_284" id="284">
  <tableColumns count="1">
    <tableColumn name="Column1" id="1"/>
  </tableColumns>
  <tableStyleInfo name="Quit List 2025-style 16" showColumnStripes="0" showFirstColumn="1" showLastColumn="1" showRowStripes="1"/>
</table>
</file>

<file path=xl/tables/table285.xml><?xml version="1.0" encoding="utf-8"?>
<table xmlns="http://schemas.openxmlformats.org/spreadsheetml/2006/main" headerRowCount="0" ref="C268" displayName="Table_285" name="Table_285" id="285">
  <tableColumns count="1">
    <tableColumn name="Column1" id="1"/>
  </tableColumns>
  <tableStyleInfo name="Quit List 2025-style 17" showColumnStripes="0" showFirstColumn="1" showLastColumn="1" showRowStripes="1"/>
</table>
</file>

<file path=xl/tables/table286.xml><?xml version="1.0" encoding="utf-8"?>
<table xmlns="http://schemas.openxmlformats.org/spreadsheetml/2006/main" headerRowCount="0" ref="C269" displayName="Table_286" name="Table_286" id="286">
  <tableColumns count="1">
    <tableColumn name="Column1" id="1"/>
  </tableColumns>
  <tableStyleInfo name="Quit List 2025-style 18" showColumnStripes="0" showFirstColumn="1" showLastColumn="1" showRowStripes="1"/>
</table>
</file>

<file path=xl/tables/table287.xml><?xml version="1.0" encoding="utf-8"?>
<table xmlns="http://schemas.openxmlformats.org/spreadsheetml/2006/main" headerRowCount="0" ref="K5:L13" displayName="Table_287" name="Table_287" id="287">
  <tableColumns count="2">
    <tableColumn name="Column1" id="1"/>
    <tableColumn name="Column2" id="2"/>
  </tableColumns>
  <tableStyleInfo name="ClassNames-style" showColumnStripes="0" showFirstColumn="1" showLastColumn="1" showRowStripes="1"/>
</table>
</file>

<file path=xl/tables/table288.xml><?xml version="1.0" encoding="utf-8"?>
<table xmlns="http://schemas.openxmlformats.org/spreadsheetml/2006/main" headerRowCount="0" ref="K14:L22" displayName="Table_288" name="Table_288" id="288">
  <tableColumns count="2">
    <tableColumn name="Column1" id="1"/>
    <tableColumn name="Column2" id="2"/>
  </tableColumns>
  <tableStyleInfo name="ClassNames-style 2" showColumnStripes="0" showFirstColumn="1" showLastColumn="1" showRowStripes="1"/>
</table>
</file>

<file path=xl/tables/table289.xml><?xml version="1.0" encoding="utf-8"?>
<table xmlns="http://schemas.openxmlformats.org/spreadsheetml/2006/main" headerRowCount="0" ref="L23:L31" displayName="Table_289" name="Table_289" id="289">
  <tableColumns count="1">
    <tableColumn name="Column1" id="1"/>
  </tableColumns>
  <tableStyleInfo name="ClassNames-style 3" showColumnStripes="0" showFirstColumn="1" showLastColumn="1" showRowStripes="1"/>
</table>
</file>

<file path=xl/tables/table290.xml><?xml version="1.0" encoding="utf-8"?>
<table xmlns="http://schemas.openxmlformats.org/spreadsheetml/2006/main" headerRowCount="0" ref="K28:K30" displayName="Table_290" name="Table_290" id="290">
  <tableColumns count="1">
    <tableColumn name="Column1" id="1"/>
  </tableColumns>
  <tableStyleInfo name="ClassNames-style 4" showColumnStripes="0" showFirstColumn="1" showLastColumn="1" showRowStripes="1"/>
</table>
</file>

<file path=xl/tables/table291.xml><?xml version="1.0" encoding="utf-8"?>
<table xmlns="http://schemas.openxmlformats.org/spreadsheetml/2006/main" headerRowCount="0" ref="L32:L40" displayName="Table_291" name="Table_291" id="291">
  <tableColumns count="1">
    <tableColumn name="Column1" id="1"/>
  </tableColumns>
  <tableStyleInfo name="ClassNames-style 5" showColumnStripes="0" showFirstColumn="1" showLastColumn="1" showRowStripes="1"/>
</table>
</file>

<file path=xl/tables/table292.xml><?xml version="1.0" encoding="utf-8"?>
<table xmlns="http://schemas.openxmlformats.org/spreadsheetml/2006/main" headerRowCount="0" ref="K36:K39" displayName="Table_292" name="Table_292" id="292">
  <tableColumns count="1">
    <tableColumn name="Column1" id="1"/>
  </tableColumns>
  <tableStyleInfo name="ClassNames-style 6" showColumnStripes="0" showFirstColumn="1" showLastColumn="1" showRowStripes="1"/>
</table>
</file>

<file path=xl/tables/table293.xml><?xml version="1.0" encoding="utf-8"?>
<table xmlns="http://schemas.openxmlformats.org/spreadsheetml/2006/main" headerRowCount="0" ref="K41:L41" displayName="Table_293" name="Table_293" id="293">
  <tableColumns count="2">
    <tableColumn name="Column1" id="1"/>
    <tableColumn name="Column2" id="2"/>
  </tableColumns>
  <tableStyleInfo name="ClassNames-style 7" showColumnStripes="0" showFirstColumn="1" showLastColumn="1" showRowStripes="1"/>
</table>
</file>

<file path=xl/tables/table294.xml><?xml version="1.0" encoding="utf-8"?>
<table xmlns="http://schemas.openxmlformats.org/spreadsheetml/2006/main" headerRowCount="0" ref="K42:L42" displayName="Table_294" name="Table_294" id="294">
  <tableColumns count="2">
    <tableColumn name="Column1" id="1"/>
    <tableColumn name="Column2" id="2"/>
  </tableColumns>
  <tableStyleInfo name="ClassNames-style 8" showColumnStripes="0" showFirstColumn="1" showLastColumn="1" showRowStripes="1"/>
</table>
</file>

<file path=xl/tables/table295.xml><?xml version="1.0" encoding="utf-8"?>
<table xmlns="http://schemas.openxmlformats.org/spreadsheetml/2006/main" headerRowCount="0" ref="K43:L43" displayName="Table_295" name="Table_295" id="295">
  <tableColumns count="2">
    <tableColumn name="Column1" id="1"/>
    <tableColumn name="Column2" id="2"/>
  </tableColumns>
  <tableStyleInfo name="ClassNames-style 9" showColumnStripes="0" showFirstColumn="1" showLastColumn="1" showRowStripes="1"/>
</table>
</file>

<file path=xl/tables/table296.xml><?xml version="1.0" encoding="utf-8"?>
<table xmlns="http://schemas.openxmlformats.org/spreadsheetml/2006/main" headerRowCount="0" ref="K44:L44" displayName="Table_296" name="Table_296" id="296">
  <tableColumns count="2">
    <tableColumn name="Column1" id="1"/>
    <tableColumn name="Column2" id="2"/>
  </tableColumns>
  <tableStyleInfo name="ClassNames-style 10" showColumnStripes="0" showFirstColumn="1" showLastColumn="1" showRowStripes="1"/>
</table>
</file>

<file path=xl/tables/table297.xml><?xml version="1.0" encoding="utf-8"?>
<table xmlns="http://schemas.openxmlformats.org/spreadsheetml/2006/main" headerRowCount="0" ref="K45:L45" displayName="Table_297" name="Table_297" id="297">
  <tableColumns count="2">
    <tableColumn name="Column1" id="1"/>
    <tableColumn name="Column2" id="2"/>
  </tableColumns>
  <tableStyleInfo name="ClassNames-style 11" showColumnStripes="0" showFirstColumn="1" showLastColumn="1" showRowStripes="1"/>
</table>
</file>

<file path=xl/tables/table298.xml><?xml version="1.0" encoding="utf-8"?>
<table xmlns="http://schemas.openxmlformats.org/spreadsheetml/2006/main" headerRowCount="0" ref="K46:L46" displayName="Table_298" name="Table_298" id="298">
  <tableColumns count="2">
    <tableColumn name="Column1" id="1"/>
    <tableColumn name="Column2" id="2"/>
  </tableColumns>
  <tableStyleInfo name="ClassNames-style 12" showColumnStripes="0" showFirstColumn="1" showLastColumn="1" showRowStripes="1"/>
</table>
</file>

<file path=xl/tables/table299.xml><?xml version="1.0" encoding="utf-8"?>
<table xmlns="http://schemas.openxmlformats.org/spreadsheetml/2006/main" headerRowCount="0" ref="K47:L47" displayName="Table_299" name="Table_299" id="299">
  <tableColumns count="2">
    <tableColumn name="Column1" id="1"/>
    <tableColumn name="Column2" id="2"/>
  </tableColumns>
  <tableStyleInfo name="ClassNames-style 13" showColumnStripes="0" showFirstColumn="1" showLastColumn="1" showRowStripes="1"/>
</table>
</file>

<file path=xl/tables/table300.xml><?xml version="1.0" encoding="utf-8"?>
<table xmlns="http://schemas.openxmlformats.org/spreadsheetml/2006/main" headerRowCount="0" ref="K48:L49" displayName="Table_300" name="Table_300" id="300">
  <tableColumns count="2">
    <tableColumn name="Column1" id="1"/>
    <tableColumn name="Column2" id="2"/>
  </tableColumns>
  <tableStyleInfo name="ClassNames-style 14" showColumnStripes="0" showFirstColumn="1" showLastColumn="1" showRowStripes="1"/>
</table>
</file>

<file path=xl/tables/table301.xml><?xml version="1.0" encoding="utf-8"?>
<table xmlns="http://schemas.openxmlformats.org/spreadsheetml/2006/main" headerRowCount="0" ref="K51:L53" displayName="Table_301" name="Table_301" id="301">
  <tableColumns count="2">
    <tableColumn name="Column1" id="1"/>
    <tableColumn name="Column2" id="2"/>
  </tableColumns>
  <tableStyleInfo name="ClassNames-style 15" showColumnStripes="0" showFirstColumn="1" showLastColumn="1" showRowStripes="1"/>
</table>
</file>

<file path=xl/tables/table302.xml><?xml version="1.0" encoding="utf-8"?>
<table xmlns="http://schemas.openxmlformats.org/spreadsheetml/2006/main" headerRowCount="0" ref="K54:L58" displayName="Table_302" name="Table_302" id="302">
  <tableColumns count="2">
    <tableColumn name="Column1" id="1"/>
    <tableColumn name="Column2" id="2"/>
  </tableColumns>
  <tableStyleInfo name="ClassNames-style 16" showColumnStripes="0" showFirstColumn="1" showLastColumn="1" showRowStripes="1"/>
</table>
</file>

<file path=xl/tables/table303.xml><?xml version="1.0" encoding="utf-8"?>
<table xmlns="http://schemas.openxmlformats.org/spreadsheetml/2006/main" headerRowCount="0" ref="K60:L62" displayName="Table_303" name="Table_303" id="303">
  <tableColumns count="2">
    <tableColumn name="Column1" id="1"/>
    <tableColumn name="Column2" id="2"/>
  </tableColumns>
  <tableStyleInfo name="ClassNames-style 17" showColumnStripes="0" showFirstColumn="1" showLastColumn="1" showRowStripes="1"/>
</table>
</file>

<file path=xl/tables/table304.xml><?xml version="1.0" encoding="utf-8"?>
<table xmlns="http://schemas.openxmlformats.org/spreadsheetml/2006/main" headerRowCount="0" ref="K63:L68" displayName="Table_304" name="Table_304" id="304">
  <tableColumns count="2">
    <tableColumn name="Column1" id="1"/>
    <tableColumn name="Column2" id="2"/>
  </tableColumns>
  <tableStyleInfo name="ClassNames-style 18" showColumnStripes="0" showFirstColumn="1" showLastColumn="1" showRowStripes="1"/>
</table>
</file>

<file path=xl/tables/table305.xml><?xml version="1.0" encoding="utf-8"?>
<table xmlns="http://schemas.openxmlformats.org/spreadsheetml/2006/main" headerRowCount="0" ref="K5:L13" displayName="Table_305" name="Table_305" id="305">
  <tableColumns count="2">
    <tableColumn name="Column1" id="1"/>
    <tableColumn name="Column2" id="2"/>
  </tableColumns>
  <tableStyleInfo name="Alphabetical-style" showColumnStripes="0" showFirstColumn="1" showLastColumn="1" showRowStripes="1"/>
</table>
</file>

<file path=xl/tables/table306.xml><?xml version="1.0" encoding="utf-8"?>
<table xmlns="http://schemas.openxmlformats.org/spreadsheetml/2006/main" headerRowCount="0" ref="K14:L22" displayName="Table_306" name="Table_306" id="306">
  <tableColumns count="2">
    <tableColumn name="Column1" id="1"/>
    <tableColumn name="Column2" id="2"/>
  </tableColumns>
  <tableStyleInfo name="Alphabetical-style 2" showColumnStripes="0" showFirstColumn="1" showLastColumn="1" showRowStripes="1"/>
</table>
</file>

<file path=xl/tables/table307.xml><?xml version="1.0" encoding="utf-8"?>
<table xmlns="http://schemas.openxmlformats.org/spreadsheetml/2006/main" headerRowCount="0" ref="L23:L31" displayName="Table_307" name="Table_307" id="307">
  <tableColumns count="1">
    <tableColumn name="Column1" id="1"/>
  </tableColumns>
  <tableStyleInfo name="Alphabetical-style 3" showColumnStripes="0" showFirstColumn="1" showLastColumn="1" showRowStripes="1"/>
</table>
</file>

<file path=xl/tables/table308.xml><?xml version="1.0" encoding="utf-8"?>
<table xmlns="http://schemas.openxmlformats.org/spreadsheetml/2006/main" headerRowCount="0" ref="K28:K30" displayName="Table_308" name="Table_308" id="308">
  <tableColumns count="1">
    <tableColumn name="Column1" id="1"/>
  </tableColumns>
  <tableStyleInfo name="Alphabetical-style 4" showColumnStripes="0" showFirstColumn="1" showLastColumn="1" showRowStripes="1"/>
</table>
</file>

<file path=xl/tables/table309.xml><?xml version="1.0" encoding="utf-8"?>
<table xmlns="http://schemas.openxmlformats.org/spreadsheetml/2006/main" headerRowCount="0" ref="L32:L40" displayName="Table_309" name="Table_309" id="309">
  <tableColumns count="1">
    <tableColumn name="Column1" id="1"/>
  </tableColumns>
  <tableStyleInfo name="Alphabetical-style 5" showColumnStripes="0" showFirstColumn="1" showLastColumn="1" showRowStripes="1"/>
</table>
</file>

<file path=xl/tables/table310.xml><?xml version="1.0" encoding="utf-8"?>
<table xmlns="http://schemas.openxmlformats.org/spreadsheetml/2006/main" headerRowCount="0" ref="K36:K39" displayName="Table_310" name="Table_310" id="310">
  <tableColumns count="1">
    <tableColumn name="Column1" id="1"/>
  </tableColumns>
  <tableStyleInfo name="Alphabetical-style 6" showColumnStripes="0" showFirstColumn="1" showLastColumn="1" showRowStripes="1"/>
</table>
</file>

<file path=xl/tables/table311.xml><?xml version="1.0" encoding="utf-8"?>
<table xmlns="http://schemas.openxmlformats.org/spreadsheetml/2006/main" headerRowCount="0" ref="K41:L41" displayName="Table_311" name="Table_311" id="311">
  <tableColumns count="2">
    <tableColumn name="Column1" id="1"/>
    <tableColumn name="Column2" id="2"/>
  </tableColumns>
  <tableStyleInfo name="Alphabetical-style 7" showColumnStripes="0" showFirstColumn="1" showLastColumn="1" showRowStripes="1"/>
</table>
</file>

<file path=xl/tables/table312.xml><?xml version="1.0" encoding="utf-8"?>
<table xmlns="http://schemas.openxmlformats.org/spreadsheetml/2006/main" headerRowCount="0" ref="K42:L42" displayName="Table_312" name="Table_312" id="312">
  <tableColumns count="2">
    <tableColumn name="Column1" id="1"/>
    <tableColumn name="Column2" id="2"/>
  </tableColumns>
  <tableStyleInfo name="Alphabetical-style 8" showColumnStripes="0" showFirstColumn="1" showLastColumn="1" showRowStripes="1"/>
</table>
</file>

<file path=xl/tables/table313.xml><?xml version="1.0" encoding="utf-8"?>
<table xmlns="http://schemas.openxmlformats.org/spreadsheetml/2006/main" headerRowCount="0" ref="K43:L43" displayName="Table_313" name="Table_313" id="313">
  <tableColumns count="2">
    <tableColumn name="Column1" id="1"/>
    <tableColumn name="Column2" id="2"/>
  </tableColumns>
  <tableStyleInfo name="Alphabetical-style 9" showColumnStripes="0" showFirstColumn="1" showLastColumn="1" showRowStripes="1"/>
</table>
</file>

<file path=xl/tables/table314.xml><?xml version="1.0" encoding="utf-8"?>
<table xmlns="http://schemas.openxmlformats.org/spreadsheetml/2006/main" headerRowCount="0" ref="K44:L44" displayName="Table_314" name="Table_314" id="314">
  <tableColumns count="2">
    <tableColumn name="Column1" id="1"/>
    <tableColumn name="Column2" id="2"/>
  </tableColumns>
  <tableStyleInfo name="Alphabetical-style 10" showColumnStripes="0" showFirstColumn="1" showLastColumn="1" showRowStripes="1"/>
</table>
</file>

<file path=xl/tables/table315.xml><?xml version="1.0" encoding="utf-8"?>
<table xmlns="http://schemas.openxmlformats.org/spreadsheetml/2006/main" headerRowCount="0" ref="K45:L45" displayName="Table_315" name="Table_315" id="315">
  <tableColumns count="2">
    <tableColumn name="Column1" id="1"/>
    <tableColumn name="Column2" id="2"/>
  </tableColumns>
  <tableStyleInfo name="Alphabetical-style 11" showColumnStripes="0" showFirstColumn="1" showLastColumn="1" showRowStripes="1"/>
</table>
</file>

<file path=xl/tables/table316.xml><?xml version="1.0" encoding="utf-8"?>
<table xmlns="http://schemas.openxmlformats.org/spreadsheetml/2006/main" headerRowCount="0" ref="K46:L46" displayName="Table_316" name="Table_316" id="316">
  <tableColumns count="2">
    <tableColumn name="Column1" id="1"/>
    <tableColumn name="Column2" id="2"/>
  </tableColumns>
  <tableStyleInfo name="Alphabetical-style 12" showColumnStripes="0" showFirstColumn="1" showLastColumn="1" showRowStripes="1"/>
</table>
</file>

<file path=xl/tables/table317.xml><?xml version="1.0" encoding="utf-8"?>
<table xmlns="http://schemas.openxmlformats.org/spreadsheetml/2006/main" headerRowCount="0" ref="K47:L47" displayName="Table_317" name="Table_317" id="317">
  <tableColumns count="2">
    <tableColumn name="Column1" id="1"/>
    <tableColumn name="Column2" id="2"/>
  </tableColumns>
  <tableStyleInfo name="Alphabetical-style 13" showColumnStripes="0" showFirstColumn="1" showLastColumn="1" showRowStripes="1"/>
</table>
</file>

<file path=xl/tables/table318.xml><?xml version="1.0" encoding="utf-8"?>
<table xmlns="http://schemas.openxmlformats.org/spreadsheetml/2006/main" headerRowCount="0" ref="K48:L49" displayName="Table_318" name="Table_318" id="318">
  <tableColumns count="2">
    <tableColumn name="Column1" id="1"/>
    <tableColumn name="Column2" id="2"/>
  </tableColumns>
  <tableStyleInfo name="Alphabetical-style 14" showColumnStripes="0" showFirstColumn="1" showLastColumn="1" showRowStripes="1"/>
</table>
</file>

<file path=xl/tables/table319.xml><?xml version="1.0" encoding="utf-8"?>
<table xmlns="http://schemas.openxmlformats.org/spreadsheetml/2006/main" headerRowCount="0" ref="K51:L53" displayName="Table_319" name="Table_319" id="319">
  <tableColumns count="2">
    <tableColumn name="Column1" id="1"/>
    <tableColumn name="Column2" id="2"/>
  </tableColumns>
  <tableStyleInfo name="Alphabetical-style 15" showColumnStripes="0" showFirstColumn="1" showLastColumn="1" showRowStripes="1"/>
</table>
</file>

<file path=xl/tables/table320.xml><?xml version="1.0" encoding="utf-8"?>
<table xmlns="http://schemas.openxmlformats.org/spreadsheetml/2006/main" headerRowCount="0" ref="K54:L58" displayName="Table_320" name="Table_320" id="320">
  <tableColumns count="2">
    <tableColumn name="Column1" id="1"/>
    <tableColumn name="Column2" id="2"/>
  </tableColumns>
  <tableStyleInfo name="Alphabetical-style 16" showColumnStripes="0" showFirstColumn="1" showLastColumn="1" showRowStripes="1"/>
</table>
</file>

<file path=xl/tables/table321.xml><?xml version="1.0" encoding="utf-8"?>
<table xmlns="http://schemas.openxmlformats.org/spreadsheetml/2006/main" headerRowCount="0" ref="K60:L62" displayName="Table_321" name="Table_321" id="321">
  <tableColumns count="2">
    <tableColumn name="Column1" id="1"/>
    <tableColumn name="Column2" id="2"/>
  </tableColumns>
  <tableStyleInfo name="Alphabetical-style 17" showColumnStripes="0" showFirstColumn="1" showLastColumn="1" showRowStripes="1"/>
</table>
</file>

<file path=xl/tables/table322.xml><?xml version="1.0" encoding="utf-8"?>
<table xmlns="http://schemas.openxmlformats.org/spreadsheetml/2006/main" headerRowCount="0" ref="K63:L68" displayName="Table_322" name="Table_322" id="322">
  <tableColumns count="2">
    <tableColumn name="Column1" id="1"/>
    <tableColumn name="Column2" id="2"/>
  </tableColumns>
  <tableStyleInfo name="Alphabetical-style 18" showColumnStripes="0" showFirstColumn="1" showLastColumn="1" showRowStripes="1"/>
</table>
</file>

<file path=xl/tables/table323.xml><?xml version="1.0" encoding="utf-8"?>
<table xmlns="http://schemas.openxmlformats.org/spreadsheetml/2006/main" headerRowCount="0" ref="A3:E4" displayName="Table_323" name="Table_323" id="323">
  <tableColumns count="5">
    <tableColumn name="Column1" id="1"/>
    <tableColumn name="Column2" id="2"/>
    <tableColumn name="Column3" id="3"/>
    <tableColumn name="Column4" id="4"/>
    <tableColumn name="Column5" id="5"/>
  </tableColumns>
  <tableStyleInfo name="Quit_Shuttle-style" showColumnStripes="0" showFirstColumn="1" showLastColumn="1" showRowStripes="1"/>
</table>
</file>

<file path=xl/tables/table324.xml><?xml version="1.0" encoding="utf-8"?>
<table xmlns="http://schemas.openxmlformats.org/spreadsheetml/2006/main" headerRowCount="0" ref="D1" displayName="Table_324" name="Table_324" id="324">
  <tableColumns count="1">
    <tableColumn name="Column1" id="1"/>
  </tableColumns>
  <tableStyleInfo name="Yellow Card-style" showColumnStripes="0" showFirstColumn="1" showLastColumn="1" showRowStripes="1"/>
</table>
</file>

<file path=xl/tables/table325.xml><?xml version="1.0" encoding="utf-8"?>
<table xmlns="http://schemas.openxmlformats.org/spreadsheetml/2006/main" headerRowCount="0" ref="E1" displayName="Table_325" name="Table_325" id="325">
  <tableColumns count="1">
    <tableColumn name="Column1" id="1"/>
  </tableColumns>
  <tableStyleInfo name="Yellow Card-style 2" showColumnStripes="0" showFirstColumn="1" showLastColumn="1" showRowStripes="1"/>
</table>
</file>

<file path=xl/tables/table326.xml><?xml version="1.0" encoding="utf-8"?>
<table xmlns="http://schemas.openxmlformats.org/spreadsheetml/2006/main" headerRowCount="0" ref="C2:G13" displayName="Table_326" name="Table_326" id="326">
  <tableColumns count="5">
    <tableColumn name="Column1" id="1"/>
    <tableColumn name="Column2" id="2"/>
    <tableColumn name="Column3" id="3"/>
    <tableColumn name="Column4" id="4"/>
    <tableColumn name="Column5" id="5"/>
  </tableColumns>
  <tableStyleInfo name="Yellow Card-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 Id="rId11" Type="http://schemas.openxmlformats.org/officeDocument/2006/relationships/table" Target="../tables/table4.xml"/><Relationship Id="rId10" Type="http://schemas.openxmlformats.org/officeDocument/2006/relationships/table" Target="../tables/table3.xml"/><Relationship Id="rId9" Type="http://schemas.openxmlformats.org/officeDocument/2006/relationships/table" Target="../tables/table2.xml"/><Relationship Id="rId8"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62" Type="http://schemas.openxmlformats.org/officeDocument/2006/relationships/table" Target="../tables/table22.xml"/><Relationship Id="rId84" Type="http://schemas.openxmlformats.org/officeDocument/2006/relationships/table" Target="../tables/table44.xml"/><Relationship Id="rId61" Type="http://schemas.openxmlformats.org/officeDocument/2006/relationships/table" Target="../tables/table21.xml"/><Relationship Id="rId83" Type="http://schemas.openxmlformats.org/officeDocument/2006/relationships/table" Target="../tables/table43.xml"/><Relationship Id="rId64" Type="http://schemas.openxmlformats.org/officeDocument/2006/relationships/table" Target="../tables/table24.xml"/><Relationship Id="rId63" Type="http://schemas.openxmlformats.org/officeDocument/2006/relationships/table" Target="../tables/table23.xml"/><Relationship Id="rId85" Type="http://schemas.openxmlformats.org/officeDocument/2006/relationships/table" Target="../tables/table45.xml"/><Relationship Id="rId66" Type="http://schemas.openxmlformats.org/officeDocument/2006/relationships/table" Target="../tables/table26.xml"/><Relationship Id="rId65" Type="http://schemas.openxmlformats.org/officeDocument/2006/relationships/table" Target="../tables/table25.xml"/><Relationship Id="rId46" Type="http://schemas.openxmlformats.org/officeDocument/2006/relationships/table" Target="../tables/table6.xml"/><Relationship Id="rId68" Type="http://schemas.openxmlformats.org/officeDocument/2006/relationships/table" Target="../tables/table28.xml"/><Relationship Id="rId45" Type="http://schemas.openxmlformats.org/officeDocument/2006/relationships/table" Target="../tables/table5.xml"/><Relationship Id="rId67" Type="http://schemas.openxmlformats.org/officeDocument/2006/relationships/table" Target="../tables/table27.xml"/><Relationship Id="rId80" Type="http://schemas.openxmlformats.org/officeDocument/2006/relationships/table" Target="../tables/table40.xml"/><Relationship Id="rId60" Type="http://schemas.openxmlformats.org/officeDocument/2006/relationships/table" Target="../tables/table20.xml"/><Relationship Id="rId82" Type="http://schemas.openxmlformats.org/officeDocument/2006/relationships/table" Target="../tables/table42.xml"/><Relationship Id="rId81" Type="http://schemas.openxmlformats.org/officeDocument/2006/relationships/table" Target="../tables/table41.xml"/><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 Id="rId48" Type="http://schemas.openxmlformats.org/officeDocument/2006/relationships/table" Target="../tables/table8.xml"/><Relationship Id="rId47" Type="http://schemas.openxmlformats.org/officeDocument/2006/relationships/table" Target="../tables/table7.xml"/><Relationship Id="rId69" Type="http://schemas.openxmlformats.org/officeDocument/2006/relationships/table" Target="../tables/table29.xml"/><Relationship Id="rId49" Type="http://schemas.openxmlformats.org/officeDocument/2006/relationships/table" Target="../tables/table9.xml"/><Relationship Id="rId51" Type="http://schemas.openxmlformats.org/officeDocument/2006/relationships/table" Target="../tables/table11.xml"/><Relationship Id="rId73" Type="http://schemas.openxmlformats.org/officeDocument/2006/relationships/table" Target="../tables/table33.xml"/><Relationship Id="rId50" Type="http://schemas.openxmlformats.org/officeDocument/2006/relationships/table" Target="../tables/table10.xml"/><Relationship Id="rId72" Type="http://schemas.openxmlformats.org/officeDocument/2006/relationships/table" Target="../tables/table32.xml"/><Relationship Id="rId53" Type="http://schemas.openxmlformats.org/officeDocument/2006/relationships/table" Target="../tables/table13.xml"/><Relationship Id="rId75" Type="http://schemas.openxmlformats.org/officeDocument/2006/relationships/table" Target="../tables/table35.xml"/><Relationship Id="rId52" Type="http://schemas.openxmlformats.org/officeDocument/2006/relationships/table" Target="../tables/table12.xml"/><Relationship Id="rId74" Type="http://schemas.openxmlformats.org/officeDocument/2006/relationships/table" Target="../tables/table34.xml"/><Relationship Id="rId55" Type="http://schemas.openxmlformats.org/officeDocument/2006/relationships/table" Target="../tables/table15.xml"/><Relationship Id="rId77" Type="http://schemas.openxmlformats.org/officeDocument/2006/relationships/table" Target="../tables/table37.xml"/><Relationship Id="rId54" Type="http://schemas.openxmlformats.org/officeDocument/2006/relationships/table" Target="../tables/table14.xml"/><Relationship Id="rId76" Type="http://schemas.openxmlformats.org/officeDocument/2006/relationships/table" Target="../tables/table36.xml"/><Relationship Id="rId57" Type="http://schemas.openxmlformats.org/officeDocument/2006/relationships/table" Target="../tables/table17.xml"/><Relationship Id="rId79" Type="http://schemas.openxmlformats.org/officeDocument/2006/relationships/table" Target="../tables/table39.xml"/><Relationship Id="rId56" Type="http://schemas.openxmlformats.org/officeDocument/2006/relationships/table" Target="../tables/table16.xml"/><Relationship Id="rId78" Type="http://schemas.openxmlformats.org/officeDocument/2006/relationships/table" Target="../tables/table38.xml"/><Relationship Id="rId71" Type="http://schemas.openxmlformats.org/officeDocument/2006/relationships/table" Target="../tables/table31.xml"/><Relationship Id="rId70" Type="http://schemas.openxmlformats.org/officeDocument/2006/relationships/table" Target="../tables/table30.xml"/><Relationship Id="rId59" Type="http://schemas.openxmlformats.org/officeDocument/2006/relationships/table" Target="../tables/table19.xml"/><Relationship Id="rId58"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40" Type="http://schemas.openxmlformats.org/officeDocument/2006/relationships/table" Target="../tables/table52.xml"/><Relationship Id="rId62" Type="http://schemas.openxmlformats.org/officeDocument/2006/relationships/table" Target="../tables/table74.xml"/><Relationship Id="rId61" Type="http://schemas.openxmlformats.org/officeDocument/2006/relationships/table" Target="../tables/table73.xml"/><Relationship Id="rId42" Type="http://schemas.openxmlformats.org/officeDocument/2006/relationships/table" Target="../tables/table54.xml"/><Relationship Id="rId41" Type="http://schemas.openxmlformats.org/officeDocument/2006/relationships/table" Target="../tables/table53.xml"/><Relationship Id="rId63" Type="http://schemas.openxmlformats.org/officeDocument/2006/relationships/table" Target="../tables/table75.xml"/><Relationship Id="rId44" Type="http://schemas.openxmlformats.org/officeDocument/2006/relationships/table" Target="../tables/table56.xml"/><Relationship Id="rId43" Type="http://schemas.openxmlformats.org/officeDocument/2006/relationships/table" Target="../tables/table55.xml"/><Relationship Id="rId46" Type="http://schemas.openxmlformats.org/officeDocument/2006/relationships/table" Target="../tables/table58.xml"/><Relationship Id="rId45" Type="http://schemas.openxmlformats.org/officeDocument/2006/relationships/table" Target="../tables/table57.xml"/><Relationship Id="rId60" Type="http://schemas.openxmlformats.org/officeDocument/2006/relationships/table" Target="../tables/table72.xml"/><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 Id="rId48" Type="http://schemas.openxmlformats.org/officeDocument/2006/relationships/table" Target="../tables/table60.xml"/><Relationship Id="rId47" Type="http://schemas.openxmlformats.org/officeDocument/2006/relationships/table" Target="../tables/table59.xml"/><Relationship Id="rId49" Type="http://schemas.openxmlformats.org/officeDocument/2006/relationships/table" Target="../tables/table61.xml"/><Relationship Id="rId51" Type="http://schemas.openxmlformats.org/officeDocument/2006/relationships/table" Target="../tables/table63.xml"/><Relationship Id="rId50" Type="http://schemas.openxmlformats.org/officeDocument/2006/relationships/table" Target="../tables/table62.xml"/><Relationship Id="rId53" Type="http://schemas.openxmlformats.org/officeDocument/2006/relationships/table" Target="../tables/table65.xml"/><Relationship Id="rId52" Type="http://schemas.openxmlformats.org/officeDocument/2006/relationships/table" Target="../tables/table64.xml"/><Relationship Id="rId55" Type="http://schemas.openxmlformats.org/officeDocument/2006/relationships/table" Target="../tables/table67.xml"/><Relationship Id="rId54" Type="http://schemas.openxmlformats.org/officeDocument/2006/relationships/table" Target="../tables/table66.xml"/><Relationship Id="rId35" Type="http://schemas.openxmlformats.org/officeDocument/2006/relationships/table" Target="../tables/table47.xml"/><Relationship Id="rId57" Type="http://schemas.openxmlformats.org/officeDocument/2006/relationships/table" Target="../tables/table69.xml"/><Relationship Id="rId34" Type="http://schemas.openxmlformats.org/officeDocument/2006/relationships/table" Target="../tables/table46.xml"/><Relationship Id="rId56" Type="http://schemas.openxmlformats.org/officeDocument/2006/relationships/table" Target="../tables/table68.xml"/><Relationship Id="rId37" Type="http://schemas.openxmlformats.org/officeDocument/2006/relationships/table" Target="../tables/table49.xml"/><Relationship Id="rId59" Type="http://schemas.openxmlformats.org/officeDocument/2006/relationships/table" Target="../tables/table71.xml"/><Relationship Id="rId36" Type="http://schemas.openxmlformats.org/officeDocument/2006/relationships/table" Target="../tables/table48.xml"/><Relationship Id="rId58" Type="http://schemas.openxmlformats.org/officeDocument/2006/relationships/table" Target="../tables/table70.xml"/><Relationship Id="rId39" Type="http://schemas.openxmlformats.org/officeDocument/2006/relationships/table" Target="../tables/table51.xml"/><Relationship Id="rId38"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90" Type="http://schemas.openxmlformats.org/officeDocument/2006/relationships/table" Target="../tables/table148.xml"/><Relationship Id="rId194" Type="http://schemas.openxmlformats.org/officeDocument/2006/relationships/table" Target="../tables/table152.xml"/><Relationship Id="rId193" Type="http://schemas.openxmlformats.org/officeDocument/2006/relationships/table" Target="../tables/table151.xml"/><Relationship Id="rId192" Type="http://schemas.openxmlformats.org/officeDocument/2006/relationships/table" Target="../tables/table150.xml"/><Relationship Id="rId191" Type="http://schemas.openxmlformats.org/officeDocument/2006/relationships/table" Target="../tables/table149.xml"/><Relationship Id="rId228" Type="http://schemas.openxmlformats.org/officeDocument/2006/relationships/table" Target="../tables/table186.xml"/><Relationship Id="rId227" Type="http://schemas.openxmlformats.org/officeDocument/2006/relationships/table" Target="../tables/table185.xml"/><Relationship Id="rId226" Type="http://schemas.openxmlformats.org/officeDocument/2006/relationships/table" Target="../tables/table184.xml"/><Relationship Id="rId225" Type="http://schemas.openxmlformats.org/officeDocument/2006/relationships/table" Target="../tables/table183.xml"/><Relationship Id="rId229" Type="http://schemas.openxmlformats.org/officeDocument/2006/relationships/table" Target="../tables/table187.xml"/><Relationship Id="rId187" Type="http://schemas.openxmlformats.org/officeDocument/2006/relationships/table" Target="../tables/table145.xml"/><Relationship Id="rId220" Type="http://schemas.openxmlformats.org/officeDocument/2006/relationships/table" Target="../tables/table178.xml"/><Relationship Id="rId186" Type="http://schemas.openxmlformats.org/officeDocument/2006/relationships/table" Target="../tables/table144.xml"/><Relationship Id="rId185" Type="http://schemas.openxmlformats.org/officeDocument/2006/relationships/table" Target="../tables/table143.xml"/><Relationship Id="rId184" Type="http://schemas.openxmlformats.org/officeDocument/2006/relationships/table" Target="../tables/table142.xml"/><Relationship Id="rId224" Type="http://schemas.openxmlformats.org/officeDocument/2006/relationships/table" Target="../tables/table182.xml"/><Relationship Id="rId223" Type="http://schemas.openxmlformats.org/officeDocument/2006/relationships/table" Target="../tables/table181.xml"/><Relationship Id="rId189" Type="http://schemas.openxmlformats.org/officeDocument/2006/relationships/table" Target="../tables/table147.xml"/><Relationship Id="rId222" Type="http://schemas.openxmlformats.org/officeDocument/2006/relationships/table" Target="../tables/table180.xml"/><Relationship Id="rId188" Type="http://schemas.openxmlformats.org/officeDocument/2006/relationships/table" Target="../tables/table146.xml"/><Relationship Id="rId221" Type="http://schemas.openxmlformats.org/officeDocument/2006/relationships/table" Target="../tables/table179.xml"/><Relationship Id="rId183" Type="http://schemas.openxmlformats.org/officeDocument/2006/relationships/table" Target="../tables/table141.xml"/><Relationship Id="rId182" Type="http://schemas.openxmlformats.org/officeDocument/2006/relationships/table" Target="../tables/table140.xml"/><Relationship Id="rId181" Type="http://schemas.openxmlformats.org/officeDocument/2006/relationships/table" Target="../tables/table139.xml"/><Relationship Id="rId180" Type="http://schemas.openxmlformats.org/officeDocument/2006/relationships/table" Target="../tables/table138.xml"/><Relationship Id="rId217" Type="http://schemas.openxmlformats.org/officeDocument/2006/relationships/table" Target="../tables/table175.xml"/><Relationship Id="rId216" Type="http://schemas.openxmlformats.org/officeDocument/2006/relationships/table" Target="../tables/table174.xml"/><Relationship Id="rId215" Type="http://schemas.openxmlformats.org/officeDocument/2006/relationships/table" Target="../tables/table173.xml"/><Relationship Id="rId214" Type="http://schemas.openxmlformats.org/officeDocument/2006/relationships/table" Target="../tables/table172.xml"/><Relationship Id="rId219" Type="http://schemas.openxmlformats.org/officeDocument/2006/relationships/table" Target="../tables/table177.xml"/><Relationship Id="rId218" Type="http://schemas.openxmlformats.org/officeDocument/2006/relationships/table" Target="../tables/table176.xml"/><Relationship Id="rId176" Type="http://schemas.openxmlformats.org/officeDocument/2006/relationships/table" Target="../tables/table134.xml"/><Relationship Id="rId175" Type="http://schemas.openxmlformats.org/officeDocument/2006/relationships/table" Target="../tables/table133.xml"/><Relationship Id="rId174" Type="http://schemas.openxmlformats.org/officeDocument/2006/relationships/table" Target="../tables/table132.xml"/><Relationship Id="rId173" Type="http://schemas.openxmlformats.org/officeDocument/2006/relationships/table" Target="../tables/table131.xml"/><Relationship Id="rId213" Type="http://schemas.openxmlformats.org/officeDocument/2006/relationships/table" Target="../tables/table171.xml"/><Relationship Id="rId179" Type="http://schemas.openxmlformats.org/officeDocument/2006/relationships/table" Target="../tables/table137.xml"/><Relationship Id="rId212" Type="http://schemas.openxmlformats.org/officeDocument/2006/relationships/table" Target="../tables/table170.xml"/><Relationship Id="rId178" Type="http://schemas.openxmlformats.org/officeDocument/2006/relationships/table" Target="../tables/table136.xml"/><Relationship Id="rId211" Type="http://schemas.openxmlformats.org/officeDocument/2006/relationships/table" Target="../tables/table169.xml"/><Relationship Id="rId177" Type="http://schemas.openxmlformats.org/officeDocument/2006/relationships/table" Target="../tables/table135.xml"/><Relationship Id="rId210" Type="http://schemas.openxmlformats.org/officeDocument/2006/relationships/table" Target="../tables/table168.xml"/><Relationship Id="rId129" Type="http://schemas.openxmlformats.org/officeDocument/2006/relationships/table" Target="../tables/table87.xml"/><Relationship Id="rId128" Type="http://schemas.openxmlformats.org/officeDocument/2006/relationships/table" Target="../tables/table86.xml"/><Relationship Id="rId127" Type="http://schemas.openxmlformats.org/officeDocument/2006/relationships/table" Target="../tables/table85.xml"/><Relationship Id="rId126" Type="http://schemas.openxmlformats.org/officeDocument/2006/relationships/table" Target="../tables/table84.xml"/><Relationship Id="rId121" Type="http://schemas.openxmlformats.org/officeDocument/2006/relationships/table" Target="../tables/table79.xml"/><Relationship Id="rId120" Type="http://schemas.openxmlformats.org/officeDocument/2006/relationships/table" Target="../tables/table78.xml"/><Relationship Id="rId125" Type="http://schemas.openxmlformats.org/officeDocument/2006/relationships/table" Target="../tables/table83.xml"/><Relationship Id="rId124" Type="http://schemas.openxmlformats.org/officeDocument/2006/relationships/table" Target="../tables/table82.xml"/><Relationship Id="rId123" Type="http://schemas.openxmlformats.org/officeDocument/2006/relationships/table" Target="../tables/table81.xml"/><Relationship Id="rId122" Type="http://schemas.openxmlformats.org/officeDocument/2006/relationships/table" Target="../tables/table80.xml"/><Relationship Id="rId118" Type="http://schemas.openxmlformats.org/officeDocument/2006/relationships/table" Target="../tables/table76.xml"/><Relationship Id="rId119" Type="http://schemas.openxmlformats.org/officeDocument/2006/relationships/table" Target="../tables/table77.xml"/><Relationship Id="rId198" Type="http://schemas.openxmlformats.org/officeDocument/2006/relationships/table" Target="../tables/table156.xml"/><Relationship Id="rId231" Type="http://schemas.openxmlformats.org/officeDocument/2006/relationships/table" Target="../tables/table189.xml"/><Relationship Id="rId197" Type="http://schemas.openxmlformats.org/officeDocument/2006/relationships/table" Target="../tables/table155.xml"/><Relationship Id="rId230" Type="http://schemas.openxmlformats.org/officeDocument/2006/relationships/table" Target="../tables/table188.xml"/><Relationship Id="rId196" Type="http://schemas.openxmlformats.org/officeDocument/2006/relationships/table" Target="../tables/table154.xml"/><Relationship Id="rId195" Type="http://schemas.openxmlformats.org/officeDocument/2006/relationships/table" Target="../tables/table153.xml"/><Relationship Id="rId199" Type="http://schemas.openxmlformats.org/officeDocument/2006/relationships/table" Target="../tables/table157.xml"/><Relationship Id="rId150" Type="http://schemas.openxmlformats.org/officeDocument/2006/relationships/table" Target="../tables/table108.xml"/><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 Id="rId149" Type="http://schemas.openxmlformats.org/officeDocument/2006/relationships/table" Target="../tables/table107.xml"/><Relationship Id="rId148" Type="http://schemas.openxmlformats.org/officeDocument/2006/relationships/table" Target="../tables/table106.xml"/><Relationship Id="rId143" Type="http://schemas.openxmlformats.org/officeDocument/2006/relationships/table" Target="../tables/table101.xml"/><Relationship Id="rId142" Type="http://schemas.openxmlformats.org/officeDocument/2006/relationships/table" Target="../tables/table100.xml"/><Relationship Id="rId141" Type="http://schemas.openxmlformats.org/officeDocument/2006/relationships/table" Target="../tables/table99.xml"/><Relationship Id="rId140" Type="http://schemas.openxmlformats.org/officeDocument/2006/relationships/table" Target="../tables/table98.xml"/><Relationship Id="rId147" Type="http://schemas.openxmlformats.org/officeDocument/2006/relationships/table" Target="../tables/table105.xml"/><Relationship Id="rId146" Type="http://schemas.openxmlformats.org/officeDocument/2006/relationships/table" Target="../tables/table104.xml"/><Relationship Id="rId145" Type="http://schemas.openxmlformats.org/officeDocument/2006/relationships/table" Target="../tables/table103.xml"/><Relationship Id="rId144" Type="http://schemas.openxmlformats.org/officeDocument/2006/relationships/table" Target="../tables/table102.xml"/><Relationship Id="rId139" Type="http://schemas.openxmlformats.org/officeDocument/2006/relationships/table" Target="../tables/table97.xml"/><Relationship Id="rId138" Type="http://schemas.openxmlformats.org/officeDocument/2006/relationships/table" Target="../tables/table96.xml"/><Relationship Id="rId137" Type="http://schemas.openxmlformats.org/officeDocument/2006/relationships/table" Target="../tables/table95.xml"/><Relationship Id="rId132" Type="http://schemas.openxmlformats.org/officeDocument/2006/relationships/table" Target="../tables/table90.xml"/><Relationship Id="rId131" Type="http://schemas.openxmlformats.org/officeDocument/2006/relationships/table" Target="../tables/table89.xml"/><Relationship Id="rId130" Type="http://schemas.openxmlformats.org/officeDocument/2006/relationships/table" Target="../tables/table88.xml"/><Relationship Id="rId136" Type="http://schemas.openxmlformats.org/officeDocument/2006/relationships/table" Target="../tables/table94.xml"/><Relationship Id="rId135" Type="http://schemas.openxmlformats.org/officeDocument/2006/relationships/table" Target="../tables/table93.xml"/><Relationship Id="rId134" Type="http://schemas.openxmlformats.org/officeDocument/2006/relationships/table" Target="../tables/table92.xml"/><Relationship Id="rId133" Type="http://schemas.openxmlformats.org/officeDocument/2006/relationships/table" Target="../tables/table91.xml"/><Relationship Id="rId172" Type="http://schemas.openxmlformats.org/officeDocument/2006/relationships/table" Target="../tables/table130.xml"/><Relationship Id="rId171" Type="http://schemas.openxmlformats.org/officeDocument/2006/relationships/table" Target="../tables/table129.xml"/><Relationship Id="rId170" Type="http://schemas.openxmlformats.org/officeDocument/2006/relationships/table" Target="../tables/table128.xml"/><Relationship Id="rId206" Type="http://schemas.openxmlformats.org/officeDocument/2006/relationships/table" Target="../tables/table164.xml"/><Relationship Id="rId205" Type="http://schemas.openxmlformats.org/officeDocument/2006/relationships/table" Target="../tables/table163.xml"/><Relationship Id="rId204" Type="http://schemas.openxmlformats.org/officeDocument/2006/relationships/table" Target="../tables/table162.xml"/><Relationship Id="rId203" Type="http://schemas.openxmlformats.org/officeDocument/2006/relationships/table" Target="../tables/table161.xml"/><Relationship Id="rId209" Type="http://schemas.openxmlformats.org/officeDocument/2006/relationships/table" Target="../tables/table167.xml"/><Relationship Id="rId208" Type="http://schemas.openxmlformats.org/officeDocument/2006/relationships/table" Target="../tables/table166.xml"/><Relationship Id="rId207" Type="http://schemas.openxmlformats.org/officeDocument/2006/relationships/table" Target="../tables/table165.xml"/><Relationship Id="rId165" Type="http://schemas.openxmlformats.org/officeDocument/2006/relationships/table" Target="../tables/table123.xml"/><Relationship Id="rId164" Type="http://schemas.openxmlformats.org/officeDocument/2006/relationships/table" Target="../tables/table122.xml"/><Relationship Id="rId163" Type="http://schemas.openxmlformats.org/officeDocument/2006/relationships/table" Target="../tables/table121.xml"/><Relationship Id="rId162" Type="http://schemas.openxmlformats.org/officeDocument/2006/relationships/table" Target="../tables/table120.xml"/><Relationship Id="rId169" Type="http://schemas.openxmlformats.org/officeDocument/2006/relationships/table" Target="../tables/table127.xml"/><Relationship Id="rId202" Type="http://schemas.openxmlformats.org/officeDocument/2006/relationships/table" Target="../tables/table160.xml"/><Relationship Id="rId168" Type="http://schemas.openxmlformats.org/officeDocument/2006/relationships/table" Target="../tables/table126.xml"/><Relationship Id="rId201" Type="http://schemas.openxmlformats.org/officeDocument/2006/relationships/table" Target="../tables/table159.xml"/><Relationship Id="rId167" Type="http://schemas.openxmlformats.org/officeDocument/2006/relationships/table" Target="../tables/table125.xml"/><Relationship Id="rId200" Type="http://schemas.openxmlformats.org/officeDocument/2006/relationships/table" Target="../tables/table158.xml"/><Relationship Id="rId166" Type="http://schemas.openxmlformats.org/officeDocument/2006/relationships/table" Target="../tables/table124.xml"/><Relationship Id="rId161" Type="http://schemas.openxmlformats.org/officeDocument/2006/relationships/table" Target="../tables/table119.xml"/><Relationship Id="rId160" Type="http://schemas.openxmlformats.org/officeDocument/2006/relationships/table" Target="../tables/table118.xml"/><Relationship Id="rId159" Type="http://schemas.openxmlformats.org/officeDocument/2006/relationships/table" Target="../tables/table117.xml"/><Relationship Id="rId154" Type="http://schemas.openxmlformats.org/officeDocument/2006/relationships/table" Target="../tables/table112.xml"/><Relationship Id="rId153" Type="http://schemas.openxmlformats.org/officeDocument/2006/relationships/table" Target="../tables/table111.xml"/><Relationship Id="rId152" Type="http://schemas.openxmlformats.org/officeDocument/2006/relationships/table" Target="../tables/table110.xml"/><Relationship Id="rId151" Type="http://schemas.openxmlformats.org/officeDocument/2006/relationships/table" Target="../tables/table109.xml"/><Relationship Id="rId158" Type="http://schemas.openxmlformats.org/officeDocument/2006/relationships/table" Target="../tables/table116.xml"/><Relationship Id="rId157" Type="http://schemas.openxmlformats.org/officeDocument/2006/relationships/table" Target="../tables/table115.xml"/><Relationship Id="rId156" Type="http://schemas.openxmlformats.org/officeDocument/2006/relationships/table" Target="../tables/table114.xml"/><Relationship Id="rId155" Type="http://schemas.openxmlformats.org/officeDocument/2006/relationships/table" Target="../tables/table113.xml"/></Relationships>
</file>

<file path=xl/worksheets/_rels/sheet9.xml.rels><?xml version="1.0" encoding="UTF-8" standalone="yes"?><Relationships xmlns="http://schemas.openxmlformats.org/package/2006/relationships"><Relationship Id="rId20" Type="http://schemas.openxmlformats.org/officeDocument/2006/relationships/table" Target="../tables/table194.xml"/><Relationship Id="rId22" Type="http://schemas.openxmlformats.org/officeDocument/2006/relationships/table" Target="../tables/table196.xml"/><Relationship Id="rId21" Type="http://schemas.openxmlformats.org/officeDocument/2006/relationships/table" Target="../tables/table195.xml"/><Relationship Id="rId24" Type="http://schemas.openxmlformats.org/officeDocument/2006/relationships/table" Target="../tables/table198.xml"/><Relationship Id="rId23" Type="http://schemas.openxmlformats.org/officeDocument/2006/relationships/table" Target="../tables/table197.xml"/><Relationship Id="rId26" Type="http://schemas.openxmlformats.org/officeDocument/2006/relationships/table" Target="../tables/table200.xml"/><Relationship Id="rId25" Type="http://schemas.openxmlformats.org/officeDocument/2006/relationships/table" Target="../tables/table199.xml"/><Relationship Id="rId27" Type="http://schemas.openxmlformats.org/officeDocument/2006/relationships/table" Target="../tables/table201.xml"/><Relationship Id="rId17" Type="http://schemas.openxmlformats.org/officeDocument/2006/relationships/table" Target="../tables/table191.xml"/><Relationship Id="rId16" Type="http://schemas.openxmlformats.org/officeDocument/2006/relationships/table" Target="../tables/table190.xml"/><Relationship Id="rId19" Type="http://schemas.openxmlformats.org/officeDocument/2006/relationships/table" Target="../tables/table193.xml"/><Relationship Id="rId18" Type="http://schemas.openxmlformats.org/officeDocument/2006/relationships/table" Target="../tables/table192.xml"/><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07" Type="http://schemas.openxmlformats.org/officeDocument/2006/relationships/table" Target="../tables/table240.xml"/><Relationship Id="rId106" Type="http://schemas.openxmlformats.org/officeDocument/2006/relationships/table" Target="../tables/table239.xml"/><Relationship Id="rId105" Type="http://schemas.openxmlformats.org/officeDocument/2006/relationships/table" Target="../tables/table238.xml"/><Relationship Id="rId104" Type="http://schemas.openxmlformats.org/officeDocument/2006/relationships/table" Target="../tables/table237.xml"/><Relationship Id="rId109" Type="http://schemas.openxmlformats.org/officeDocument/2006/relationships/table" Target="../tables/table242.xml"/><Relationship Id="rId108" Type="http://schemas.openxmlformats.org/officeDocument/2006/relationships/table" Target="../tables/table241.xml"/><Relationship Id="rId103" Type="http://schemas.openxmlformats.org/officeDocument/2006/relationships/table" Target="../tables/table236.xml"/><Relationship Id="rId102" Type="http://schemas.openxmlformats.org/officeDocument/2006/relationships/table" Target="../tables/table235.xml"/><Relationship Id="rId101" Type="http://schemas.openxmlformats.org/officeDocument/2006/relationships/table" Target="../tables/table234.xml"/><Relationship Id="rId100" Type="http://schemas.openxmlformats.org/officeDocument/2006/relationships/table" Target="../tables/table233.xml"/><Relationship Id="rId129" Type="http://schemas.openxmlformats.org/officeDocument/2006/relationships/table" Target="../tables/table262.xml"/><Relationship Id="rId128" Type="http://schemas.openxmlformats.org/officeDocument/2006/relationships/table" Target="../tables/table261.xml"/><Relationship Id="rId127" Type="http://schemas.openxmlformats.org/officeDocument/2006/relationships/table" Target="../tables/table260.xml"/><Relationship Id="rId126" Type="http://schemas.openxmlformats.org/officeDocument/2006/relationships/table" Target="../tables/table259.xml"/><Relationship Id="rId121" Type="http://schemas.openxmlformats.org/officeDocument/2006/relationships/table" Target="../tables/table254.xml"/><Relationship Id="rId120" Type="http://schemas.openxmlformats.org/officeDocument/2006/relationships/table" Target="../tables/table253.xml"/><Relationship Id="rId125" Type="http://schemas.openxmlformats.org/officeDocument/2006/relationships/table" Target="../tables/table258.xml"/><Relationship Id="rId124" Type="http://schemas.openxmlformats.org/officeDocument/2006/relationships/table" Target="../tables/table257.xml"/><Relationship Id="rId123" Type="http://schemas.openxmlformats.org/officeDocument/2006/relationships/table" Target="../tables/table256.xml"/><Relationship Id="rId122" Type="http://schemas.openxmlformats.org/officeDocument/2006/relationships/table" Target="../tables/table255.xml"/><Relationship Id="rId95" Type="http://schemas.openxmlformats.org/officeDocument/2006/relationships/table" Target="../tables/table228.xml"/><Relationship Id="rId94" Type="http://schemas.openxmlformats.org/officeDocument/2006/relationships/table" Target="../tables/table227.xml"/><Relationship Id="rId97" Type="http://schemas.openxmlformats.org/officeDocument/2006/relationships/table" Target="../tables/table230.xml"/><Relationship Id="rId96" Type="http://schemas.openxmlformats.org/officeDocument/2006/relationships/table" Target="../tables/table229.xml"/><Relationship Id="rId99" Type="http://schemas.openxmlformats.org/officeDocument/2006/relationships/table" Target="../tables/table232.xml"/><Relationship Id="rId98" Type="http://schemas.openxmlformats.org/officeDocument/2006/relationships/table" Target="../tables/table231.xml"/><Relationship Id="rId91" Type="http://schemas.openxmlformats.org/officeDocument/2006/relationships/table" Target="../tables/table224.xml"/><Relationship Id="rId90" Type="http://schemas.openxmlformats.org/officeDocument/2006/relationships/table" Target="../tables/table223.xml"/><Relationship Id="rId93" Type="http://schemas.openxmlformats.org/officeDocument/2006/relationships/table" Target="../tables/table226.xml"/><Relationship Id="rId92" Type="http://schemas.openxmlformats.org/officeDocument/2006/relationships/table" Target="../tables/table225.xml"/><Relationship Id="rId118" Type="http://schemas.openxmlformats.org/officeDocument/2006/relationships/table" Target="../tables/table251.xml"/><Relationship Id="rId117" Type="http://schemas.openxmlformats.org/officeDocument/2006/relationships/table" Target="../tables/table250.xml"/><Relationship Id="rId116" Type="http://schemas.openxmlformats.org/officeDocument/2006/relationships/table" Target="../tables/table249.xml"/><Relationship Id="rId115" Type="http://schemas.openxmlformats.org/officeDocument/2006/relationships/table" Target="../tables/table248.xml"/><Relationship Id="rId119" Type="http://schemas.openxmlformats.org/officeDocument/2006/relationships/table" Target="../tables/table252.xml"/><Relationship Id="rId110" Type="http://schemas.openxmlformats.org/officeDocument/2006/relationships/table" Target="../tables/table243.xml"/><Relationship Id="rId114" Type="http://schemas.openxmlformats.org/officeDocument/2006/relationships/table" Target="../tables/table247.xml"/><Relationship Id="rId113" Type="http://schemas.openxmlformats.org/officeDocument/2006/relationships/table" Target="../tables/table246.xml"/><Relationship Id="rId112" Type="http://schemas.openxmlformats.org/officeDocument/2006/relationships/table" Target="../tables/table245.xml"/><Relationship Id="rId111" Type="http://schemas.openxmlformats.org/officeDocument/2006/relationships/table" Target="../tables/table244.xml"/><Relationship Id="rId84" Type="http://schemas.openxmlformats.org/officeDocument/2006/relationships/table" Target="../tables/table217.xml"/><Relationship Id="rId83" Type="http://schemas.openxmlformats.org/officeDocument/2006/relationships/table" Target="../tables/table216.xml"/><Relationship Id="rId86" Type="http://schemas.openxmlformats.org/officeDocument/2006/relationships/table" Target="../tables/table219.xml"/><Relationship Id="rId85" Type="http://schemas.openxmlformats.org/officeDocument/2006/relationships/table" Target="../tables/table218.xml"/><Relationship Id="rId88" Type="http://schemas.openxmlformats.org/officeDocument/2006/relationships/table" Target="../tables/table221.xml"/><Relationship Id="rId87" Type="http://schemas.openxmlformats.org/officeDocument/2006/relationships/table" Target="../tables/table220.xml"/><Relationship Id="rId89" Type="http://schemas.openxmlformats.org/officeDocument/2006/relationships/table" Target="../tables/table222.xml"/><Relationship Id="rId80" Type="http://schemas.openxmlformats.org/officeDocument/2006/relationships/table" Target="../tables/table213.xml"/><Relationship Id="rId82" Type="http://schemas.openxmlformats.org/officeDocument/2006/relationships/table" Target="../tables/table215.xml"/><Relationship Id="rId81" Type="http://schemas.openxmlformats.org/officeDocument/2006/relationships/table" Target="../tables/table214.xml"/><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 Id="rId73" Type="http://schemas.openxmlformats.org/officeDocument/2006/relationships/table" Target="../tables/table206.xml"/><Relationship Id="rId72" Type="http://schemas.openxmlformats.org/officeDocument/2006/relationships/table" Target="../tables/table205.xml"/><Relationship Id="rId75" Type="http://schemas.openxmlformats.org/officeDocument/2006/relationships/table" Target="../tables/table208.xml"/><Relationship Id="rId74" Type="http://schemas.openxmlformats.org/officeDocument/2006/relationships/table" Target="../tables/table207.xml"/><Relationship Id="rId77" Type="http://schemas.openxmlformats.org/officeDocument/2006/relationships/table" Target="../tables/table210.xml"/><Relationship Id="rId76" Type="http://schemas.openxmlformats.org/officeDocument/2006/relationships/table" Target="../tables/table209.xml"/><Relationship Id="rId79" Type="http://schemas.openxmlformats.org/officeDocument/2006/relationships/table" Target="../tables/table212.xml"/><Relationship Id="rId78" Type="http://schemas.openxmlformats.org/officeDocument/2006/relationships/table" Target="../tables/table211.xml"/><Relationship Id="rId71" Type="http://schemas.openxmlformats.org/officeDocument/2006/relationships/table" Target="../tables/table204.xml"/><Relationship Id="rId70" Type="http://schemas.openxmlformats.org/officeDocument/2006/relationships/table" Target="../tables/table203.xml"/><Relationship Id="rId132" Type="http://schemas.openxmlformats.org/officeDocument/2006/relationships/table" Target="../tables/table265.xml"/><Relationship Id="rId131" Type="http://schemas.openxmlformats.org/officeDocument/2006/relationships/table" Target="../tables/table264.xml"/><Relationship Id="rId130" Type="http://schemas.openxmlformats.org/officeDocument/2006/relationships/table" Target="../tables/table263.xml"/><Relationship Id="rId133" Type="http://schemas.openxmlformats.org/officeDocument/2006/relationships/table" Target="../tables/table266.xml"/><Relationship Id="rId69" Type="http://schemas.openxmlformats.org/officeDocument/2006/relationships/table" Target="../tables/table202.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 Id="rId6" Type="http://schemas.openxmlformats.org/officeDocument/2006/relationships/table" Target="../tables/table267.xml"/><Relationship Id="rId7" Type="http://schemas.openxmlformats.org/officeDocument/2006/relationships/table" Target="../tables/table268.xml"/></Relationships>
</file>

<file path=xl/worksheets/_rels/sheet13.xml.rels><?xml version="1.0" encoding="UTF-8" standalone="yes"?><Relationships xmlns="http://schemas.openxmlformats.org/package/2006/relationships"><Relationship Id="rId31" Type="http://schemas.openxmlformats.org/officeDocument/2006/relationships/table" Target="../tables/table278.xml"/><Relationship Id="rId30" Type="http://schemas.openxmlformats.org/officeDocument/2006/relationships/table" Target="../tables/table277.xml"/><Relationship Id="rId33" Type="http://schemas.openxmlformats.org/officeDocument/2006/relationships/table" Target="../tables/table280.xml"/><Relationship Id="rId32" Type="http://schemas.openxmlformats.org/officeDocument/2006/relationships/table" Target="../tables/table279.xml"/><Relationship Id="rId35" Type="http://schemas.openxmlformats.org/officeDocument/2006/relationships/table" Target="../tables/table282.xml"/><Relationship Id="rId34" Type="http://schemas.openxmlformats.org/officeDocument/2006/relationships/table" Target="../tables/table281.xml"/><Relationship Id="rId37" Type="http://schemas.openxmlformats.org/officeDocument/2006/relationships/table" Target="../tables/table284.xml"/><Relationship Id="rId36" Type="http://schemas.openxmlformats.org/officeDocument/2006/relationships/table" Target="../tables/table283.xml"/><Relationship Id="rId39" Type="http://schemas.openxmlformats.org/officeDocument/2006/relationships/table" Target="../tables/table286.xml"/><Relationship Id="rId38" Type="http://schemas.openxmlformats.org/officeDocument/2006/relationships/table" Target="../tables/table285.xml"/><Relationship Id="rId22" Type="http://schemas.openxmlformats.org/officeDocument/2006/relationships/table" Target="../tables/table269.xml"/><Relationship Id="rId24" Type="http://schemas.openxmlformats.org/officeDocument/2006/relationships/table" Target="../tables/table271.xml"/><Relationship Id="rId23" Type="http://schemas.openxmlformats.org/officeDocument/2006/relationships/table" Target="../tables/table270.xml"/><Relationship Id="rId26" Type="http://schemas.openxmlformats.org/officeDocument/2006/relationships/table" Target="../tables/table273.xml"/><Relationship Id="rId25" Type="http://schemas.openxmlformats.org/officeDocument/2006/relationships/table" Target="../tables/table272.xml"/><Relationship Id="rId28" Type="http://schemas.openxmlformats.org/officeDocument/2006/relationships/table" Target="../tables/table275.xml"/><Relationship Id="rId27" Type="http://schemas.openxmlformats.org/officeDocument/2006/relationships/table" Target="../tables/table274.xml"/><Relationship Id="rId29" Type="http://schemas.openxmlformats.org/officeDocument/2006/relationships/table" Target="../tables/table276.xml"/><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1" Type="http://schemas.openxmlformats.org/officeDocument/2006/relationships/table" Target="../tables/table298.xml"/><Relationship Id="rId30" Type="http://schemas.openxmlformats.org/officeDocument/2006/relationships/table" Target="../tables/table297.xml"/><Relationship Id="rId33" Type="http://schemas.openxmlformats.org/officeDocument/2006/relationships/table" Target="../tables/table300.xml"/><Relationship Id="rId32" Type="http://schemas.openxmlformats.org/officeDocument/2006/relationships/table" Target="../tables/table299.xml"/><Relationship Id="rId35" Type="http://schemas.openxmlformats.org/officeDocument/2006/relationships/table" Target="../tables/table302.xml"/><Relationship Id="rId34" Type="http://schemas.openxmlformats.org/officeDocument/2006/relationships/table" Target="../tables/table301.xml"/><Relationship Id="rId37" Type="http://schemas.openxmlformats.org/officeDocument/2006/relationships/table" Target="../tables/table304.xml"/><Relationship Id="rId36" Type="http://schemas.openxmlformats.org/officeDocument/2006/relationships/table" Target="../tables/table303.xml"/><Relationship Id="rId20" Type="http://schemas.openxmlformats.org/officeDocument/2006/relationships/table" Target="../tables/table287.xml"/><Relationship Id="rId22" Type="http://schemas.openxmlformats.org/officeDocument/2006/relationships/table" Target="../tables/table289.xml"/><Relationship Id="rId21" Type="http://schemas.openxmlformats.org/officeDocument/2006/relationships/table" Target="../tables/table288.xml"/><Relationship Id="rId24" Type="http://schemas.openxmlformats.org/officeDocument/2006/relationships/table" Target="../tables/table291.xml"/><Relationship Id="rId23" Type="http://schemas.openxmlformats.org/officeDocument/2006/relationships/table" Target="../tables/table290.xml"/><Relationship Id="rId26" Type="http://schemas.openxmlformats.org/officeDocument/2006/relationships/table" Target="../tables/table293.xml"/><Relationship Id="rId25" Type="http://schemas.openxmlformats.org/officeDocument/2006/relationships/table" Target="../tables/table292.xml"/><Relationship Id="rId28" Type="http://schemas.openxmlformats.org/officeDocument/2006/relationships/table" Target="../tables/table295.xml"/><Relationship Id="rId27" Type="http://schemas.openxmlformats.org/officeDocument/2006/relationships/table" Target="../tables/table294.xml"/><Relationship Id="rId29" Type="http://schemas.openxmlformats.org/officeDocument/2006/relationships/table" Target="../tables/table296.x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1" Type="http://schemas.openxmlformats.org/officeDocument/2006/relationships/table" Target="../tables/table316.xml"/><Relationship Id="rId30" Type="http://schemas.openxmlformats.org/officeDocument/2006/relationships/table" Target="../tables/table315.xml"/><Relationship Id="rId33" Type="http://schemas.openxmlformats.org/officeDocument/2006/relationships/table" Target="../tables/table318.xml"/><Relationship Id="rId32" Type="http://schemas.openxmlformats.org/officeDocument/2006/relationships/table" Target="../tables/table317.xml"/><Relationship Id="rId35" Type="http://schemas.openxmlformats.org/officeDocument/2006/relationships/table" Target="../tables/table320.xml"/><Relationship Id="rId34" Type="http://schemas.openxmlformats.org/officeDocument/2006/relationships/table" Target="../tables/table319.xml"/><Relationship Id="rId37" Type="http://schemas.openxmlformats.org/officeDocument/2006/relationships/table" Target="../tables/table322.xml"/><Relationship Id="rId36" Type="http://schemas.openxmlformats.org/officeDocument/2006/relationships/table" Target="../tables/table321.xml"/><Relationship Id="rId20" Type="http://schemas.openxmlformats.org/officeDocument/2006/relationships/table" Target="../tables/table305.xml"/><Relationship Id="rId22" Type="http://schemas.openxmlformats.org/officeDocument/2006/relationships/table" Target="../tables/table307.xml"/><Relationship Id="rId21" Type="http://schemas.openxmlformats.org/officeDocument/2006/relationships/table" Target="../tables/table306.xml"/><Relationship Id="rId24" Type="http://schemas.openxmlformats.org/officeDocument/2006/relationships/table" Target="../tables/table309.xml"/><Relationship Id="rId23" Type="http://schemas.openxmlformats.org/officeDocument/2006/relationships/table" Target="../tables/table308.xml"/><Relationship Id="rId26" Type="http://schemas.openxmlformats.org/officeDocument/2006/relationships/table" Target="../tables/table311.xml"/><Relationship Id="rId25" Type="http://schemas.openxmlformats.org/officeDocument/2006/relationships/table" Target="../tables/table310.xml"/><Relationship Id="rId28" Type="http://schemas.openxmlformats.org/officeDocument/2006/relationships/table" Target="../tables/table313.xml"/><Relationship Id="rId27" Type="http://schemas.openxmlformats.org/officeDocument/2006/relationships/table" Target="../tables/table312.xml"/><Relationship Id="rId29" Type="http://schemas.openxmlformats.org/officeDocument/2006/relationships/table" Target="../tables/table314.x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323.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8.xml"/><Relationship Id="rId3" Type="http://schemas.openxmlformats.org/officeDocument/2006/relationships/vmlDrawing" Target="../drawings/vmlDrawing13.vml"/><Relationship Id="rId9" Type="http://schemas.openxmlformats.org/officeDocument/2006/relationships/table" Target="../tables/table326.xml"/><Relationship Id="rId7" Type="http://schemas.openxmlformats.org/officeDocument/2006/relationships/table" Target="../tables/table324.xml"/><Relationship Id="rId8" Type="http://schemas.openxmlformats.org/officeDocument/2006/relationships/table" Target="../tables/table32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7.63"/>
    <col customWidth="1" min="2" max="3" width="17.63"/>
    <col customWidth="1" min="4" max="4" width="19.25"/>
    <col customWidth="1" min="5" max="11" width="17.63"/>
    <col customWidth="1" min="12" max="12" width="18.63"/>
    <col customWidth="1" min="13" max="13" width="18.75"/>
    <col customWidth="1" min="14" max="14" width="17.63"/>
    <col customWidth="1" min="15" max="15" width="18.88"/>
    <col customWidth="1" min="16" max="16" width="18.13"/>
    <col customWidth="1" min="17" max="19" width="17.63"/>
    <col customWidth="1" min="21" max="21" width="18.0"/>
  </cols>
  <sheetData>
    <row r="1" ht="45.0" customHeight="1">
      <c r="A1" s="1"/>
      <c r="B1" s="2" t="s">
        <v>0</v>
      </c>
      <c r="T1" s="3"/>
    </row>
    <row r="2" ht="56.25" customHeight="1">
      <c r="A2" s="4" t="s">
        <v>1</v>
      </c>
      <c r="B2" s="5" t="s">
        <v>2</v>
      </c>
      <c r="C2" s="6" t="s">
        <v>3</v>
      </c>
      <c r="D2" s="5" t="s">
        <v>4</v>
      </c>
      <c r="E2" s="5" t="s">
        <v>5</v>
      </c>
      <c r="F2" s="5" t="s">
        <v>6</v>
      </c>
      <c r="G2" s="5" t="s">
        <v>7</v>
      </c>
      <c r="H2" s="5" t="s">
        <v>8</v>
      </c>
      <c r="I2" s="5" t="s">
        <v>9</v>
      </c>
      <c r="J2" s="5" t="s">
        <v>10</v>
      </c>
      <c r="K2" s="7" t="s">
        <v>11</v>
      </c>
      <c r="L2" s="7" t="s">
        <v>12</v>
      </c>
      <c r="M2" s="7" t="s">
        <v>13</v>
      </c>
      <c r="N2" s="7" t="s">
        <v>14</v>
      </c>
      <c r="O2" s="7" t="s">
        <v>15</v>
      </c>
      <c r="P2" s="7" t="s">
        <v>16</v>
      </c>
      <c r="Q2" s="7" t="s">
        <v>17</v>
      </c>
      <c r="R2" s="7" t="s">
        <v>18</v>
      </c>
      <c r="S2" s="7" t="s">
        <v>19</v>
      </c>
      <c r="T2" s="8"/>
      <c r="U2" s="9"/>
      <c r="V2" s="9"/>
      <c r="W2" s="9"/>
      <c r="X2" s="9"/>
      <c r="Y2" s="9"/>
      <c r="Z2" s="9"/>
      <c r="AA2" s="9"/>
    </row>
    <row r="3" ht="34.5" customHeight="1">
      <c r="A3" s="10" t="s">
        <v>20</v>
      </c>
      <c r="B3" s="11" t="s">
        <v>21</v>
      </c>
      <c r="C3" s="11" t="s">
        <v>21</v>
      </c>
      <c r="D3" s="11" t="s">
        <v>21</v>
      </c>
      <c r="E3" s="11" t="s">
        <v>22</v>
      </c>
      <c r="F3" s="11" t="s">
        <v>21</v>
      </c>
      <c r="G3" s="11" t="s">
        <v>23</v>
      </c>
      <c r="H3" s="11" t="s">
        <v>21</v>
      </c>
      <c r="I3" s="12" t="s">
        <v>24</v>
      </c>
      <c r="J3" s="12" t="s">
        <v>25</v>
      </c>
      <c r="K3" s="13" t="s">
        <v>26</v>
      </c>
      <c r="L3" s="13" t="s">
        <v>27</v>
      </c>
      <c r="M3" s="13" t="s">
        <v>26</v>
      </c>
      <c r="N3" s="13" t="s">
        <v>28</v>
      </c>
      <c r="O3" s="13" t="s">
        <v>29</v>
      </c>
      <c r="P3" s="13" t="s">
        <v>29</v>
      </c>
      <c r="Q3" s="13" t="s">
        <v>28</v>
      </c>
      <c r="R3" s="13" t="s">
        <v>28</v>
      </c>
      <c r="S3" s="13" t="s">
        <v>30</v>
      </c>
      <c r="T3" s="14"/>
    </row>
    <row r="4" ht="45.0" customHeight="1">
      <c r="A4" s="10" t="s">
        <v>31</v>
      </c>
      <c r="B4" s="15" t="s">
        <v>32</v>
      </c>
      <c r="C4" s="15" t="s">
        <v>33</v>
      </c>
      <c r="D4" s="15" t="s">
        <v>34</v>
      </c>
      <c r="E4" s="15" t="s">
        <v>35</v>
      </c>
      <c r="F4" s="15" t="s">
        <v>36</v>
      </c>
      <c r="G4" s="15" t="s">
        <v>37</v>
      </c>
      <c r="H4" s="15" t="s">
        <v>38</v>
      </c>
      <c r="I4" s="15" t="s">
        <v>39</v>
      </c>
      <c r="J4" s="15" t="s">
        <v>40</v>
      </c>
      <c r="K4" s="16" t="s">
        <v>41</v>
      </c>
      <c r="L4" s="16" t="s">
        <v>42</v>
      </c>
      <c r="M4" s="16" t="s">
        <v>43</v>
      </c>
      <c r="N4" s="16" t="s">
        <v>44</v>
      </c>
      <c r="O4" s="16" t="s">
        <v>45</v>
      </c>
      <c r="P4" s="16" t="s">
        <v>46</v>
      </c>
      <c r="Q4" s="16" t="s">
        <v>47</v>
      </c>
      <c r="R4" s="16" t="s">
        <v>48</v>
      </c>
      <c r="S4" s="16" t="s">
        <v>49</v>
      </c>
      <c r="T4" s="8"/>
    </row>
    <row r="5" ht="39.0" customHeight="1">
      <c r="A5" s="17">
        <v>1.0</v>
      </c>
      <c r="B5" s="18" t="s">
        <v>50</v>
      </c>
      <c r="C5" s="18" t="s">
        <v>51</v>
      </c>
      <c r="D5" s="18" t="s">
        <v>52</v>
      </c>
      <c r="E5" s="19" t="s">
        <v>53</v>
      </c>
      <c r="F5" s="18" t="s">
        <v>54</v>
      </c>
      <c r="G5" s="20" t="s">
        <v>55</v>
      </c>
      <c r="H5" s="18" t="s">
        <v>56</v>
      </c>
      <c r="I5" s="18" t="s">
        <v>57</v>
      </c>
      <c r="J5" s="19" t="s">
        <v>58</v>
      </c>
      <c r="K5" s="21" t="s">
        <v>59</v>
      </c>
      <c r="L5" s="22" t="s">
        <v>60</v>
      </c>
      <c r="M5" s="23" t="s">
        <v>61</v>
      </c>
      <c r="N5" s="24" t="s">
        <v>62</v>
      </c>
      <c r="O5" s="24" t="s">
        <v>63</v>
      </c>
      <c r="P5" s="24" t="s">
        <v>64</v>
      </c>
      <c r="Q5" s="25" t="s">
        <v>65</v>
      </c>
      <c r="R5" s="26" t="s">
        <v>66</v>
      </c>
      <c r="S5" s="26" t="s">
        <v>67</v>
      </c>
      <c r="T5" s="8"/>
    </row>
    <row r="6" ht="39.0" customHeight="1">
      <c r="A6" s="27">
        <v>2.0</v>
      </c>
      <c r="B6" s="18" t="s">
        <v>68</v>
      </c>
      <c r="C6" s="18" t="s">
        <v>69</v>
      </c>
      <c r="D6" s="18" t="s">
        <v>70</v>
      </c>
      <c r="E6" s="19" t="s">
        <v>71</v>
      </c>
      <c r="F6" s="18" t="s">
        <v>72</v>
      </c>
      <c r="G6" s="18" t="s">
        <v>73</v>
      </c>
      <c r="H6" s="18" t="s">
        <v>74</v>
      </c>
      <c r="I6" s="18" t="s">
        <v>75</v>
      </c>
      <c r="J6" s="19" t="s">
        <v>76</v>
      </c>
      <c r="K6" s="21" t="s">
        <v>77</v>
      </c>
      <c r="L6" s="25" t="s">
        <v>78</v>
      </c>
      <c r="M6" s="28" t="s">
        <v>79</v>
      </c>
      <c r="N6" s="29" t="s">
        <v>80</v>
      </c>
      <c r="O6" s="30" t="s">
        <v>81</v>
      </c>
      <c r="P6" s="24" t="s">
        <v>82</v>
      </c>
      <c r="Q6" s="29" t="s">
        <v>83</v>
      </c>
      <c r="R6" s="24" t="s">
        <v>84</v>
      </c>
      <c r="S6" s="24" t="s">
        <v>85</v>
      </c>
      <c r="T6" s="31"/>
      <c r="U6" s="32"/>
      <c r="V6" s="32"/>
      <c r="W6" s="33"/>
      <c r="X6" s="32"/>
    </row>
    <row r="7" ht="38.25" customHeight="1">
      <c r="A7" s="27">
        <v>3.0</v>
      </c>
      <c r="B7" s="23" t="s">
        <v>86</v>
      </c>
      <c r="C7" s="18" t="s">
        <v>87</v>
      </c>
      <c r="D7" s="18" t="s">
        <v>88</v>
      </c>
      <c r="E7" s="34" t="s">
        <v>89</v>
      </c>
      <c r="F7" s="35" t="s">
        <v>90</v>
      </c>
      <c r="G7" s="18" t="s">
        <v>91</v>
      </c>
      <c r="H7" s="18" t="s">
        <v>92</v>
      </c>
      <c r="I7" s="18" t="s">
        <v>93</v>
      </c>
      <c r="J7" s="25" t="s">
        <v>94</v>
      </c>
      <c r="K7" s="21" t="s">
        <v>95</v>
      </c>
      <c r="L7" s="22" t="s">
        <v>96</v>
      </c>
      <c r="M7" s="28" t="s">
        <v>97</v>
      </c>
      <c r="N7" s="29" t="s">
        <v>98</v>
      </c>
      <c r="O7" s="19" t="s">
        <v>99</v>
      </c>
      <c r="P7" s="24" t="s">
        <v>100</v>
      </c>
      <c r="Q7" s="29" t="s">
        <v>101</v>
      </c>
      <c r="R7" s="29" t="s">
        <v>102</v>
      </c>
      <c r="S7" s="24" t="s">
        <v>103</v>
      </c>
      <c r="T7" s="36"/>
      <c r="U7" s="33"/>
      <c r="V7" s="32"/>
      <c r="W7" s="33"/>
      <c r="X7" s="32"/>
    </row>
    <row r="8" ht="35.25" customHeight="1">
      <c r="A8" s="27">
        <v>4.0</v>
      </c>
      <c r="B8" s="18" t="s">
        <v>104</v>
      </c>
      <c r="C8" s="18" t="s">
        <v>105</v>
      </c>
      <c r="D8" s="18" t="s">
        <v>106</v>
      </c>
      <c r="E8" s="18" t="s">
        <v>107</v>
      </c>
      <c r="F8" s="37" t="s">
        <v>108</v>
      </c>
      <c r="G8" s="18" t="s">
        <v>109</v>
      </c>
      <c r="H8" s="38" t="s">
        <v>110</v>
      </c>
      <c r="I8" s="18" t="s">
        <v>111</v>
      </c>
      <c r="J8" s="39" t="s">
        <v>112</v>
      </c>
      <c r="K8" s="40" t="s">
        <v>113</v>
      </c>
      <c r="L8" s="41" t="s">
        <v>114</v>
      </c>
      <c r="M8" s="42" t="s">
        <v>115</v>
      </c>
      <c r="N8" s="29" t="s">
        <v>116</v>
      </c>
      <c r="O8" s="19" t="s">
        <v>117</v>
      </c>
      <c r="P8" s="43" t="s">
        <v>118</v>
      </c>
      <c r="Q8" s="29" t="s">
        <v>119</v>
      </c>
      <c r="R8" s="29" t="s">
        <v>120</v>
      </c>
      <c r="S8" s="24" t="s">
        <v>121</v>
      </c>
      <c r="T8" s="8"/>
      <c r="U8" s="33"/>
      <c r="V8" s="32"/>
      <c r="W8" s="33"/>
      <c r="X8" s="32"/>
    </row>
    <row r="9" ht="38.25" customHeight="1">
      <c r="A9" s="18">
        <v>5.0</v>
      </c>
      <c r="B9" s="44" t="s">
        <v>122</v>
      </c>
      <c r="C9" s="18" t="s">
        <v>123</v>
      </c>
      <c r="D9" s="18" t="s">
        <v>124</v>
      </c>
      <c r="E9" s="18" t="s">
        <v>125</v>
      </c>
      <c r="F9" s="41" t="s">
        <v>126</v>
      </c>
      <c r="G9" s="23" t="s">
        <v>127</v>
      </c>
      <c r="H9" s="18" t="s">
        <v>128</v>
      </c>
      <c r="I9" s="19" t="s">
        <v>129</v>
      </c>
      <c r="J9" s="25" t="s">
        <v>130</v>
      </c>
      <c r="K9" s="23" t="s">
        <v>131</v>
      </c>
      <c r="L9" s="41" t="s">
        <v>132</v>
      </c>
      <c r="M9" s="42" t="s">
        <v>133</v>
      </c>
      <c r="N9" s="29" t="s">
        <v>134</v>
      </c>
      <c r="O9" s="19"/>
      <c r="P9" s="23" t="s">
        <v>135</v>
      </c>
      <c r="Q9" s="29" t="s">
        <v>136</v>
      </c>
      <c r="R9" s="25" t="s">
        <v>137</v>
      </c>
      <c r="S9" s="24" t="s">
        <v>138</v>
      </c>
      <c r="T9" s="45"/>
      <c r="U9" s="33"/>
      <c r="V9" s="32"/>
      <c r="W9" s="33"/>
      <c r="X9" s="32"/>
    </row>
    <row r="10" ht="37.5" customHeight="1">
      <c r="A10" s="18">
        <v>6.0</v>
      </c>
      <c r="B10" s="46" t="s">
        <v>139</v>
      </c>
      <c r="C10" s="18" t="s">
        <v>140</v>
      </c>
      <c r="D10" s="23" t="s">
        <v>141</v>
      </c>
      <c r="E10" s="18" t="s">
        <v>142</v>
      </c>
      <c r="F10" s="35" t="s">
        <v>143</v>
      </c>
      <c r="G10" s="47" t="s">
        <v>144</v>
      </c>
      <c r="H10" s="22" t="s">
        <v>145</v>
      </c>
      <c r="I10" s="38" t="s">
        <v>146</v>
      </c>
      <c r="J10" s="25" t="s">
        <v>147</v>
      </c>
      <c r="K10" s="23" t="s">
        <v>148</v>
      </c>
      <c r="L10" s="41" t="s">
        <v>149</v>
      </c>
      <c r="M10" s="23" t="s">
        <v>150</v>
      </c>
      <c r="N10" s="29" t="s">
        <v>151</v>
      </c>
      <c r="O10" s="48"/>
      <c r="P10" s="48"/>
      <c r="Q10" s="29"/>
      <c r="R10" s="25" t="s">
        <v>152</v>
      </c>
      <c r="S10" s="28"/>
      <c r="T10" s="8"/>
      <c r="U10" s="33"/>
      <c r="V10" s="49"/>
      <c r="W10" s="33"/>
      <c r="X10" s="32"/>
    </row>
    <row r="11" ht="37.5" customHeight="1">
      <c r="A11" s="50">
        <v>7.0</v>
      </c>
      <c r="B11" s="51"/>
      <c r="C11" s="52" t="s">
        <v>153</v>
      </c>
      <c r="D11" s="47" t="s">
        <v>154</v>
      </c>
      <c r="E11" s="53" t="s">
        <v>155</v>
      </c>
      <c r="F11" s="19" t="s">
        <v>156</v>
      </c>
      <c r="G11" s="18" t="s">
        <v>157</v>
      </c>
      <c r="H11" s="18" t="s">
        <v>158</v>
      </c>
      <c r="I11" s="23" t="s">
        <v>159</v>
      </c>
      <c r="J11" s="19" t="s">
        <v>160</v>
      </c>
      <c r="K11" s="54" t="s">
        <v>161</v>
      </c>
      <c r="L11" s="29" t="s">
        <v>162</v>
      </c>
      <c r="M11" s="23" t="s">
        <v>163</v>
      </c>
      <c r="N11" s="29" t="s">
        <v>164</v>
      </c>
      <c r="O11" s="48"/>
      <c r="P11" s="48"/>
      <c r="Q11" s="25"/>
      <c r="R11" s="25"/>
      <c r="S11" s="28"/>
      <c r="T11" s="45"/>
      <c r="U11" s="33"/>
      <c r="V11" s="32"/>
      <c r="W11" s="33"/>
      <c r="X11" s="32"/>
    </row>
    <row r="12" ht="37.5" customHeight="1">
      <c r="A12" s="27">
        <v>8.0</v>
      </c>
      <c r="B12" s="55"/>
      <c r="C12" s="56" t="s">
        <v>165</v>
      </c>
      <c r="D12" s="57" t="s">
        <v>166</v>
      </c>
      <c r="E12" s="55"/>
      <c r="F12" s="58"/>
      <c r="G12" s="59" t="s">
        <v>167</v>
      </c>
      <c r="H12" s="47" t="s">
        <v>168</v>
      </c>
      <c r="I12" s="60" t="s">
        <v>169</v>
      </c>
      <c r="J12" s="61" t="s">
        <v>170</v>
      </c>
      <c r="K12" s="62" t="s">
        <v>171</v>
      </c>
      <c r="L12" s="61" t="s">
        <v>172</v>
      </c>
      <c r="M12" s="63" t="s">
        <v>173</v>
      </c>
      <c r="N12" s="64" t="s">
        <v>174</v>
      </c>
      <c r="O12" s="61"/>
      <c r="P12" s="65"/>
      <c r="Q12" s="66"/>
      <c r="R12" s="66"/>
      <c r="S12" s="56"/>
      <c r="T12" s="8"/>
    </row>
    <row r="13" ht="48.75" customHeight="1">
      <c r="A13" s="67" t="s">
        <v>175</v>
      </c>
      <c r="B13" s="68"/>
      <c r="C13" s="68"/>
      <c r="D13" s="68"/>
      <c r="E13" s="68"/>
      <c r="F13" s="69"/>
      <c r="G13" s="70" t="s">
        <v>176</v>
      </c>
      <c r="H13" s="71"/>
      <c r="I13" s="72" t="s">
        <v>177</v>
      </c>
      <c r="J13" s="73" t="s">
        <v>178</v>
      </c>
      <c r="K13" s="74" t="s">
        <v>179</v>
      </c>
      <c r="L13" s="75"/>
      <c r="M13" s="76"/>
      <c r="N13" s="75"/>
      <c r="O13" s="77"/>
      <c r="P13" s="78"/>
      <c r="Q13" s="72" t="s">
        <v>180</v>
      </c>
      <c r="R13" s="72"/>
      <c r="S13" s="79"/>
      <c r="T13" s="80"/>
      <c r="U13" s="81"/>
      <c r="V13" s="81"/>
      <c r="W13" s="81"/>
      <c r="X13" s="81"/>
      <c r="Y13" s="81"/>
      <c r="Z13" s="81"/>
      <c r="AA13" s="81"/>
    </row>
    <row r="14" ht="56.25" customHeight="1">
      <c r="A14" s="82"/>
      <c r="B14" s="83"/>
      <c r="C14" s="83"/>
      <c r="D14" s="83"/>
      <c r="E14" s="83"/>
      <c r="F14" s="83"/>
      <c r="G14" s="83"/>
      <c r="H14" s="84"/>
      <c r="I14" s="85"/>
      <c r="J14" s="86"/>
      <c r="K14" s="73"/>
      <c r="L14" s="73"/>
      <c r="M14" s="85"/>
      <c r="N14" s="87"/>
      <c r="O14" s="88"/>
      <c r="P14" s="73"/>
      <c r="Q14" s="72"/>
      <c r="R14" s="72"/>
      <c r="S14" s="79"/>
      <c r="T14" s="8"/>
      <c r="U14" s="81"/>
      <c r="V14" s="81"/>
      <c r="W14" s="81"/>
      <c r="X14" s="81"/>
      <c r="Y14" s="81"/>
      <c r="Z14" s="81"/>
      <c r="AA14" s="81"/>
    </row>
    <row r="15" ht="56.25" customHeight="1">
      <c r="A15" s="82"/>
      <c r="B15" s="83"/>
      <c r="C15" s="83"/>
      <c r="D15" s="83"/>
      <c r="E15" s="83"/>
      <c r="F15" s="83"/>
      <c r="G15" s="83"/>
      <c r="H15" s="85"/>
      <c r="I15" s="85"/>
      <c r="J15" s="89"/>
      <c r="K15" s="89"/>
      <c r="L15" s="88"/>
      <c r="M15" s="89"/>
      <c r="N15" s="87"/>
      <c r="O15" s="89"/>
      <c r="P15" s="88"/>
      <c r="Q15" s="88"/>
      <c r="R15" s="88"/>
      <c r="S15" s="90"/>
      <c r="T15" s="80"/>
      <c r="U15" s="81"/>
      <c r="V15" s="81"/>
      <c r="W15" s="81"/>
      <c r="X15" s="81"/>
      <c r="Y15" s="81"/>
      <c r="Z15" s="81"/>
      <c r="AA15" s="81"/>
    </row>
    <row r="16" ht="56.25" customHeight="1">
      <c r="A16" s="82"/>
      <c r="B16" s="83"/>
      <c r="C16" s="83"/>
      <c r="D16" s="83"/>
      <c r="E16" s="83"/>
      <c r="F16" s="83"/>
      <c r="G16" s="83"/>
      <c r="H16" s="83"/>
      <c r="I16" s="83"/>
      <c r="J16" s="89"/>
      <c r="K16" s="89"/>
      <c r="L16" s="88"/>
      <c r="M16" s="89"/>
      <c r="N16" s="87"/>
      <c r="O16" s="89"/>
      <c r="P16" s="88"/>
      <c r="Q16" s="88"/>
      <c r="R16" s="88"/>
      <c r="S16" s="90"/>
      <c r="T16" s="8"/>
      <c r="U16" s="81"/>
      <c r="V16" s="81"/>
      <c r="W16" s="81"/>
      <c r="X16" s="81"/>
      <c r="Y16" s="81"/>
      <c r="Z16" s="81"/>
      <c r="AA16" s="81"/>
    </row>
    <row r="17" ht="56.25" hidden="1" customHeight="1">
      <c r="A17" s="82"/>
      <c r="B17" s="91"/>
      <c r="C17" s="91"/>
      <c r="D17" s="91"/>
      <c r="E17" s="91"/>
      <c r="F17" s="91"/>
      <c r="G17" s="91"/>
      <c r="H17" s="91"/>
      <c r="I17" s="91"/>
      <c r="J17" s="91"/>
      <c r="K17" s="92"/>
      <c r="L17" s="88"/>
      <c r="M17" s="93"/>
      <c r="N17" s="89"/>
      <c r="O17" s="89"/>
      <c r="P17" s="88"/>
      <c r="Q17" s="88"/>
      <c r="R17" s="88"/>
      <c r="S17" s="90"/>
      <c r="T17" s="80"/>
      <c r="U17" s="81"/>
      <c r="V17" s="81"/>
      <c r="W17" s="81"/>
      <c r="X17" s="81"/>
      <c r="Y17" s="81"/>
      <c r="Z17" s="81"/>
      <c r="AA17" s="81"/>
    </row>
    <row r="18" ht="49.5" hidden="1" customHeight="1">
      <c r="A18" s="82"/>
      <c r="B18" s="91"/>
      <c r="C18" s="91"/>
      <c r="D18" s="91"/>
      <c r="E18" s="91"/>
      <c r="F18" s="91"/>
      <c r="G18" s="91"/>
      <c r="H18" s="91"/>
      <c r="I18" s="91"/>
      <c r="J18" s="91"/>
      <c r="K18" s="92"/>
      <c r="L18" s="88"/>
      <c r="M18" s="93"/>
      <c r="N18" s="89"/>
      <c r="O18" s="89"/>
      <c r="P18" s="88"/>
      <c r="Q18" s="88"/>
      <c r="R18" s="88"/>
      <c r="S18" s="90"/>
      <c r="T18" s="8" t="s">
        <v>181</v>
      </c>
      <c r="U18" s="81"/>
      <c r="V18" s="81"/>
      <c r="W18" s="81"/>
      <c r="X18" s="81"/>
      <c r="Y18" s="81"/>
      <c r="Z18" s="81"/>
      <c r="AA18" s="81"/>
    </row>
    <row r="19" ht="49.5" hidden="1" customHeight="1">
      <c r="A19" s="82"/>
      <c r="B19" s="91"/>
      <c r="C19" s="91"/>
      <c r="D19" s="91"/>
      <c r="E19" s="91"/>
      <c r="F19" s="91"/>
      <c r="G19" s="91"/>
      <c r="H19" s="91"/>
      <c r="I19" s="91"/>
      <c r="J19" s="91"/>
      <c r="K19" s="92"/>
      <c r="L19" s="94"/>
      <c r="M19" s="94"/>
      <c r="N19" s="95"/>
      <c r="O19" s="95"/>
      <c r="P19" s="94"/>
      <c r="Q19" s="94"/>
      <c r="R19" s="94"/>
      <c r="S19" s="90"/>
      <c r="T19" s="81"/>
      <c r="U19" s="81"/>
      <c r="V19" s="81"/>
      <c r="W19" s="81"/>
      <c r="X19" s="81"/>
      <c r="Y19" s="81"/>
      <c r="Z19" s="81"/>
      <c r="AA19" s="81"/>
    </row>
    <row r="20">
      <c r="A20" s="96" t="s">
        <v>182</v>
      </c>
      <c r="B20" s="97">
        <f>IFERROR(__xludf.DUMMYFUNCTION("COUNTUNIQUE(B5:B12)"),6.0)</f>
        <v>6</v>
      </c>
      <c r="C20" s="97">
        <f>IFERROR(__xludf.DUMMYFUNCTION("COUNTUNIQUE(C5:C12)"),8.0)</f>
        <v>8</v>
      </c>
      <c r="D20" s="97">
        <f>IFERROR(__xludf.DUMMYFUNCTION("COUNTUNIQUE(D5:D12)"),8.0)</f>
        <v>8</v>
      </c>
      <c r="E20" s="97">
        <f>IFERROR(__xludf.DUMMYFUNCTION("COUNTUNIQUE(E5:E12)"),7.0)</f>
        <v>7</v>
      </c>
      <c r="F20" s="97">
        <f>IFERROR(__xludf.DUMMYFUNCTION("COUNTUNIQUE(F6:F12)"),6.0)</f>
        <v>6</v>
      </c>
      <c r="G20" s="97">
        <f>IFERROR(__xludf.DUMMYFUNCTION("COUNTUNIQUE(G5:G12)"),8.0)</f>
        <v>8</v>
      </c>
      <c r="H20" s="97">
        <f>IFERROR(__xludf.DUMMYFUNCTION("COUNTUNIQUE(H5:H12)"),8.0)</f>
        <v>8</v>
      </c>
      <c r="I20" s="97">
        <f>IFERROR(__xludf.DUMMYFUNCTION("COUNTUNIQUE(I5:I12)"),8.0)</f>
        <v>8</v>
      </c>
      <c r="J20" s="97">
        <f>IFERROR(__xludf.DUMMYFUNCTION("COUNTUNIQUE(J5:J12)"),8.0)</f>
        <v>8</v>
      </c>
      <c r="K20" s="97">
        <f>IFERROR(__xludf.DUMMYFUNCTION("COUNTUNIQUE(K5:K12)"),8.0)</f>
        <v>8</v>
      </c>
      <c r="L20" s="97">
        <f>IFERROR(__xludf.DUMMYFUNCTION("COUNTUNIQUE(L5:L12)"),8.0)</f>
        <v>8</v>
      </c>
      <c r="M20" s="97">
        <f>IFERROR(__xludf.DUMMYFUNCTION("COUNTUNIQUE(M5:M12)"),8.0)</f>
        <v>8</v>
      </c>
      <c r="N20" s="97">
        <f>IFERROR(__xludf.DUMMYFUNCTION("COUNTUNIQUE(N5:N12)"),8.0)</f>
        <v>8</v>
      </c>
      <c r="O20" s="97">
        <f>IFERROR(__xludf.DUMMYFUNCTION("COUNTUNIQUE(O5:O12)"),4.0)</f>
        <v>4</v>
      </c>
      <c r="P20" s="97">
        <f>IFERROR(__xludf.DUMMYFUNCTION("COUNTUNIQUE(P5:P12)"),5.0)</f>
        <v>5</v>
      </c>
      <c r="Q20" s="97">
        <f>IFERROR(__xludf.DUMMYFUNCTION("COUNTUNIQUE(Q5:Q12)"),5.0)</f>
        <v>5</v>
      </c>
      <c r="R20" s="97">
        <f>IFERROR(__xludf.DUMMYFUNCTION("COUNTUNIQUE(R5:R12)"),6.0)</f>
        <v>6</v>
      </c>
      <c r="S20" s="97">
        <f>IFERROR(__xludf.DUMMYFUNCTION("COUNTUNIQUE(S5:S12)"),5.0)</f>
        <v>5</v>
      </c>
    </row>
    <row r="21" ht="39.75" customHeight="1">
      <c r="A21" s="27">
        <v>1.0</v>
      </c>
      <c r="B21" s="98" t="s">
        <v>183</v>
      </c>
      <c r="C21" s="99"/>
      <c r="D21" s="99"/>
      <c r="E21" s="99"/>
      <c r="F21" s="99"/>
      <c r="G21" s="99"/>
      <c r="H21" s="99"/>
      <c r="I21" s="99"/>
      <c r="J21" s="100"/>
      <c r="K21" s="101" t="s">
        <v>184</v>
      </c>
      <c r="L21" s="52"/>
      <c r="M21" s="102" t="s">
        <v>185</v>
      </c>
      <c r="N21" s="52"/>
      <c r="O21" s="52"/>
      <c r="P21" s="103"/>
      <c r="Q21" s="19" t="s">
        <v>186</v>
      </c>
      <c r="R21" s="104"/>
      <c r="S21" s="105"/>
      <c r="T21" s="106"/>
      <c r="U21" s="107" t="s">
        <v>187</v>
      </c>
      <c r="V21" s="108" t="s">
        <v>188</v>
      </c>
    </row>
    <row r="22" ht="37.5" customHeight="1">
      <c r="A22" s="27">
        <v>2.0</v>
      </c>
      <c r="B22" s="51"/>
      <c r="C22" s="18"/>
      <c r="D22" s="109"/>
      <c r="E22" s="110"/>
      <c r="F22" s="110"/>
      <c r="G22" s="110"/>
      <c r="H22" s="110"/>
      <c r="I22" s="110"/>
      <c r="J22" s="110"/>
      <c r="K22" s="101" t="s">
        <v>189</v>
      </c>
      <c r="L22" s="52"/>
      <c r="M22" s="52" t="s">
        <v>190</v>
      </c>
      <c r="N22" s="52"/>
      <c r="O22" s="52"/>
      <c r="P22" s="103"/>
      <c r="Q22" s="103"/>
      <c r="R22" s="111"/>
      <c r="S22" s="105"/>
      <c r="T22" s="112"/>
      <c r="U22" s="113" t="s">
        <v>191</v>
      </c>
      <c r="V22" s="113" t="s">
        <v>192</v>
      </c>
    </row>
    <row r="23" ht="36.0" customHeight="1">
      <c r="A23" s="27">
        <v>3.0</v>
      </c>
      <c r="B23" s="22"/>
      <c r="C23" s="22"/>
      <c r="D23" s="18"/>
      <c r="E23" s="109"/>
      <c r="F23" s="109"/>
      <c r="G23" s="109"/>
      <c r="H23" s="109"/>
      <c r="I23" s="109"/>
      <c r="J23" s="109"/>
      <c r="K23" s="52"/>
      <c r="L23" s="52"/>
      <c r="M23" s="114" t="s">
        <v>193</v>
      </c>
      <c r="N23" s="52"/>
      <c r="O23" s="52"/>
      <c r="P23" s="103"/>
      <c r="Q23" s="103"/>
      <c r="R23" s="111"/>
      <c r="S23" s="105"/>
      <c r="T23" s="115"/>
      <c r="U23" s="116"/>
    </row>
    <row r="24" ht="41.25" customHeight="1">
      <c r="A24" s="117">
        <v>4.0</v>
      </c>
      <c r="B24" s="18"/>
      <c r="C24" s="18"/>
      <c r="D24" s="18"/>
      <c r="E24" s="118"/>
      <c r="F24" s="118"/>
      <c r="G24" s="118"/>
      <c r="H24" s="118"/>
      <c r="I24" s="110"/>
      <c r="J24" s="110"/>
      <c r="K24" s="52"/>
      <c r="L24" s="52"/>
      <c r="M24" s="102" t="s">
        <v>194</v>
      </c>
      <c r="N24" s="52"/>
      <c r="O24" s="52"/>
      <c r="P24" s="103"/>
      <c r="Q24" s="103"/>
      <c r="R24" s="103"/>
      <c r="S24" s="103"/>
    </row>
    <row r="25" ht="43.5" customHeight="1">
      <c r="A25" s="117">
        <v>5.0</v>
      </c>
      <c r="B25" s="18"/>
      <c r="C25" s="18"/>
      <c r="D25" s="18"/>
      <c r="E25" s="118"/>
      <c r="F25" s="118"/>
      <c r="G25" s="118"/>
      <c r="H25" s="118"/>
      <c r="I25" s="110"/>
      <c r="J25" s="110"/>
      <c r="K25" s="52"/>
      <c r="L25" s="52"/>
      <c r="M25" s="119" t="s">
        <v>195</v>
      </c>
      <c r="N25" s="52"/>
      <c r="O25" s="52"/>
      <c r="P25" s="103"/>
      <c r="Q25" s="120"/>
      <c r="R25" s="120"/>
      <c r="S25" s="105"/>
      <c r="T25" s="121" t="s">
        <v>196</v>
      </c>
      <c r="U25" s="122">
        <f>sum(B20:S20)</f>
        <v>124</v>
      </c>
    </row>
    <row r="26" ht="34.5" customHeight="1">
      <c r="A26" s="27">
        <v>6.0</v>
      </c>
      <c r="B26" s="19"/>
      <c r="C26" s="19"/>
      <c r="D26" s="19"/>
      <c r="E26" s="19"/>
      <c r="F26" s="19"/>
      <c r="G26" s="19"/>
      <c r="H26" s="19"/>
      <c r="I26" s="19"/>
      <c r="J26" s="19"/>
      <c r="K26" s="52"/>
      <c r="L26" s="52"/>
      <c r="M26" s="18" t="s">
        <v>197</v>
      </c>
      <c r="N26" s="103"/>
      <c r="O26" s="52"/>
      <c r="P26" s="103"/>
      <c r="Q26" s="123"/>
      <c r="R26" s="123"/>
      <c r="S26" s="105"/>
      <c r="T26" s="121"/>
    </row>
    <row r="27" ht="35.25" customHeight="1">
      <c r="A27" s="18">
        <v>7.0</v>
      </c>
      <c r="B27" s="52"/>
      <c r="C27" s="52"/>
      <c r="D27" s="52"/>
      <c r="E27" s="52"/>
      <c r="F27" s="52"/>
      <c r="G27" s="52"/>
      <c r="H27" s="52"/>
      <c r="I27" s="52"/>
      <c r="J27" s="52"/>
      <c r="K27" s="52"/>
      <c r="L27" s="52"/>
      <c r="M27" s="119" t="s">
        <v>198</v>
      </c>
      <c r="N27" s="124"/>
      <c r="O27" s="52"/>
      <c r="P27" s="125"/>
      <c r="Q27" s="126"/>
      <c r="R27" s="111"/>
      <c r="S27" s="105"/>
      <c r="T27" s="127" t="s">
        <v>199</v>
      </c>
      <c r="U27" s="128">
        <f>U25+'2025 MonWed'!M18+'2025 TueThu'!AC18+'2025 WedFri'!M17</f>
        <v>443</v>
      </c>
    </row>
    <row r="28" ht="37.5" customHeight="1">
      <c r="A28" s="27">
        <v>8.0</v>
      </c>
      <c r="B28" s="18"/>
      <c r="C28" s="18"/>
      <c r="D28" s="18"/>
      <c r="E28" s="18"/>
      <c r="F28" s="18"/>
      <c r="G28" s="18"/>
      <c r="H28" s="18"/>
      <c r="I28" s="18"/>
      <c r="J28" s="18"/>
      <c r="K28" s="52"/>
      <c r="L28" s="52"/>
      <c r="M28" s="19" t="s">
        <v>200</v>
      </c>
      <c r="N28" s="52"/>
      <c r="O28" s="52"/>
      <c r="P28" s="103"/>
      <c r="Q28" s="111"/>
      <c r="R28" s="111"/>
      <c r="S28" s="105"/>
      <c r="T28" s="121"/>
    </row>
    <row r="29" ht="30.0" customHeight="1">
      <c r="A29" s="117">
        <v>9.0</v>
      </c>
      <c r="B29" s="102"/>
      <c r="C29" s="102"/>
      <c r="D29" s="102"/>
      <c r="E29" s="102"/>
      <c r="F29" s="102"/>
      <c r="G29" s="102"/>
      <c r="H29" s="102"/>
      <c r="I29" s="102"/>
      <c r="J29" s="102"/>
      <c r="K29" s="103"/>
      <c r="L29" s="52"/>
      <c r="M29" s="52" t="s">
        <v>201</v>
      </c>
      <c r="N29" s="52"/>
      <c r="O29" s="52"/>
      <c r="P29" s="103"/>
      <c r="Q29" s="111"/>
      <c r="R29" s="111"/>
      <c r="S29" s="105"/>
      <c r="T29" s="121"/>
    </row>
    <row r="30" ht="30.0" customHeight="1">
      <c r="A30" s="117">
        <v>10.0</v>
      </c>
      <c r="B30" s="52"/>
      <c r="C30" s="52"/>
      <c r="D30" s="52"/>
      <c r="E30" s="52"/>
      <c r="F30" s="52"/>
      <c r="G30" s="52"/>
      <c r="H30" s="52"/>
      <c r="I30" s="52"/>
      <c r="J30" s="52"/>
      <c r="K30" s="18"/>
      <c r="L30" s="52"/>
      <c r="M30" s="103"/>
      <c r="N30" s="52"/>
      <c r="O30" s="52"/>
      <c r="P30" s="103"/>
      <c r="Q30" s="111"/>
      <c r="R30" s="111"/>
      <c r="S30" s="105"/>
      <c r="T30" s="121"/>
    </row>
    <row r="31" ht="30.0" customHeight="1">
      <c r="A31" s="117">
        <v>11.0</v>
      </c>
      <c r="B31" s="52"/>
      <c r="C31" s="52"/>
      <c r="D31" s="52"/>
      <c r="E31" s="52"/>
      <c r="F31" s="52"/>
      <c r="G31" s="52"/>
      <c r="H31" s="52"/>
      <c r="I31" s="52"/>
      <c r="J31" s="52"/>
      <c r="K31" s="18"/>
      <c r="L31" s="52"/>
      <c r="M31" s="103"/>
      <c r="N31" s="52"/>
      <c r="O31" s="52"/>
      <c r="P31" s="103"/>
      <c r="Q31" s="120"/>
      <c r="R31" s="120"/>
      <c r="S31" s="105"/>
      <c r="T31" s="121"/>
    </row>
    <row r="32" ht="30.0" customHeight="1">
      <c r="A32" s="117">
        <v>12.0</v>
      </c>
      <c r="B32" s="52"/>
      <c r="C32" s="52"/>
      <c r="D32" s="52"/>
      <c r="E32" s="52"/>
      <c r="F32" s="52"/>
      <c r="G32" s="52"/>
      <c r="H32" s="52"/>
      <c r="I32" s="52"/>
      <c r="J32" s="52"/>
      <c r="K32" s="18"/>
      <c r="L32" s="52"/>
      <c r="M32" s="103"/>
      <c r="N32" s="52"/>
      <c r="O32" s="52"/>
      <c r="P32" s="103"/>
      <c r="Q32" s="123"/>
      <c r="R32" s="123"/>
      <c r="S32" s="105"/>
      <c r="T32" s="121"/>
    </row>
    <row r="33" ht="30.0" customHeight="1">
      <c r="A33" s="117">
        <v>13.0</v>
      </c>
      <c r="B33" s="102"/>
      <c r="C33" s="102"/>
      <c r="D33" s="102"/>
      <c r="E33" s="102"/>
      <c r="F33" s="102"/>
      <c r="G33" s="102"/>
      <c r="H33" s="102"/>
      <c r="I33" s="102"/>
      <c r="J33" s="102"/>
      <c r="K33" s="19"/>
      <c r="L33" s="52"/>
      <c r="M33" s="129"/>
      <c r="N33" s="118"/>
      <c r="O33" s="52"/>
      <c r="P33" s="125"/>
      <c r="Q33" s="126"/>
      <c r="R33" s="111"/>
      <c r="S33" s="105"/>
      <c r="T33" s="121"/>
    </row>
    <row r="34" ht="30.0" customHeight="1">
      <c r="A34" s="117">
        <v>14.0</v>
      </c>
      <c r="B34" s="52"/>
      <c r="C34" s="52"/>
      <c r="D34" s="52"/>
      <c r="E34" s="52"/>
      <c r="F34" s="52"/>
      <c r="G34" s="52"/>
      <c r="H34" s="52"/>
      <c r="I34" s="52"/>
      <c r="J34" s="52"/>
      <c r="K34" s="18"/>
      <c r="L34" s="52"/>
      <c r="M34" s="103"/>
      <c r="N34" s="52"/>
      <c r="O34" s="52"/>
      <c r="P34" s="103"/>
      <c r="Q34" s="111"/>
      <c r="R34" s="111"/>
      <c r="S34" s="105"/>
      <c r="T34" s="121"/>
    </row>
    <row r="35" ht="30.0" customHeight="1">
      <c r="A35" s="117">
        <v>15.0</v>
      </c>
      <c r="B35" s="102"/>
      <c r="C35" s="102"/>
      <c r="D35" s="102"/>
      <c r="E35" s="102"/>
      <c r="F35" s="102"/>
      <c r="G35" s="102"/>
      <c r="H35" s="102"/>
      <c r="I35" s="102"/>
      <c r="J35" s="102"/>
      <c r="K35" s="19"/>
      <c r="L35" s="52"/>
      <c r="M35" s="103"/>
      <c r="N35" s="52"/>
      <c r="O35" s="52"/>
      <c r="P35" s="103"/>
      <c r="Q35" s="111"/>
      <c r="R35" s="111"/>
      <c r="S35" s="105"/>
      <c r="T35" s="121"/>
    </row>
    <row r="36" ht="30.0" customHeight="1">
      <c r="A36" s="117">
        <v>16.0</v>
      </c>
      <c r="B36" s="52"/>
      <c r="C36" s="52"/>
      <c r="D36" s="52"/>
      <c r="E36" s="52"/>
      <c r="F36" s="52"/>
      <c r="G36" s="52"/>
      <c r="H36" s="52"/>
      <c r="I36" s="52"/>
      <c r="J36" s="52"/>
      <c r="K36" s="18"/>
      <c r="L36" s="52"/>
      <c r="M36" s="103"/>
      <c r="N36" s="52"/>
      <c r="O36" s="52"/>
      <c r="P36" s="103"/>
      <c r="Q36" s="111"/>
      <c r="R36" s="111"/>
      <c r="S36" s="105"/>
      <c r="T36" s="121"/>
    </row>
    <row r="37" ht="30.0" customHeight="1">
      <c r="A37" s="117">
        <v>17.0</v>
      </c>
      <c r="B37" s="52"/>
      <c r="C37" s="52"/>
      <c r="D37" s="52"/>
      <c r="E37" s="52"/>
      <c r="F37" s="52"/>
      <c r="G37" s="52"/>
      <c r="H37" s="52"/>
      <c r="I37" s="52"/>
      <c r="J37" s="52"/>
      <c r="K37" s="18"/>
      <c r="L37" s="52"/>
      <c r="M37" s="103"/>
      <c r="N37" s="52"/>
      <c r="O37" s="52"/>
      <c r="P37" s="103"/>
      <c r="Q37" s="120"/>
      <c r="R37" s="120"/>
      <c r="S37" s="105"/>
      <c r="T37" s="121"/>
    </row>
    <row r="38" ht="30.0" customHeight="1">
      <c r="A38" s="117">
        <v>18.0</v>
      </c>
      <c r="B38" s="52"/>
      <c r="C38" s="52"/>
      <c r="D38" s="52"/>
      <c r="E38" s="52"/>
      <c r="F38" s="52"/>
      <c r="G38" s="52"/>
      <c r="H38" s="52"/>
      <c r="I38" s="52"/>
      <c r="J38" s="52"/>
      <c r="K38" s="18"/>
      <c r="L38" s="52"/>
      <c r="M38" s="103"/>
      <c r="N38" s="52"/>
      <c r="O38" s="52"/>
      <c r="P38" s="103"/>
      <c r="Q38" s="123"/>
      <c r="R38" s="123"/>
      <c r="S38" s="105"/>
      <c r="T38" s="121"/>
    </row>
    <row r="39" ht="30.0" customHeight="1">
      <c r="A39" s="117">
        <v>19.0</v>
      </c>
      <c r="B39" s="130"/>
      <c r="C39" s="130"/>
      <c r="D39" s="130"/>
      <c r="E39" s="130"/>
      <c r="F39" s="130"/>
      <c r="G39" s="130"/>
      <c r="H39" s="130"/>
      <c r="I39" s="130"/>
      <c r="J39" s="130"/>
      <c r="K39" s="130"/>
      <c r="L39" s="130"/>
      <c r="M39" s="105"/>
      <c r="N39" s="105"/>
      <c r="O39" s="105"/>
      <c r="P39" s="105"/>
      <c r="Q39" s="105"/>
      <c r="R39" s="105"/>
      <c r="S39" s="105"/>
      <c r="T39" s="121"/>
    </row>
    <row r="40" ht="30.0" customHeight="1">
      <c r="A40" s="117">
        <v>20.0</v>
      </c>
      <c r="B40" s="130"/>
      <c r="C40" s="130"/>
      <c r="D40" s="130"/>
      <c r="E40" s="130"/>
      <c r="F40" s="130"/>
      <c r="G40" s="130"/>
      <c r="H40" s="130"/>
      <c r="I40" s="130"/>
      <c r="J40" s="130"/>
      <c r="K40" s="130"/>
      <c r="L40" s="130"/>
      <c r="M40" s="105"/>
      <c r="N40" s="105"/>
      <c r="O40" s="105"/>
      <c r="P40" s="105"/>
      <c r="Q40" s="105"/>
      <c r="R40" s="105"/>
      <c r="S40" s="105"/>
      <c r="T40" s="121"/>
    </row>
    <row r="41" ht="30.0" customHeight="1">
      <c r="A41" s="117">
        <v>21.0</v>
      </c>
      <c r="B41" s="130"/>
      <c r="C41" s="130"/>
      <c r="D41" s="130"/>
      <c r="E41" s="130"/>
      <c r="F41" s="130"/>
      <c r="G41" s="130"/>
      <c r="H41" s="130"/>
      <c r="I41" s="130"/>
      <c r="J41" s="130"/>
      <c r="K41" s="130"/>
      <c r="L41" s="130"/>
      <c r="M41" s="105"/>
      <c r="N41" s="105"/>
      <c r="O41" s="105"/>
      <c r="P41" s="105"/>
      <c r="Q41" s="105"/>
      <c r="R41" s="105"/>
      <c r="S41" s="105"/>
      <c r="T41" s="121"/>
    </row>
    <row r="42" ht="30.0" customHeight="1">
      <c r="A42" s="117">
        <v>22.0</v>
      </c>
      <c r="B42" s="130"/>
      <c r="C42" s="130"/>
      <c r="D42" s="130"/>
      <c r="E42" s="130"/>
      <c r="F42" s="130"/>
      <c r="G42" s="130"/>
      <c r="H42" s="130"/>
      <c r="I42" s="130"/>
      <c r="J42" s="130"/>
      <c r="K42" s="130"/>
      <c r="L42" s="130"/>
      <c r="M42" s="105"/>
      <c r="N42" s="105"/>
      <c r="O42" s="105"/>
      <c r="P42" s="105"/>
      <c r="Q42" s="105"/>
      <c r="R42" s="105"/>
      <c r="S42" s="105"/>
      <c r="T42" s="121"/>
    </row>
    <row r="43" ht="30.0" customHeight="1">
      <c r="A43" s="131">
        <v>23.0</v>
      </c>
      <c r="B43" s="132"/>
      <c r="C43" s="132"/>
      <c r="D43" s="132"/>
      <c r="E43" s="132"/>
      <c r="F43" s="132"/>
      <c r="G43" s="132"/>
      <c r="H43" s="132"/>
      <c r="I43" s="132"/>
      <c r="J43" s="132"/>
      <c r="K43" s="132"/>
      <c r="L43" s="132"/>
      <c r="M43" s="133"/>
      <c r="N43" s="133"/>
      <c r="O43" s="133"/>
      <c r="P43" s="133"/>
      <c r="Q43" s="133"/>
      <c r="R43" s="133"/>
      <c r="S43" s="133"/>
      <c r="T43" s="121"/>
    </row>
    <row r="44" ht="30.0" customHeight="1">
      <c r="A44" s="134">
        <v>24.0</v>
      </c>
      <c r="B44" s="135"/>
      <c r="C44" s="135"/>
      <c r="D44" s="135"/>
      <c r="E44" s="135"/>
      <c r="F44" s="135"/>
      <c r="G44" s="135"/>
      <c r="H44" s="135"/>
      <c r="I44" s="135"/>
      <c r="J44" s="135"/>
      <c r="K44" s="135"/>
      <c r="L44" s="135"/>
      <c r="M44" s="135"/>
      <c r="N44" s="135"/>
      <c r="O44" s="135"/>
      <c r="P44" s="135"/>
      <c r="Q44" s="135"/>
      <c r="R44" s="135"/>
      <c r="S44" s="135"/>
      <c r="T44" s="121"/>
    </row>
    <row r="45" ht="30.0" customHeight="1">
      <c r="A45" s="134">
        <v>25.0</v>
      </c>
      <c r="B45" s="135"/>
      <c r="C45" s="135"/>
      <c r="D45" s="135"/>
      <c r="E45" s="135"/>
      <c r="F45" s="135"/>
      <c r="G45" s="135"/>
      <c r="H45" s="135"/>
      <c r="I45" s="135"/>
      <c r="J45" s="135"/>
      <c r="K45" s="135"/>
      <c r="L45" s="135"/>
      <c r="M45" s="135"/>
      <c r="N45" s="135"/>
      <c r="O45" s="135"/>
      <c r="P45" s="135"/>
      <c r="Q45" s="135"/>
      <c r="R45" s="135"/>
      <c r="S45" s="135"/>
      <c r="T45" s="121"/>
    </row>
    <row r="46" ht="29.25" customHeight="1">
      <c r="A46" s="134">
        <v>26.0</v>
      </c>
      <c r="B46" s="135"/>
      <c r="C46" s="135"/>
      <c r="D46" s="135"/>
      <c r="E46" s="135"/>
      <c r="F46" s="135"/>
      <c r="G46" s="135"/>
      <c r="H46" s="135"/>
      <c r="I46" s="135"/>
      <c r="J46" s="135"/>
      <c r="K46" s="135"/>
      <c r="L46" s="135"/>
      <c r="M46" s="135"/>
      <c r="N46" s="135"/>
      <c r="O46" s="135"/>
      <c r="P46" s="135"/>
      <c r="Q46" s="135"/>
      <c r="R46" s="135"/>
      <c r="S46" s="135"/>
      <c r="T46" s="121"/>
    </row>
    <row r="47" ht="30.75" customHeight="1">
      <c r="A47" s="134">
        <v>27.0</v>
      </c>
      <c r="B47" s="135"/>
      <c r="C47" s="135"/>
      <c r="D47" s="135"/>
      <c r="E47" s="135"/>
      <c r="F47" s="135"/>
      <c r="G47" s="135"/>
      <c r="H47" s="135"/>
      <c r="I47" s="135"/>
      <c r="J47" s="135"/>
      <c r="K47" s="135"/>
      <c r="L47" s="135"/>
      <c r="M47" s="135"/>
      <c r="N47" s="135"/>
      <c r="O47" s="135"/>
      <c r="P47" s="135"/>
      <c r="Q47" s="135"/>
      <c r="R47" s="135"/>
      <c r="S47" s="135"/>
      <c r="T47" s="121"/>
    </row>
    <row r="48" ht="37.5" customHeight="1">
      <c r="A48" s="134">
        <v>28.0</v>
      </c>
      <c r="B48" s="135"/>
      <c r="C48" s="135"/>
      <c r="D48" s="135"/>
      <c r="E48" s="135"/>
      <c r="F48" s="135"/>
      <c r="G48" s="135"/>
      <c r="H48" s="135"/>
      <c r="I48" s="135"/>
      <c r="J48" s="135"/>
      <c r="K48" s="135"/>
      <c r="L48" s="135"/>
      <c r="M48" s="135"/>
      <c r="N48" s="135"/>
      <c r="O48" s="135"/>
      <c r="P48" s="135"/>
      <c r="Q48" s="135"/>
      <c r="R48" s="135"/>
      <c r="S48" s="135"/>
      <c r="T48" s="121"/>
    </row>
    <row r="49" ht="34.5" customHeight="1">
      <c r="A49" s="27">
        <v>29.0</v>
      </c>
      <c r="B49" s="136"/>
      <c r="C49" s="136"/>
      <c r="D49" s="136"/>
      <c r="E49" s="136"/>
      <c r="F49" s="136"/>
      <c r="G49" s="136"/>
      <c r="H49" s="136"/>
      <c r="I49" s="136"/>
      <c r="J49" s="136"/>
      <c r="K49" s="136"/>
      <c r="L49" s="136"/>
      <c r="M49" s="136"/>
      <c r="N49" s="136"/>
      <c r="O49" s="136"/>
      <c r="P49" s="136"/>
      <c r="Q49" s="136"/>
      <c r="R49" s="136"/>
      <c r="S49" s="136"/>
    </row>
    <row r="50">
      <c r="A50" s="137"/>
      <c r="B50" s="137"/>
      <c r="C50" s="137"/>
      <c r="D50" s="137"/>
      <c r="E50" s="137"/>
      <c r="F50" s="137"/>
      <c r="G50" s="137"/>
      <c r="H50" s="137"/>
      <c r="I50" s="137"/>
      <c r="J50" s="137"/>
      <c r="K50" s="137"/>
      <c r="L50" s="137"/>
      <c r="M50" s="137"/>
      <c r="N50" s="137"/>
      <c r="O50" s="137"/>
      <c r="P50" s="137"/>
      <c r="Q50" s="138" t="s">
        <v>202</v>
      </c>
      <c r="R50" s="137"/>
      <c r="S50" s="137"/>
    </row>
    <row r="51">
      <c r="A51" s="139"/>
      <c r="B51" s="137"/>
      <c r="C51" s="137"/>
      <c r="D51" s="137"/>
      <c r="E51" s="137"/>
      <c r="F51" s="137"/>
      <c r="G51" s="137"/>
      <c r="H51" s="137"/>
      <c r="I51" s="137"/>
      <c r="J51" s="137"/>
      <c r="K51" s="137"/>
      <c r="L51" s="137"/>
      <c r="M51" s="137"/>
      <c r="N51" s="137"/>
      <c r="O51" s="137"/>
      <c r="P51" s="137"/>
      <c r="Q51" s="137"/>
      <c r="R51" s="137"/>
      <c r="S51" s="137"/>
    </row>
    <row r="52">
      <c r="A52" s="139"/>
      <c r="B52" s="137"/>
      <c r="C52" s="137"/>
      <c r="D52" s="137"/>
      <c r="E52" s="137"/>
      <c r="F52" s="137"/>
      <c r="G52" s="137"/>
      <c r="H52" s="137"/>
      <c r="I52" s="137"/>
      <c r="J52" s="137"/>
      <c r="K52" s="137"/>
      <c r="M52" s="137"/>
      <c r="N52" s="137"/>
      <c r="O52" s="137"/>
      <c r="P52" s="137"/>
      <c r="Q52" s="137"/>
      <c r="R52" s="137"/>
      <c r="S52" s="137"/>
    </row>
    <row r="53">
      <c r="A53" s="139"/>
      <c r="B53" s="137"/>
      <c r="C53" s="137"/>
      <c r="D53" s="137"/>
      <c r="E53" s="137"/>
      <c r="F53" s="137"/>
      <c r="G53" s="137"/>
      <c r="H53" s="137"/>
      <c r="I53" s="137"/>
      <c r="J53" s="137"/>
      <c r="K53" s="137"/>
      <c r="L53" s="137"/>
      <c r="M53" s="137"/>
      <c r="N53" s="137"/>
      <c r="O53" s="137"/>
      <c r="P53" s="137"/>
      <c r="Q53" s="137"/>
      <c r="R53" s="137"/>
      <c r="S53" s="137"/>
    </row>
    <row r="54">
      <c r="A54" s="139"/>
      <c r="B54" s="137"/>
      <c r="C54" s="137"/>
      <c r="D54" s="137"/>
      <c r="E54" s="137"/>
      <c r="F54" s="137"/>
      <c r="G54" s="137"/>
      <c r="H54" s="137"/>
      <c r="I54" s="137"/>
      <c r="J54" s="137"/>
      <c r="K54" s="137"/>
      <c r="L54" s="137"/>
      <c r="M54" s="137"/>
      <c r="N54" s="137"/>
      <c r="O54" s="137"/>
      <c r="P54" s="137"/>
      <c r="Q54" s="137"/>
      <c r="R54" s="137"/>
      <c r="S54" s="137"/>
    </row>
    <row r="55">
      <c r="A55" s="139"/>
      <c r="B55" s="137"/>
      <c r="C55" s="137"/>
      <c r="D55" s="137"/>
      <c r="E55" s="137"/>
      <c r="F55" s="137"/>
      <c r="G55" s="137"/>
      <c r="H55" s="137"/>
      <c r="I55" s="137"/>
      <c r="J55" s="137"/>
      <c r="K55" s="137"/>
      <c r="L55" s="137"/>
      <c r="M55" s="137"/>
      <c r="N55" s="137"/>
      <c r="O55" s="137"/>
      <c r="P55" s="137"/>
      <c r="Q55" s="137"/>
      <c r="R55" s="137"/>
      <c r="S55" s="137"/>
    </row>
    <row r="56">
      <c r="A56" s="139"/>
      <c r="B56" s="137"/>
      <c r="C56" s="137"/>
      <c r="D56" s="137"/>
      <c r="E56" s="137"/>
      <c r="F56" s="137"/>
      <c r="G56" s="137"/>
      <c r="H56" s="137"/>
      <c r="I56" s="137"/>
      <c r="J56" s="137"/>
      <c r="K56" s="137"/>
      <c r="L56" s="137"/>
      <c r="M56" s="137"/>
      <c r="N56" s="137"/>
      <c r="O56" s="137"/>
      <c r="P56" s="137"/>
      <c r="Q56" s="137"/>
      <c r="R56" s="137"/>
      <c r="S56" s="137"/>
    </row>
    <row r="57">
      <c r="A57" s="139"/>
      <c r="B57" s="137"/>
      <c r="C57" s="137"/>
      <c r="D57" s="137"/>
      <c r="E57" s="137"/>
      <c r="F57" s="137"/>
      <c r="G57" s="137"/>
      <c r="H57" s="137"/>
      <c r="I57" s="137"/>
      <c r="J57" s="137"/>
      <c r="K57" s="137"/>
      <c r="L57" s="137"/>
      <c r="M57" s="137"/>
      <c r="N57" s="137"/>
      <c r="O57" s="137"/>
      <c r="P57" s="137"/>
      <c r="Q57" s="137"/>
      <c r="R57" s="137"/>
      <c r="S57" s="137"/>
    </row>
    <row r="58">
      <c r="A58" s="139"/>
      <c r="B58" s="137"/>
      <c r="C58" s="137"/>
      <c r="D58" s="137"/>
      <c r="E58" s="137"/>
      <c r="F58" s="137"/>
      <c r="G58" s="137"/>
      <c r="H58" s="137"/>
      <c r="I58" s="137"/>
      <c r="J58" s="137"/>
      <c r="K58" s="137"/>
      <c r="L58" s="137"/>
      <c r="M58" s="137"/>
      <c r="N58" s="137"/>
      <c r="O58" s="137"/>
      <c r="P58" s="137"/>
      <c r="Q58" s="137"/>
      <c r="R58" s="137"/>
      <c r="S58" s="137"/>
    </row>
    <row r="59">
      <c r="A59" s="139"/>
      <c r="B59" s="137"/>
      <c r="C59" s="137"/>
      <c r="D59" s="137"/>
      <c r="E59" s="137"/>
      <c r="F59" s="137"/>
      <c r="G59" s="137"/>
      <c r="H59" s="137"/>
      <c r="I59" s="137"/>
      <c r="J59" s="137"/>
      <c r="K59" s="137"/>
      <c r="L59" s="137"/>
      <c r="M59" s="137"/>
      <c r="N59" s="137"/>
      <c r="O59" s="137"/>
      <c r="P59" s="137"/>
      <c r="Q59" s="137"/>
      <c r="R59" s="137"/>
      <c r="S59" s="137"/>
    </row>
    <row r="60">
      <c r="A60" s="139"/>
      <c r="B60" s="137"/>
      <c r="C60" s="137"/>
      <c r="D60" s="137"/>
      <c r="E60" s="137"/>
      <c r="F60" s="137"/>
      <c r="G60" s="137"/>
      <c r="H60" s="137"/>
      <c r="I60" s="137"/>
      <c r="J60" s="137"/>
      <c r="K60" s="137"/>
      <c r="L60" s="137"/>
      <c r="M60" s="137"/>
      <c r="N60" s="137"/>
      <c r="O60" s="137"/>
      <c r="P60" s="137"/>
      <c r="Q60" s="137"/>
      <c r="R60" s="137"/>
      <c r="S60" s="137"/>
    </row>
    <row r="61">
      <c r="A61" s="139"/>
      <c r="B61" s="137"/>
      <c r="C61" s="137"/>
      <c r="D61" s="137"/>
      <c r="E61" s="137"/>
      <c r="F61" s="137"/>
      <c r="G61" s="137"/>
      <c r="H61" s="137"/>
      <c r="I61" s="137"/>
      <c r="J61" s="137"/>
      <c r="K61" s="137"/>
      <c r="L61" s="137"/>
      <c r="M61" s="137"/>
      <c r="N61" s="137"/>
      <c r="O61" s="137"/>
      <c r="P61" s="137"/>
      <c r="Q61" s="137"/>
      <c r="R61" s="137"/>
      <c r="S61" s="137"/>
    </row>
    <row r="62">
      <c r="A62" s="139"/>
      <c r="B62" s="137"/>
      <c r="C62" s="137"/>
      <c r="D62" s="137"/>
      <c r="E62" s="137"/>
      <c r="F62" s="137"/>
      <c r="G62" s="137"/>
      <c r="H62" s="137"/>
      <c r="I62" s="137"/>
      <c r="J62" s="137"/>
      <c r="K62" s="137"/>
      <c r="L62" s="137"/>
      <c r="M62" s="137"/>
      <c r="N62" s="137"/>
      <c r="O62" s="137"/>
      <c r="P62" s="137"/>
      <c r="Q62" s="137"/>
      <c r="R62" s="137"/>
      <c r="S62" s="137"/>
    </row>
    <row r="63">
      <c r="A63" s="139"/>
      <c r="B63" s="137"/>
      <c r="C63" s="137"/>
      <c r="D63" s="137"/>
      <c r="E63" s="137"/>
      <c r="F63" s="137"/>
      <c r="G63" s="137"/>
      <c r="H63" s="137"/>
      <c r="I63" s="137"/>
      <c r="J63" s="137"/>
      <c r="K63" s="137"/>
      <c r="L63" s="137"/>
      <c r="M63" s="137"/>
      <c r="N63" s="137"/>
      <c r="O63" s="137"/>
      <c r="P63" s="137"/>
      <c r="Q63" s="137"/>
      <c r="R63" s="137"/>
      <c r="S63" s="137"/>
    </row>
    <row r="64">
      <c r="A64" s="139"/>
      <c r="B64" s="137"/>
      <c r="C64" s="137"/>
      <c r="D64" s="137"/>
      <c r="E64" s="137"/>
      <c r="F64" s="137"/>
      <c r="G64" s="137"/>
      <c r="H64" s="137"/>
      <c r="I64" s="137"/>
      <c r="J64" s="137"/>
      <c r="K64" s="137"/>
      <c r="L64" s="137"/>
      <c r="M64" s="137"/>
      <c r="N64" s="137"/>
      <c r="O64" s="137"/>
      <c r="P64" s="137"/>
      <c r="Q64" s="137"/>
      <c r="R64" s="137"/>
      <c r="S64" s="137"/>
    </row>
    <row r="65">
      <c r="A65" s="139"/>
      <c r="B65" s="137"/>
      <c r="C65" s="137"/>
      <c r="D65" s="137"/>
      <c r="E65" s="137"/>
      <c r="F65" s="137"/>
      <c r="G65" s="137"/>
      <c r="H65" s="137"/>
      <c r="I65" s="137"/>
      <c r="J65" s="137"/>
      <c r="K65" s="137"/>
      <c r="L65" s="137"/>
      <c r="M65" s="137"/>
      <c r="N65" s="137"/>
      <c r="O65" s="137"/>
      <c r="P65" s="137"/>
      <c r="Q65" s="137"/>
      <c r="R65" s="137"/>
      <c r="S65" s="137"/>
    </row>
    <row r="66">
      <c r="A66" s="139"/>
      <c r="B66" s="137"/>
      <c r="C66" s="137"/>
      <c r="D66" s="137"/>
      <c r="E66" s="137"/>
      <c r="F66" s="137"/>
      <c r="G66" s="137"/>
      <c r="H66" s="137"/>
      <c r="I66" s="137"/>
      <c r="J66" s="137"/>
      <c r="K66" s="137"/>
      <c r="L66" s="137"/>
      <c r="M66" s="137"/>
      <c r="N66" s="137"/>
      <c r="O66" s="137"/>
      <c r="P66" s="137"/>
      <c r="Q66" s="137"/>
      <c r="R66" s="137"/>
      <c r="S66" s="137"/>
    </row>
    <row r="67">
      <c r="A67" s="139"/>
      <c r="B67" s="137"/>
      <c r="C67" s="137"/>
      <c r="D67" s="137"/>
      <c r="E67" s="137"/>
      <c r="F67" s="137"/>
      <c r="G67" s="137"/>
      <c r="H67" s="137"/>
      <c r="I67" s="137"/>
      <c r="J67" s="137"/>
      <c r="K67" s="137"/>
      <c r="L67" s="137"/>
      <c r="M67" s="137"/>
      <c r="N67" s="137"/>
      <c r="O67" s="137"/>
      <c r="P67" s="137"/>
      <c r="Q67" s="137"/>
      <c r="R67" s="137"/>
      <c r="S67" s="137"/>
    </row>
    <row r="68">
      <c r="A68" s="139"/>
      <c r="B68" s="137"/>
      <c r="C68" s="137"/>
      <c r="D68" s="137"/>
      <c r="E68" s="137"/>
      <c r="F68" s="137"/>
      <c r="G68" s="137"/>
      <c r="H68" s="137"/>
      <c r="I68" s="137"/>
      <c r="J68" s="137"/>
      <c r="K68" s="137"/>
      <c r="L68" s="137"/>
      <c r="M68" s="137"/>
      <c r="N68" s="137"/>
      <c r="O68" s="137"/>
      <c r="P68" s="137"/>
      <c r="Q68" s="137"/>
      <c r="R68" s="137"/>
      <c r="S68" s="137"/>
    </row>
    <row r="69">
      <c r="A69" s="139"/>
      <c r="B69" s="137"/>
      <c r="C69" s="137"/>
      <c r="D69" s="137"/>
      <c r="E69" s="137"/>
      <c r="F69" s="137"/>
      <c r="G69" s="137"/>
      <c r="H69" s="137"/>
      <c r="I69" s="137"/>
      <c r="J69" s="137"/>
      <c r="K69" s="137"/>
      <c r="L69" s="137"/>
      <c r="M69" s="137"/>
      <c r="N69" s="137"/>
      <c r="O69" s="137"/>
      <c r="P69" s="137"/>
      <c r="Q69" s="137"/>
      <c r="R69" s="137"/>
      <c r="S69" s="137"/>
    </row>
    <row r="70">
      <c r="A70" s="139"/>
      <c r="B70" s="137"/>
      <c r="C70" s="137"/>
      <c r="D70" s="137"/>
      <c r="E70" s="137"/>
      <c r="F70" s="137"/>
      <c r="G70" s="137"/>
      <c r="H70" s="137"/>
      <c r="I70" s="137"/>
      <c r="J70" s="137"/>
      <c r="K70" s="137"/>
      <c r="L70" s="137"/>
      <c r="M70" s="137"/>
      <c r="N70" s="137"/>
      <c r="O70" s="137"/>
      <c r="P70" s="137"/>
      <c r="Q70" s="137"/>
      <c r="R70" s="137"/>
      <c r="S70" s="137"/>
    </row>
    <row r="71">
      <c r="A71" s="139"/>
      <c r="B71" s="137"/>
      <c r="C71" s="137"/>
      <c r="D71" s="137"/>
      <c r="E71" s="137"/>
      <c r="F71" s="137"/>
      <c r="G71" s="137"/>
      <c r="H71" s="137"/>
      <c r="I71" s="137"/>
      <c r="J71" s="137"/>
      <c r="K71" s="137"/>
      <c r="L71" s="137"/>
      <c r="M71" s="137"/>
      <c r="N71" s="137"/>
      <c r="O71" s="137"/>
      <c r="P71" s="137"/>
      <c r="Q71" s="137"/>
      <c r="R71" s="137"/>
      <c r="S71" s="137"/>
    </row>
    <row r="72">
      <c r="A72" s="139"/>
      <c r="B72" s="137"/>
      <c r="C72" s="137"/>
      <c r="D72" s="137"/>
      <c r="E72" s="137"/>
      <c r="F72" s="137"/>
      <c r="G72" s="137"/>
      <c r="H72" s="137"/>
      <c r="I72" s="137"/>
      <c r="J72" s="137"/>
      <c r="K72" s="137"/>
      <c r="L72" s="137"/>
      <c r="M72" s="137"/>
      <c r="N72" s="137"/>
      <c r="O72" s="137"/>
      <c r="P72" s="137"/>
      <c r="Q72" s="137"/>
      <c r="R72" s="137"/>
      <c r="S72" s="137"/>
    </row>
    <row r="73">
      <c r="A73" s="139"/>
      <c r="B73" s="137"/>
      <c r="C73" s="137"/>
      <c r="D73" s="137"/>
      <c r="E73" s="137"/>
      <c r="F73" s="137"/>
      <c r="G73" s="137"/>
      <c r="H73" s="137"/>
      <c r="I73" s="137"/>
      <c r="J73" s="137"/>
      <c r="K73" s="137"/>
      <c r="L73" s="137"/>
      <c r="M73" s="137"/>
      <c r="N73" s="137"/>
      <c r="O73" s="137"/>
      <c r="P73" s="137"/>
      <c r="Q73" s="137"/>
      <c r="R73" s="137"/>
      <c r="S73" s="137"/>
    </row>
    <row r="74">
      <c r="A74" s="139"/>
      <c r="B74" s="137"/>
      <c r="C74" s="137"/>
      <c r="D74" s="137"/>
      <c r="E74" s="137"/>
      <c r="F74" s="137"/>
      <c r="G74" s="137"/>
      <c r="H74" s="137"/>
      <c r="I74" s="137"/>
      <c r="J74" s="137"/>
      <c r="K74" s="137"/>
      <c r="L74" s="137"/>
      <c r="M74" s="137"/>
      <c r="N74" s="137"/>
      <c r="O74" s="137"/>
      <c r="P74" s="137"/>
      <c r="Q74" s="137"/>
      <c r="R74" s="137"/>
      <c r="S74" s="137"/>
    </row>
    <row r="75">
      <c r="A75" s="139"/>
      <c r="B75" s="137"/>
      <c r="C75" s="137"/>
      <c r="D75" s="137"/>
      <c r="E75" s="137"/>
      <c r="F75" s="137"/>
      <c r="G75" s="137"/>
      <c r="H75" s="137"/>
      <c r="I75" s="137"/>
      <c r="J75" s="137"/>
      <c r="K75" s="137"/>
      <c r="L75" s="137"/>
      <c r="M75" s="137"/>
      <c r="N75" s="137"/>
      <c r="O75" s="137"/>
      <c r="P75" s="137"/>
      <c r="Q75" s="137"/>
      <c r="R75" s="137"/>
      <c r="S75" s="137"/>
    </row>
    <row r="76">
      <c r="A76" s="139"/>
      <c r="B76" s="137"/>
      <c r="C76" s="137"/>
      <c r="D76" s="137"/>
      <c r="E76" s="137"/>
      <c r="F76" s="137"/>
      <c r="G76" s="137"/>
      <c r="H76" s="137"/>
      <c r="I76" s="137"/>
      <c r="J76" s="137"/>
      <c r="K76" s="137"/>
      <c r="L76" s="137"/>
      <c r="M76" s="137"/>
      <c r="N76" s="137"/>
      <c r="O76" s="137"/>
      <c r="P76" s="137"/>
      <c r="Q76" s="137"/>
      <c r="R76" s="137"/>
      <c r="S76" s="137"/>
    </row>
    <row r="77">
      <c r="A77" s="139"/>
      <c r="B77" s="137"/>
      <c r="C77" s="137"/>
      <c r="D77" s="137"/>
      <c r="E77" s="137"/>
      <c r="F77" s="137"/>
      <c r="G77" s="137"/>
      <c r="H77" s="137"/>
      <c r="I77" s="137"/>
      <c r="J77" s="137"/>
      <c r="K77" s="137"/>
      <c r="L77" s="137"/>
      <c r="M77" s="137"/>
      <c r="N77" s="137"/>
      <c r="O77" s="137"/>
      <c r="P77" s="137"/>
      <c r="Q77" s="137"/>
      <c r="R77" s="137"/>
      <c r="S77" s="137"/>
    </row>
    <row r="78">
      <c r="A78" s="139"/>
      <c r="B78" s="137"/>
      <c r="C78" s="137"/>
      <c r="D78" s="137"/>
      <c r="E78" s="137"/>
      <c r="F78" s="137"/>
      <c r="G78" s="137"/>
      <c r="H78" s="137"/>
      <c r="I78" s="137"/>
      <c r="J78" s="137"/>
      <c r="K78" s="137"/>
      <c r="L78" s="137"/>
      <c r="M78" s="137"/>
      <c r="N78" s="137"/>
      <c r="O78" s="137"/>
      <c r="P78" s="137"/>
      <c r="Q78" s="137"/>
      <c r="R78" s="137"/>
      <c r="S78" s="137"/>
    </row>
    <row r="79">
      <c r="A79" s="139"/>
      <c r="B79" s="137"/>
      <c r="C79" s="137"/>
      <c r="D79" s="137"/>
      <c r="E79" s="137"/>
      <c r="F79" s="137"/>
      <c r="G79" s="137"/>
      <c r="H79" s="137"/>
      <c r="I79" s="137"/>
      <c r="J79" s="137"/>
      <c r="K79" s="137"/>
      <c r="L79" s="137"/>
      <c r="M79" s="137"/>
      <c r="N79" s="137"/>
      <c r="O79" s="137"/>
      <c r="P79" s="137"/>
      <c r="Q79" s="137"/>
      <c r="R79" s="137"/>
      <c r="S79" s="137"/>
    </row>
    <row r="80">
      <c r="A80" s="139"/>
      <c r="B80" s="137"/>
      <c r="C80" s="137"/>
      <c r="D80" s="137"/>
      <c r="E80" s="137"/>
      <c r="F80" s="137"/>
      <c r="G80" s="137"/>
      <c r="H80" s="137"/>
      <c r="I80" s="137"/>
      <c r="J80" s="137"/>
      <c r="K80" s="137"/>
      <c r="L80" s="137"/>
      <c r="M80" s="137"/>
      <c r="N80" s="137"/>
      <c r="O80" s="137"/>
      <c r="P80" s="137"/>
      <c r="Q80" s="137"/>
      <c r="R80" s="137"/>
      <c r="S80" s="137"/>
    </row>
    <row r="81">
      <c r="A81" s="139"/>
      <c r="B81" s="137"/>
      <c r="C81" s="137"/>
      <c r="D81" s="137"/>
      <c r="E81" s="137"/>
      <c r="F81" s="137"/>
      <c r="G81" s="137"/>
      <c r="H81" s="137"/>
      <c r="I81" s="137"/>
      <c r="J81" s="137"/>
      <c r="K81" s="137"/>
      <c r="L81" s="137"/>
      <c r="M81" s="137"/>
      <c r="N81" s="137"/>
      <c r="O81" s="137"/>
      <c r="P81" s="137"/>
      <c r="Q81" s="137"/>
      <c r="R81" s="137"/>
      <c r="S81" s="137"/>
    </row>
    <row r="82">
      <c r="A82" s="139"/>
      <c r="B82" s="137"/>
      <c r="C82" s="137"/>
      <c r="D82" s="137"/>
      <c r="E82" s="137"/>
      <c r="F82" s="137"/>
      <c r="G82" s="137"/>
      <c r="H82" s="137"/>
      <c r="I82" s="137"/>
      <c r="J82" s="137"/>
      <c r="K82" s="137"/>
      <c r="L82" s="137"/>
      <c r="M82" s="137"/>
      <c r="N82" s="137"/>
      <c r="O82" s="137"/>
      <c r="P82" s="137"/>
      <c r="Q82" s="137"/>
      <c r="R82" s="137"/>
      <c r="S82" s="137"/>
    </row>
    <row r="83">
      <c r="A83" s="139"/>
      <c r="B83" s="137"/>
      <c r="C83" s="137"/>
      <c r="D83" s="137"/>
      <c r="E83" s="137"/>
      <c r="F83" s="137"/>
      <c r="G83" s="137"/>
      <c r="H83" s="137"/>
      <c r="I83" s="137"/>
      <c r="J83" s="137"/>
      <c r="K83" s="137"/>
      <c r="L83" s="137"/>
      <c r="M83" s="137"/>
      <c r="N83" s="137"/>
      <c r="O83" s="137"/>
      <c r="P83" s="137"/>
      <c r="Q83" s="137"/>
      <c r="R83" s="137"/>
      <c r="S83" s="137"/>
    </row>
    <row r="84">
      <c r="A84" s="139"/>
      <c r="B84" s="137"/>
      <c r="C84" s="137"/>
      <c r="D84" s="137"/>
      <c r="E84" s="137"/>
      <c r="F84" s="137"/>
      <c r="G84" s="137"/>
      <c r="H84" s="137"/>
      <c r="I84" s="137"/>
      <c r="J84" s="137"/>
      <c r="K84" s="137"/>
      <c r="L84" s="137"/>
      <c r="M84" s="137"/>
      <c r="N84" s="137"/>
      <c r="O84" s="137"/>
      <c r="P84" s="137"/>
      <c r="Q84" s="137"/>
      <c r="R84" s="137"/>
      <c r="S84" s="137"/>
    </row>
    <row r="85">
      <c r="A85" s="139"/>
      <c r="B85" s="137"/>
      <c r="C85" s="137"/>
      <c r="D85" s="137"/>
      <c r="E85" s="137"/>
      <c r="F85" s="137"/>
      <c r="G85" s="137"/>
      <c r="H85" s="137"/>
      <c r="I85" s="137"/>
      <c r="J85" s="137"/>
      <c r="K85" s="137"/>
      <c r="L85" s="137"/>
      <c r="M85" s="137"/>
      <c r="N85" s="137"/>
      <c r="O85" s="137"/>
      <c r="P85" s="137"/>
      <c r="Q85" s="137"/>
      <c r="R85" s="137"/>
      <c r="S85" s="137"/>
    </row>
    <row r="86">
      <c r="A86" s="139"/>
      <c r="B86" s="137"/>
      <c r="C86" s="137"/>
      <c r="D86" s="137"/>
      <c r="E86" s="137"/>
      <c r="F86" s="137"/>
      <c r="G86" s="137"/>
      <c r="H86" s="137"/>
      <c r="I86" s="137"/>
      <c r="J86" s="137"/>
      <c r="K86" s="137"/>
      <c r="L86" s="137"/>
      <c r="M86" s="137"/>
      <c r="N86" s="137"/>
      <c r="O86" s="137"/>
      <c r="P86" s="137"/>
      <c r="Q86" s="137"/>
      <c r="R86" s="137"/>
      <c r="S86" s="137"/>
    </row>
    <row r="87">
      <c r="A87" s="139"/>
      <c r="B87" s="137"/>
      <c r="C87" s="137"/>
      <c r="D87" s="137"/>
      <c r="E87" s="137"/>
      <c r="F87" s="137"/>
      <c r="G87" s="137"/>
      <c r="H87" s="137"/>
      <c r="I87" s="137"/>
      <c r="J87" s="137"/>
      <c r="K87" s="137"/>
      <c r="L87" s="137"/>
      <c r="M87" s="137"/>
      <c r="N87" s="137"/>
      <c r="O87" s="137"/>
      <c r="P87" s="137"/>
      <c r="Q87" s="137"/>
      <c r="R87" s="137"/>
      <c r="S87" s="137"/>
    </row>
    <row r="88">
      <c r="A88" s="139"/>
      <c r="B88" s="137"/>
      <c r="C88" s="137"/>
      <c r="D88" s="137"/>
      <c r="E88" s="137"/>
      <c r="F88" s="137"/>
      <c r="G88" s="137"/>
      <c r="H88" s="137"/>
      <c r="I88" s="137"/>
      <c r="J88" s="137"/>
      <c r="K88" s="137"/>
      <c r="L88" s="137"/>
      <c r="M88" s="137"/>
      <c r="N88" s="137"/>
      <c r="O88" s="137"/>
      <c r="P88" s="137"/>
      <c r="Q88" s="137"/>
      <c r="R88" s="137"/>
      <c r="S88" s="137"/>
    </row>
    <row r="89">
      <c r="A89" s="139"/>
      <c r="B89" s="137"/>
      <c r="C89" s="137"/>
      <c r="D89" s="137"/>
      <c r="E89" s="137"/>
      <c r="F89" s="137"/>
      <c r="G89" s="137"/>
      <c r="H89" s="137"/>
      <c r="I89" s="137"/>
      <c r="J89" s="137"/>
      <c r="K89" s="137"/>
      <c r="L89" s="137"/>
      <c r="M89" s="137"/>
      <c r="N89" s="137"/>
      <c r="O89" s="137"/>
      <c r="P89" s="137"/>
      <c r="Q89" s="137"/>
      <c r="R89" s="137"/>
      <c r="S89" s="137"/>
    </row>
    <row r="90">
      <c r="A90" s="139"/>
      <c r="B90" s="137"/>
      <c r="C90" s="137"/>
      <c r="D90" s="137"/>
      <c r="E90" s="137"/>
      <c r="F90" s="137"/>
      <c r="G90" s="137"/>
      <c r="H90" s="137"/>
      <c r="I90" s="137"/>
      <c r="J90" s="137"/>
      <c r="K90" s="137"/>
      <c r="L90" s="137"/>
      <c r="M90" s="137"/>
      <c r="N90" s="137"/>
      <c r="O90" s="137"/>
      <c r="P90" s="137"/>
      <c r="Q90" s="137"/>
      <c r="R90" s="137"/>
      <c r="S90" s="137"/>
    </row>
    <row r="91">
      <c r="A91" s="139"/>
      <c r="B91" s="137"/>
      <c r="C91" s="137"/>
      <c r="D91" s="137"/>
      <c r="E91" s="137"/>
      <c r="F91" s="137"/>
      <c r="G91" s="137"/>
      <c r="H91" s="137"/>
      <c r="I91" s="137"/>
      <c r="J91" s="137"/>
      <c r="K91" s="137"/>
      <c r="L91" s="137"/>
      <c r="M91" s="137"/>
      <c r="N91" s="137"/>
      <c r="O91" s="137"/>
      <c r="P91" s="137"/>
      <c r="Q91" s="137"/>
      <c r="R91" s="137"/>
      <c r="S91" s="137"/>
    </row>
    <row r="92">
      <c r="A92" s="139"/>
      <c r="B92" s="137"/>
      <c r="C92" s="137"/>
      <c r="D92" s="137"/>
      <c r="E92" s="137"/>
      <c r="F92" s="137"/>
      <c r="G92" s="137"/>
      <c r="H92" s="137"/>
      <c r="I92" s="137"/>
      <c r="J92" s="137"/>
      <c r="K92" s="137"/>
      <c r="L92" s="137"/>
      <c r="M92" s="137"/>
      <c r="N92" s="137"/>
      <c r="O92" s="137"/>
      <c r="P92" s="137"/>
      <c r="Q92" s="137"/>
      <c r="R92" s="137"/>
      <c r="S92" s="137"/>
    </row>
    <row r="93">
      <c r="A93" s="139"/>
      <c r="B93" s="137"/>
      <c r="C93" s="137"/>
      <c r="D93" s="137"/>
      <c r="E93" s="137"/>
      <c r="F93" s="137"/>
      <c r="G93" s="137"/>
      <c r="H93" s="137"/>
      <c r="I93" s="137"/>
      <c r="J93" s="137"/>
      <c r="K93" s="137"/>
      <c r="L93" s="137"/>
      <c r="M93" s="137"/>
      <c r="N93" s="137"/>
      <c r="O93" s="137"/>
      <c r="P93" s="137"/>
      <c r="Q93" s="137"/>
      <c r="R93" s="137"/>
      <c r="S93" s="137"/>
    </row>
    <row r="94">
      <c r="A94" s="139"/>
      <c r="B94" s="137"/>
      <c r="C94" s="137"/>
      <c r="D94" s="137"/>
      <c r="E94" s="137"/>
      <c r="F94" s="137"/>
      <c r="G94" s="137"/>
      <c r="H94" s="137"/>
      <c r="I94" s="137"/>
      <c r="J94" s="137"/>
      <c r="K94" s="137"/>
      <c r="L94" s="137"/>
      <c r="M94" s="137"/>
      <c r="N94" s="137"/>
      <c r="O94" s="137"/>
      <c r="P94" s="137"/>
      <c r="Q94" s="137"/>
      <c r="R94" s="137"/>
      <c r="S94" s="137"/>
    </row>
    <row r="95">
      <c r="A95" s="139"/>
      <c r="B95" s="137"/>
      <c r="C95" s="137"/>
      <c r="D95" s="137"/>
      <c r="E95" s="137"/>
      <c r="F95" s="137"/>
      <c r="G95" s="137"/>
      <c r="H95" s="137"/>
      <c r="I95" s="137"/>
      <c r="J95" s="137"/>
      <c r="K95" s="137"/>
      <c r="L95" s="137"/>
      <c r="M95" s="137"/>
      <c r="N95" s="137"/>
      <c r="O95" s="137"/>
      <c r="P95" s="137"/>
      <c r="Q95" s="137"/>
      <c r="R95" s="137"/>
      <c r="S95" s="137"/>
    </row>
    <row r="96">
      <c r="A96" s="139"/>
      <c r="B96" s="137"/>
      <c r="C96" s="137"/>
      <c r="D96" s="137"/>
      <c r="E96" s="137"/>
      <c r="F96" s="137"/>
      <c r="G96" s="137"/>
      <c r="H96" s="137"/>
      <c r="I96" s="137"/>
      <c r="J96" s="137"/>
      <c r="K96" s="137"/>
      <c r="L96" s="137"/>
      <c r="M96" s="137"/>
      <c r="N96" s="137"/>
      <c r="O96" s="137"/>
      <c r="P96" s="137"/>
      <c r="Q96" s="137"/>
      <c r="R96" s="137"/>
      <c r="S96" s="137"/>
    </row>
    <row r="97">
      <c r="A97" s="139"/>
      <c r="B97" s="137"/>
      <c r="C97" s="137"/>
      <c r="D97" s="137"/>
      <c r="E97" s="137"/>
      <c r="F97" s="137"/>
      <c r="G97" s="137"/>
      <c r="H97" s="137"/>
      <c r="I97" s="137"/>
      <c r="J97" s="137"/>
      <c r="K97" s="137"/>
      <c r="L97" s="137"/>
      <c r="M97" s="137"/>
      <c r="N97" s="137"/>
      <c r="O97" s="137"/>
      <c r="P97" s="137"/>
      <c r="Q97" s="137"/>
      <c r="R97" s="137"/>
      <c r="S97" s="137"/>
    </row>
    <row r="98">
      <c r="A98" s="139"/>
      <c r="B98" s="137"/>
      <c r="C98" s="137"/>
      <c r="D98" s="137"/>
      <c r="E98" s="137"/>
      <c r="F98" s="137"/>
      <c r="G98" s="137"/>
      <c r="H98" s="137"/>
      <c r="I98" s="137"/>
      <c r="J98" s="137"/>
      <c r="K98" s="137"/>
      <c r="L98" s="137"/>
      <c r="M98" s="137"/>
      <c r="N98" s="137"/>
      <c r="O98" s="137"/>
      <c r="P98" s="137"/>
      <c r="Q98" s="137"/>
      <c r="R98" s="137"/>
      <c r="S98" s="137"/>
    </row>
    <row r="99">
      <c r="A99" s="139"/>
      <c r="B99" s="137"/>
      <c r="C99" s="137"/>
      <c r="D99" s="137"/>
      <c r="E99" s="137"/>
      <c r="F99" s="137"/>
      <c r="G99" s="137"/>
      <c r="H99" s="137"/>
      <c r="I99" s="137"/>
      <c r="J99" s="137"/>
      <c r="K99" s="137"/>
      <c r="L99" s="137"/>
      <c r="M99" s="137"/>
      <c r="N99" s="137"/>
      <c r="O99" s="137"/>
      <c r="P99" s="137"/>
      <c r="Q99" s="137"/>
      <c r="R99" s="137"/>
      <c r="S99" s="137"/>
    </row>
    <row r="100">
      <c r="A100" s="139"/>
      <c r="B100" s="137"/>
      <c r="C100" s="137"/>
      <c r="D100" s="137"/>
      <c r="E100" s="137"/>
      <c r="F100" s="137"/>
      <c r="G100" s="137"/>
      <c r="H100" s="137"/>
      <c r="I100" s="137"/>
      <c r="J100" s="137"/>
      <c r="K100" s="137"/>
      <c r="L100" s="137"/>
      <c r="M100" s="137"/>
      <c r="N100" s="137"/>
      <c r="O100" s="137"/>
      <c r="P100" s="137"/>
      <c r="Q100" s="137"/>
      <c r="R100" s="137"/>
      <c r="S100" s="137"/>
    </row>
    <row r="101">
      <c r="A101" s="139"/>
      <c r="B101" s="137"/>
      <c r="C101" s="137"/>
      <c r="D101" s="137"/>
      <c r="E101" s="137"/>
      <c r="F101" s="137"/>
      <c r="G101" s="137"/>
      <c r="H101" s="137"/>
      <c r="I101" s="137"/>
      <c r="J101" s="137"/>
      <c r="K101" s="137"/>
      <c r="L101" s="137"/>
      <c r="M101" s="137"/>
      <c r="N101" s="137"/>
      <c r="O101" s="137"/>
      <c r="P101" s="137"/>
      <c r="Q101" s="137"/>
      <c r="R101" s="137"/>
      <c r="S101" s="137"/>
    </row>
    <row r="102">
      <c r="A102" s="139"/>
      <c r="B102" s="137"/>
      <c r="C102" s="137"/>
      <c r="D102" s="137"/>
      <c r="E102" s="137"/>
      <c r="F102" s="137"/>
      <c r="G102" s="137"/>
      <c r="H102" s="137"/>
      <c r="I102" s="137"/>
      <c r="J102" s="137"/>
      <c r="K102" s="137"/>
      <c r="L102" s="137"/>
      <c r="M102" s="137"/>
      <c r="N102" s="137"/>
      <c r="O102" s="137"/>
      <c r="P102" s="137"/>
      <c r="Q102" s="137"/>
      <c r="R102" s="137"/>
      <c r="S102" s="137"/>
    </row>
    <row r="103">
      <c r="A103" s="139"/>
      <c r="B103" s="137"/>
      <c r="C103" s="137"/>
      <c r="D103" s="137"/>
      <c r="E103" s="137"/>
      <c r="F103" s="137"/>
      <c r="G103" s="137"/>
      <c r="H103" s="137"/>
      <c r="I103" s="137"/>
      <c r="J103" s="137"/>
      <c r="K103" s="137"/>
      <c r="L103" s="137"/>
      <c r="M103" s="137"/>
      <c r="N103" s="137"/>
      <c r="O103" s="137"/>
      <c r="P103" s="137"/>
      <c r="Q103" s="137"/>
      <c r="R103" s="137"/>
      <c r="S103" s="137"/>
    </row>
    <row r="104">
      <c r="A104" s="139"/>
      <c r="B104" s="137"/>
      <c r="C104" s="137"/>
      <c r="D104" s="137"/>
      <c r="E104" s="137"/>
      <c r="F104" s="137"/>
      <c r="G104" s="137"/>
      <c r="H104" s="137"/>
      <c r="I104" s="137"/>
      <c r="J104" s="137"/>
      <c r="K104" s="137"/>
      <c r="L104" s="137"/>
      <c r="M104" s="137"/>
      <c r="N104" s="137"/>
      <c r="O104" s="137"/>
      <c r="P104" s="137"/>
      <c r="Q104" s="137"/>
      <c r="R104" s="137"/>
      <c r="S104" s="137"/>
    </row>
    <row r="105">
      <c r="A105" s="139"/>
      <c r="B105" s="137"/>
      <c r="C105" s="137"/>
      <c r="D105" s="137"/>
      <c r="E105" s="137"/>
      <c r="F105" s="137"/>
      <c r="G105" s="137"/>
      <c r="H105" s="137"/>
      <c r="I105" s="137"/>
      <c r="J105" s="137"/>
      <c r="K105" s="137"/>
      <c r="L105" s="137"/>
      <c r="M105" s="137"/>
      <c r="N105" s="137"/>
      <c r="O105" s="137"/>
      <c r="P105" s="137"/>
      <c r="Q105" s="137"/>
      <c r="R105" s="137"/>
      <c r="S105" s="137"/>
    </row>
    <row r="106">
      <c r="A106" s="139"/>
      <c r="B106" s="137"/>
      <c r="C106" s="137"/>
      <c r="D106" s="137"/>
      <c r="E106" s="137"/>
      <c r="F106" s="137"/>
      <c r="G106" s="137"/>
      <c r="H106" s="137"/>
      <c r="I106" s="137"/>
      <c r="J106" s="137"/>
      <c r="K106" s="137"/>
      <c r="L106" s="137"/>
      <c r="M106" s="137"/>
      <c r="N106" s="137"/>
      <c r="O106" s="137"/>
      <c r="P106" s="137"/>
      <c r="Q106" s="137"/>
      <c r="R106" s="137"/>
      <c r="S106" s="137"/>
    </row>
    <row r="107">
      <c r="A107" s="139"/>
      <c r="B107" s="137"/>
      <c r="C107" s="137"/>
      <c r="D107" s="137"/>
      <c r="E107" s="137"/>
      <c r="F107" s="137"/>
      <c r="G107" s="137"/>
      <c r="H107" s="137"/>
      <c r="I107" s="137"/>
      <c r="J107" s="137"/>
      <c r="K107" s="137"/>
      <c r="L107" s="137"/>
      <c r="M107" s="137"/>
      <c r="N107" s="137"/>
      <c r="O107" s="137"/>
      <c r="P107" s="137"/>
      <c r="Q107" s="137"/>
      <c r="R107" s="137"/>
      <c r="S107" s="137"/>
    </row>
    <row r="108">
      <c r="A108" s="139"/>
      <c r="B108" s="137"/>
      <c r="C108" s="137"/>
      <c r="D108" s="137"/>
      <c r="E108" s="137"/>
      <c r="F108" s="137"/>
      <c r="G108" s="137"/>
      <c r="H108" s="137"/>
      <c r="I108" s="137"/>
      <c r="J108" s="137"/>
      <c r="K108" s="137"/>
      <c r="L108" s="137"/>
      <c r="M108" s="137"/>
      <c r="N108" s="137"/>
      <c r="O108" s="137"/>
      <c r="P108" s="137"/>
      <c r="Q108" s="137"/>
      <c r="R108" s="137"/>
      <c r="S108" s="137"/>
    </row>
    <row r="109">
      <c r="A109" s="139"/>
      <c r="B109" s="137"/>
      <c r="C109" s="137"/>
      <c r="D109" s="137"/>
      <c r="E109" s="137"/>
      <c r="F109" s="137"/>
      <c r="G109" s="137"/>
      <c r="H109" s="137"/>
      <c r="I109" s="137"/>
      <c r="J109" s="137"/>
      <c r="K109" s="137"/>
      <c r="L109" s="137"/>
      <c r="M109" s="137"/>
      <c r="N109" s="137"/>
      <c r="O109" s="137"/>
      <c r="P109" s="137"/>
      <c r="Q109" s="137"/>
      <c r="R109" s="137"/>
      <c r="S109" s="137"/>
    </row>
    <row r="110">
      <c r="A110" s="139"/>
      <c r="B110" s="137"/>
      <c r="C110" s="137"/>
      <c r="D110" s="137"/>
      <c r="E110" s="137"/>
      <c r="F110" s="137"/>
      <c r="G110" s="137"/>
      <c r="H110" s="137"/>
      <c r="I110" s="137"/>
      <c r="J110" s="137"/>
      <c r="K110" s="137"/>
      <c r="L110" s="137"/>
      <c r="M110" s="137"/>
      <c r="N110" s="137"/>
      <c r="O110" s="137"/>
      <c r="P110" s="137"/>
      <c r="Q110" s="137"/>
      <c r="R110" s="137"/>
      <c r="S110" s="137"/>
    </row>
    <row r="111">
      <c r="A111" s="139"/>
      <c r="B111" s="137"/>
      <c r="C111" s="137"/>
      <c r="D111" s="137"/>
      <c r="E111" s="137"/>
      <c r="F111" s="137"/>
      <c r="G111" s="137"/>
      <c r="H111" s="137"/>
      <c r="I111" s="137"/>
      <c r="J111" s="137"/>
      <c r="K111" s="137"/>
      <c r="L111" s="137"/>
      <c r="M111" s="137"/>
      <c r="N111" s="137"/>
      <c r="O111" s="137"/>
      <c r="P111" s="137"/>
      <c r="Q111" s="137"/>
      <c r="R111" s="137"/>
      <c r="S111" s="137"/>
    </row>
    <row r="112">
      <c r="A112" s="139"/>
      <c r="B112" s="137"/>
      <c r="C112" s="137"/>
      <c r="D112" s="137"/>
      <c r="E112" s="137"/>
      <c r="F112" s="137"/>
      <c r="G112" s="137"/>
      <c r="H112" s="137"/>
      <c r="I112" s="137"/>
      <c r="J112" s="137"/>
      <c r="K112" s="137"/>
      <c r="L112" s="137"/>
      <c r="M112" s="137"/>
      <c r="N112" s="137"/>
      <c r="O112" s="137"/>
      <c r="P112" s="137"/>
      <c r="Q112" s="137"/>
      <c r="R112" s="137"/>
      <c r="S112" s="137"/>
    </row>
    <row r="113">
      <c r="A113" s="139"/>
      <c r="B113" s="137"/>
      <c r="C113" s="137"/>
      <c r="D113" s="137"/>
      <c r="E113" s="137"/>
      <c r="F113" s="137"/>
      <c r="G113" s="137"/>
      <c r="H113" s="137"/>
      <c r="I113" s="137"/>
      <c r="J113" s="137"/>
      <c r="K113" s="137"/>
      <c r="L113" s="137"/>
      <c r="M113" s="137"/>
      <c r="N113" s="137"/>
      <c r="O113" s="137"/>
      <c r="P113" s="137"/>
      <c r="Q113" s="137"/>
      <c r="R113" s="137"/>
      <c r="S113" s="137"/>
    </row>
    <row r="114">
      <c r="A114" s="139"/>
      <c r="B114" s="137"/>
      <c r="C114" s="137"/>
      <c r="D114" s="137"/>
      <c r="E114" s="137"/>
      <c r="F114" s="137"/>
      <c r="G114" s="137"/>
      <c r="H114" s="137"/>
      <c r="I114" s="137"/>
      <c r="J114" s="137"/>
      <c r="K114" s="137"/>
      <c r="L114" s="137"/>
      <c r="M114" s="137"/>
      <c r="N114" s="137"/>
      <c r="O114" s="137"/>
      <c r="P114" s="137"/>
      <c r="Q114" s="137"/>
      <c r="R114" s="137"/>
      <c r="S114" s="137"/>
    </row>
    <row r="115">
      <c r="A115" s="139"/>
      <c r="B115" s="137"/>
      <c r="C115" s="137"/>
      <c r="D115" s="137"/>
      <c r="E115" s="137"/>
      <c r="F115" s="137"/>
      <c r="G115" s="137"/>
      <c r="H115" s="137"/>
      <c r="I115" s="137"/>
      <c r="J115" s="137"/>
      <c r="K115" s="137"/>
      <c r="L115" s="137"/>
      <c r="M115" s="137"/>
      <c r="N115" s="137"/>
      <c r="O115" s="137"/>
      <c r="P115" s="137"/>
      <c r="Q115" s="137"/>
      <c r="R115" s="137"/>
      <c r="S115" s="137"/>
    </row>
    <row r="116">
      <c r="A116" s="139"/>
      <c r="B116" s="137"/>
      <c r="C116" s="137"/>
      <c r="D116" s="137"/>
      <c r="E116" s="137"/>
      <c r="F116" s="137"/>
      <c r="G116" s="137"/>
      <c r="H116" s="137"/>
      <c r="I116" s="137"/>
      <c r="J116" s="137"/>
      <c r="K116" s="137"/>
      <c r="L116" s="137"/>
      <c r="M116" s="137"/>
      <c r="N116" s="137"/>
      <c r="O116" s="137"/>
      <c r="P116" s="137"/>
      <c r="Q116" s="137"/>
      <c r="R116" s="137"/>
      <c r="S116" s="137"/>
    </row>
    <row r="117">
      <c r="A117" s="139"/>
      <c r="B117" s="137"/>
      <c r="C117" s="137"/>
      <c r="D117" s="137"/>
      <c r="E117" s="137"/>
      <c r="F117" s="137"/>
      <c r="G117" s="137"/>
      <c r="H117" s="137"/>
      <c r="I117" s="137"/>
      <c r="J117" s="137"/>
      <c r="K117" s="137"/>
      <c r="L117" s="137"/>
      <c r="M117" s="137"/>
      <c r="N117" s="137"/>
      <c r="O117" s="137"/>
      <c r="P117" s="137"/>
      <c r="Q117" s="137"/>
      <c r="R117" s="137"/>
      <c r="S117" s="137"/>
    </row>
    <row r="118">
      <c r="A118" s="139"/>
      <c r="B118" s="137"/>
      <c r="C118" s="137"/>
      <c r="D118" s="137"/>
      <c r="E118" s="137"/>
      <c r="F118" s="137"/>
      <c r="G118" s="137"/>
      <c r="H118" s="137"/>
      <c r="I118" s="137"/>
      <c r="J118" s="137"/>
      <c r="K118" s="137"/>
      <c r="L118" s="137"/>
      <c r="M118" s="137"/>
      <c r="N118" s="137"/>
      <c r="O118" s="137"/>
      <c r="P118" s="137"/>
      <c r="Q118" s="137"/>
      <c r="R118" s="137"/>
      <c r="S118" s="137"/>
    </row>
    <row r="119">
      <c r="A119" s="139"/>
      <c r="B119" s="137"/>
      <c r="C119" s="137"/>
      <c r="D119" s="137"/>
      <c r="E119" s="137"/>
      <c r="F119" s="137"/>
      <c r="G119" s="137"/>
      <c r="H119" s="137"/>
      <c r="I119" s="137"/>
      <c r="J119" s="137"/>
      <c r="K119" s="137"/>
      <c r="L119" s="137"/>
      <c r="M119" s="137"/>
      <c r="N119" s="137"/>
      <c r="O119" s="137"/>
      <c r="P119" s="137"/>
      <c r="Q119" s="137"/>
      <c r="R119" s="137"/>
      <c r="S119" s="137"/>
    </row>
    <row r="120">
      <c r="A120" s="139"/>
      <c r="B120" s="137"/>
      <c r="C120" s="137"/>
      <c r="D120" s="137"/>
      <c r="E120" s="137"/>
      <c r="F120" s="137"/>
      <c r="G120" s="137"/>
      <c r="H120" s="137"/>
      <c r="I120" s="137"/>
      <c r="J120" s="137"/>
      <c r="K120" s="137"/>
      <c r="L120" s="137"/>
      <c r="M120" s="137"/>
      <c r="N120" s="137"/>
      <c r="O120" s="137"/>
      <c r="P120" s="137"/>
      <c r="Q120" s="137"/>
      <c r="R120" s="137"/>
      <c r="S120" s="137"/>
    </row>
    <row r="121">
      <c r="A121" s="139"/>
      <c r="B121" s="137"/>
      <c r="C121" s="137"/>
      <c r="D121" s="137"/>
      <c r="E121" s="137"/>
      <c r="F121" s="137"/>
      <c r="G121" s="137"/>
      <c r="H121" s="137"/>
      <c r="I121" s="137"/>
      <c r="J121" s="137"/>
      <c r="K121" s="137"/>
      <c r="L121" s="137"/>
      <c r="M121" s="137"/>
      <c r="N121" s="137"/>
      <c r="O121" s="137"/>
      <c r="P121" s="137"/>
      <c r="Q121" s="137"/>
      <c r="R121" s="137"/>
      <c r="S121" s="137"/>
    </row>
    <row r="122">
      <c r="A122" s="139"/>
      <c r="B122" s="137"/>
      <c r="C122" s="137"/>
      <c r="D122" s="137"/>
      <c r="E122" s="137"/>
      <c r="F122" s="137"/>
      <c r="G122" s="137"/>
      <c r="H122" s="137"/>
      <c r="I122" s="137"/>
      <c r="J122" s="137"/>
      <c r="K122" s="137"/>
      <c r="L122" s="137"/>
      <c r="M122" s="137"/>
      <c r="N122" s="137"/>
      <c r="O122" s="137"/>
      <c r="P122" s="137"/>
      <c r="Q122" s="137"/>
      <c r="R122" s="137"/>
      <c r="S122" s="137"/>
    </row>
    <row r="123">
      <c r="A123" s="139"/>
      <c r="B123" s="137"/>
      <c r="C123" s="137"/>
      <c r="D123" s="137"/>
      <c r="E123" s="137"/>
      <c r="F123" s="137"/>
      <c r="G123" s="137"/>
      <c r="H123" s="137"/>
      <c r="I123" s="137"/>
      <c r="J123" s="137"/>
      <c r="K123" s="137"/>
      <c r="L123" s="137"/>
      <c r="M123" s="137"/>
      <c r="N123" s="137"/>
      <c r="O123" s="137"/>
      <c r="P123" s="137"/>
      <c r="Q123" s="137"/>
      <c r="R123" s="137"/>
      <c r="S123" s="137"/>
    </row>
    <row r="124">
      <c r="A124" s="139"/>
      <c r="B124" s="137"/>
      <c r="C124" s="137"/>
      <c r="D124" s="137"/>
      <c r="E124" s="137"/>
      <c r="F124" s="137"/>
      <c r="G124" s="137"/>
      <c r="H124" s="137"/>
      <c r="I124" s="137"/>
      <c r="J124" s="137"/>
      <c r="K124" s="137"/>
      <c r="L124" s="137"/>
      <c r="M124" s="137"/>
      <c r="N124" s="137"/>
      <c r="O124" s="137"/>
      <c r="P124" s="137"/>
      <c r="Q124" s="137"/>
      <c r="R124" s="137"/>
      <c r="S124" s="137"/>
    </row>
    <row r="125">
      <c r="A125" s="139"/>
      <c r="B125" s="137"/>
      <c r="C125" s="137"/>
      <c r="D125" s="137"/>
      <c r="E125" s="137"/>
      <c r="F125" s="137"/>
      <c r="G125" s="137"/>
      <c r="H125" s="137"/>
      <c r="I125" s="137"/>
      <c r="J125" s="137"/>
      <c r="K125" s="137"/>
      <c r="L125" s="137"/>
      <c r="M125" s="137"/>
      <c r="N125" s="137"/>
      <c r="O125" s="137"/>
      <c r="P125" s="137"/>
      <c r="Q125" s="137"/>
      <c r="R125" s="137"/>
      <c r="S125" s="137"/>
    </row>
    <row r="126">
      <c r="A126" s="139"/>
      <c r="B126" s="137"/>
      <c r="C126" s="137"/>
      <c r="D126" s="137"/>
      <c r="E126" s="137"/>
      <c r="F126" s="137"/>
      <c r="G126" s="137"/>
      <c r="H126" s="137"/>
      <c r="I126" s="137"/>
      <c r="J126" s="137"/>
      <c r="K126" s="137"/>
      <c r="L126" s="137"/>
      <c r="M126" s="137"/>
      <c r="N126" s="137"/>
      <c r="O126" s="137"/>
      <c r="P126" s="137"/>
      <c r="Q126" s="137"/>
      <c r="R126" s="137"/>
      <c r="S126" s="137"/>
    </row>
    <row r="127">
      <c r="A127" s="139"/>
      <c r="B127" s="137"/>
      <c r="C127" s="137"/>
      <c r="D127" s="137"/>
      <c r="E127" s="137"/>
      <c r="F127" s="137"/>
      <c r="G127" s="137"/>
      <c r="H127" s="137"/>
      <c r="I127" s="137"/>
      <c r="J127" s="137"/>
      <c r="K127" s="137"/>
      <c r="L127" s="137"/>
      <c r="M127" s="137"/>
      <c r="N127" s="137"/>
      <c r="O127" s="137"/>
      <c r="P127" s="137"/>
      <c r="Q127" s="137"/>
      <c r="R127" s="137"/>
      <c r="S127" s="137"/>
    </row>
    <row r="128">
      <c r="A128" s="139"/>
      <c r="B128" s="137"/>
      <c r="C128" s="137"/>
      <c r="D128" s="137"/>
      <c r="E128" s="137"/>
      <c r="F128" s="137"/>
      <c r="G128" s="137"/>
      <c r="H128" s="137"/>
      <c r="I128" s="137"/>
      <c r="J128" s="137"/>
      <c r="K128" s="137"/>
      <c r="L128" s="137"/>
      <c r="M128" s="137"/>
      <c r="N128" s="137"/>
      <c r="O128" s="137"/>
      <c r="P128" s="137"/>
      <c r="Q128" s="137"/>
      <c r="R128" s="137"/>
      <c r="S128" s="137"/>
    </row>
    <row r="129">
      <c r="A129" s="139"/>
      <c r="B129" s="137"/>
      <c r="C129" s="137"/>
      <c r="D129" s="137"/>
      <c r="E129" s="137"/>
      <c r="F129" s="137"/>
      <c r="G129" s="137"/>
      <c r="H129" s="137"/>
      <c r="I129" s="137"/>
      <c r="J129" s="137"/>
      <c r="K129" s="137"/>
      <c r="L129" s="137"/>
      <c r="M129" s="137"/>
      <c r="N129" s="137"/>
      <c r="O129" s="137"/>
      <c r="P129" s="137"/>
      <c r="Q129" s="137"/>
      <c r="R129" s="137"/>
      <c r="S129" s="137"/>
    </row>
    <row r="130">
      <c r="A130" s="139"/>
      <c r="B130" s="137"/>
      <c r="C130" s="137"/>
      <c r="D130" s="137"/>
      <c r="E130" s="137"/>
      <c r="F130" s="137"/>
      <c r="G130" s="137"/>
      <c r="H130" s="137"/>
      <c r="I130" s="137"/>
      <c r="J130" s="137"/>
      <c r="K130" s="137"/>
      <c r="L130" s="137"/>
      <c r="M130" s="137"/>
      <c r="N130" s="137"/>
      <c r="O130" s="137"/>
      <c r="P130" s="137"/>
      <c r="Q130" s="137"/>
      <c r="R130" s="137"/>
      <c r="S130" s="137"/>
    </row>
    <row r="131">
      <c r="A131" s="139"/>
      <c r="B131" s="137"/>
      <c r="C131" s="137"/>
      <c r="D131" s="137"/>
      <c r="E131" s="137"/>
      <c r="F131" s="137"/>
      <c r="G131" s="137"/>
      <c r="H131" s="137"/>
      <c r="I131" s="137"/>
      <c r="J131" s="137"/>
      <c r="K131" s="137"/>
      <c r="L131" s="137"/>
      <c r="M131" s="137"/>
      <c r="N131" s="137"/>
      <c r="O131" s="137"/>
      <c r="P131" s="137"/>
      <c r="Q131" s="137"/>
      <c r="R131" s="137"/>
      <c r="S131" s="137"/>
    </row>
    <row r="132">
      <c r="A132" s="139"/>
      <c r="B132" s="137"/>
      <c r="C132" s="137"/>
      <c r="D132" s="137"/>
      <c r="E132" s="137"/>
      <c r="F132" s="137"/>
      <c r="G132" s="137"/>
      <c r="H132" s="137"/>
      <c r="I132" s="137"/>
      <c r="J132" s="137"/>
      <c r="K132" s="137"/>
      <c r="L132" s="137"/>
      <c r="M132" s="137"/>
      <c r="N132" s="137"/>
      <c r="O132" s="137"/>
      <c r="P132" s="137"/>
      <c r="Q132" s="137"/>
      <c r="R132" s="137"/>
      <c r="S132" s="137"/>
    </row>
    <row r="133">
      <c r="A133" s="139"/>
      <c r="B133" s="137"/>
      <c r="C133" s="137"/>
      <c r="D133" s="137"/>
      <c r="E133" s="137"/>
      <c r="F133" s="137"/>
      <c r="G133" s="137"/>
      <c r="H133" s="137"/>
      <c r="I133" s="137"/>
      <c r="J133" s="137"/>
      <c r="K133" s="137"/>
      <c r="L133" s="137"/>
      <c r="M133" s="137"/>
      <c r="N133" s="137"/>
      <c r="O133" s="137"/>
      <c r="P133" s="137"/>
      <c r="Q133" s="137"/>
      <c r="R133" s="137"/>
      <c r="S133" s="137"/>
    </row>
    <row r="134">
      <c r="A134" s="139"/>
      <c r="B134" s="137"/>
      <c r="C134" s="137"/>
      <c r="D134" s="137"/>
      <c r="E134" s="137"/>
      <c r="F134" s="137"/>
      <c r="G134" s="137"/>
      <c r="H134" s="137"/>
      <c r="I134" s="137"/>
      <c r="J134" s="137"/>
      <c r="K134" s="137"/>
      <c r="L134" s="137"/>
      <c r="M134" s="137"/>
      <c r="N134" s="137"/>
      <c r="O134" s="137"/>
      <c r="P134" s="137"/>
      <c r="Q134" s="137"/>
      <c r="R134" s="137"/>
      <c r="S134" s="137"/>
    </row>
    <row r="135">
      <c r="A135" s="139"/>
      <c r="B135" s="137"/>
      <c r="C135" s="137"/>
      <c r="D135" s="137"/>
      <c r="E135" s="137"/>
      <c r="F135" s="137"/>
      <c r="G135" s="137"/>
      <c r="H135" s="137"/>
      <c r="I135" s="137"/>
      <c r="J135" s="137"/>
      <c r="K135" s="137"/>
      <c r="L135" s="137"/>
      <c r="M135" s="137"/>
      <c r="N135" s="137"/>
      <c r="O135" s="137"/>
      <c r="P135" s="137"/>
      <c r="Q135" s="137"/>
      <c r="R135" s="137"/>
      <c r="S135" s="137"/>
    </row>
    <row r="136">
      <c r="A136" s="139"/>
      <c r="B136" s="137"/>
      <c r="C136" s="137"/>
      <c r="D136" s="137"/>
      <c r="E136" s="137"/>
      <c r="F136" s="137"/>
      <c r="G136" s="137"/>
      <c r="H136" s="137"/>
      <c r="I136" s="137"/>
      <c r="J136" s="137"/>
      <c r="K136" s="137"/>
      <c r="L136" s="137"/>
      <c r="M136" s="137"/>
      <c r="N136" s="137"/>
      <c r="O136" s="137"/>
      <c r="P136" s="137"/>
      <c r="Q136" s="137"/>
      <c r="R136" s="137"/>
      <c r="S136" s="137"/>
    </row>
    <row r="137">
      <c r="A137" s="139"/>
      <c r="B137" s="137"/>
      <c r="C137" s="137"/>
      <c r="D137" s="137"/>
      <c r="E137" s="137"/>
      <c r="F137" s="137"/>
      <c r="G137" s="137"/>
      <c r="H137" s="137"/>
      <c r="I137" s="137"/>
      <c r="J137" s="137"/>
      <c r="K137" s="137"/>
      <c r="L137" s="137"/>
      <c r="M137" s="137"/>
      <c r="N137" s="137"/>
      <c r="O137" s="137"/>
      <c r="P137" s="137"/>
      <c r="Q137" s="137"/>
      <c r="R137" s="137"/>
      <c r="S137" s="137"/>
    </row>
    <row r="138">
      <c r="A138" s="139"/>
      <c r="B138" s="137"/>
      <c r="C138" s="137"/>
      <c r="D138" s="137"/>
      <c r="E138" s="137"/>
      <c r="F138" s="137"/>
      <c r="G138" s="137"/>
      <c r="H138" s="137"/>
      <c r="I138" s="137"/>
      <c r="J138" s="137"/>
      <c r="K138" s="137"/>
      <c r="L138" s="137"/>
      <c r="M138" s="137"/>
      <c r="N138" s="137"/>
      <c r="O138" s="137"/>
      <c r="P138" s="137"/>
      <c r="Q138" s="137"/>
      <c r="R138" s="137"/>
      <c r="S138" s="137"/>
    </row>
    <row r="139">
      <c r="A139" s="139"/>
      <c r="B139" s="137"/>
      <c r="C139" s="137"/>
      <c r="D139" s="137"/>
      <c r="E139" s="137"/>
      <c r="F139" s="137"/>
      <c r="G139" s="137"/>
      <c r="H139" s="137"/>
      <c r="I139" s="137"/>
      <c r="J139" s="137"/>
      <c r="K139" s="137"/>
      <c r="L139" s="137"/>
      <c r="M139" s="137"/>
      <c r="N139" s="137"/>
      <c r="O139" s="137"/>
      <c r="P139" s="137"/>
      <c r="Q139" s="137"/>
      <c r="R139" s="137"/>
      <c r="S139" s="137"/>
    </row>
    <row r="140">
      <c r="A140" s="139"/>
      <c r="B140" s="137"/>
      <c r="C140" s="137"/>
      <c r="D140" s="137"/>
      <c r="E140" s="137"/>
      <c r="F140" s="137"/>
      <c r="G140" s="137"/>
      <c r="H140" s="137"/>
      <c r="I140" s="137"/>
      <c r="J140" s="137"/>
      <c r="K140" s="137"/>
      <c r="L140" s="137"/>
      <c r="M140" s="137"/>
      <c r="N140" s="137"/>
      <c r="O140" s="137"/>
      <c r="P140" s="137"/>
      <c r="Q140" s="137"/>
      <c r="R140" s="137"/>
      <c r="S140" s="137"/>
    </row>
    <row r="141">
      <c r="A141" s="139"/>
      <c r="B141" s="137"/>
      <c r="C141" s="137"/>
      <c r="D141" s="137"/>
      <c r="E141" s="137"/>
      <c r="F141" s="137"/>
      <c r="G141" s="137"/>
      <c r="H141" s="137"/>
      <c r="I141" s="137"/>
      <c r="J141" s="137"/>
      <c r="K141" s="137"/>
      <c r="L141" s="137"/>
      <c r="M141" s="137"/>
      <c r="N141" s="137"/>
      <c r="O141" s="137"/>
      <c r="P141" s="137"/>
      <c r="Q141" s="137"/>
      <c r="R141" s="137"/>
      <c r="S141" s="137"/>
    </row>
    <row r="142">
      <c r="A142" s="139"/>
      <c r="B142" s="137"/>
      <c r="C142" s="137"/>
      <c r="D142" s="137"/>
      <c r="E142" s="137"/>
      <c r="F142" s="137"/>
      <c r="G142" s="137"/>
      <c r="H142" s="137"/>
      <c r="I142" s="137"/>
      <c r="J142" s="137"/>
      <c r="K142" s="137"/>
      <c r="L142" s="137"/>
      <c r="M142" s="137"/>
      <c r="N142" s="137"/>
      <c r="O142" s="137"/>
      <c r="P142" s="137"/>
      <c r="Q142" s="137"/>
      <c r="R142" s="137"/>
      <c r="S142" s="137"/>
    </row>
    <row r="143">
      <c r="A143" s="139"/>
      <c r="B143" s="137"/>
      <c r="C143" s="137"/>
      <c r="D143" s="137"/>
      <c r="E143" s="137"/>
      <c r="F143" s="137"/>
      <c r="G143" s="137"/>
      <c r="H143" s="137"/>
      <c r="I143" s="137"/>
      <c r="J143" s="137"/>
      <c r="K143" s="137"/>
      <c r="L143" s="137"/>
      <c r="M143" s="137"/>
      <c r="N143" s="137"/>
      <c r="O143" s="137"/>
      <c r="P143" s="137"/>
      <c r="Q143" s="137"/>
      <c r="R143" s="137"/>
      <c r="S143" s="137"/>
    </row>
    <row r="144">
      <c r="A144" s="139"/>
      <c r="B144" s="137"/>
      <c r="C144" s="137"/>
      <c r="D144" s="137"/>
      <c r="E144" s="137"/>
      <c r="F144" s="137"/>
      <c r="G144" s="137"/>
      <c r="H144" s="137"/>
      <c r="I144" s="137"/>
      <c r="J144" s="137"/>
      <c r="K144" s="137"/>
      <c r="L144" s="137"/>
      <c r="M144" s="137"/>
      <c r="N144" s="137"/>
      <c r="O144" s="137"/>
      <c r="P144" s="137"/>
      <c r="Q144" s="137"/>
      <c r="R144" s="137"/>
      <c r="S144" s="137"/>
    </row>
    <row r="145">
      <c r="A145" s="139"/>
      <c r="B145" s="137"/>
      <c r="C145" s="137"/>
      <c r="D145" s="137"/>
      <c r="E145" s="137"/>
      <c r="F145" s="137"/>
      <c r="G145" s="137"/>
      <c r="H145" s="137"/>
      <c r="I145" s="137"/>
      <c r="J145" s="137"/>
      <c r="K145" s="137"/>
      <c r="L145" s="137"/>
      <c r="M145" s="137"/>
      <c r="N145" s="137"/>
      <c r="O145" s="137"/>
      <c r="P145" s="137"/>
      <c r="Q145" s="137"/>
      <c r="R145" s="137"/>
      <c r="S145" s="137"/>
    </row>
    <row r="146">
      <c r="A146" s="139"/>
      <c r="B146" s="137"/>
      <c r="C146" s="137"/>
      <c r="D146" s="137"/>
      <c r="E146" s="137"/>
      <c r="F146" s="137"/>
      <c r="G146" s="137"/>
      <c r="H146" s="137"/>
      <c r="I146" s="137"/>
      <c r="J146" s="137"/>
      <c r="K146" s="137"/>
      <c r="L146" s="137"/>
      <c r="M146" s="137"/>
      <c r="N146" s="137"/>
      <c r="O146" s="137"/>
      <c r="P146" s="137"/>
      <c r="Q146" s="137"/>
      <c r="R146" s="137"/>
      <c r="S146" s="137"/>
    </row>
    <row r="147">
      <c r="A147" s="139"/>
      <c r="B147" s="137"/>
      <c r="C147" s="137"/>
      <c r="D147" s="137"/>
      <c r="E147" s="137"/>
      <c r="F147" s="137"/>
      <c r="G147" s="137"/>
      <c r="H147" s="137"/>
      <c r="I147" s="137"/>
      <c r="J147" s="137"/>
      <c r="K147" s="137"/>
      <c r="L147" s="137"/>
      <c r="M147" s="137"/>
      <c r="N147" s="137"/>
      <c r="O147" s="137"/>
      <c r="P147" s="137"/>
      <c r="Q147" s="137"/>
      <c r="R147" s="137"/>
      <c r="S147" s="137"/>
    </row>
    <row r="148">
      <c r="A148" s="139"/>
      <c r="B148" s="137"/>
      <c r="C148" s="137"/>
      <c r="D148" s="137"/>
      <c r="E148" s="137"/>
      <c r="F148" s="137"/>
      <c r="G148" s="137"/>
      <c r="H148" s="137"/>
      <c r="I148" s="137"/>
      <c r="J148" s="137"/>
      <c r="K148" s="137"/>
      <c r="L148" s="137"/>
      <c r="M148" s="137"/>
      <c r="N148" s="137"/>
      <c r="O148" s="137"/>
      <c r="P148" s="137"/>
      <c r="Q148" s="137"/>
      <c r="R148" s="137"/>
      <c r="S148" s="137"/>
    </row>
    <row r="149">
      <c r="A149" s="139"/>
      <c r="B149" s="137"/>
      <c r="C149" s="137"/>
      <c r="D149" s="137"/>
      <c r="E149" s="137"/>
      <c r="F149" s="137"/>
      <c r="G149" s="137"/>
      <c r="H149" s="137"/>
      <c r="I149" s="137"/>
      <c r="J149" s="137"/>
      <c r="K149" s="137"/>
      <c r="L149" s="137"/>
      <c r="M149" s="137"/>
      <c r="N149" s="137"/>
      <c r="O149" s="137"/>
      <c r="P149" s="137"/>
      <c r="Q149" s="137"/>
      <c r="R149" s="137"/>
      <c r="S149" s="137"/>
    </row>
    <row r="150">
      <c r="A150" s="139"/>
      <c r="B150" s="137"/>
      <c r="C150" s="137"/>
      <c r="D150" s="137"/>
      <c r="E150" s="137"/>
      <c r="F150" s="137"/>
      <c r="G150" s="137"/>
      <c r="H150" s="137"/>
      <c r="I150" s="137"/>
      <c r="J150" s="137"/>
      <c r="K150" s="137"/>
      <c r="L150" s="137"/>
      <c r="M150" s="137"/>
      <c r="N150" s="137"/>
      <c r="O150" s="137"/>
      <c r="P150" s="137"/>
      <c r="Q150" s="137"/>
      <c r="R150" s="137"/>
      <c r="S150" s="137"/>
    </row>
    <row r="151">
      <c r="A151" s="139"/>
      <c r="B151" s="137"/>
      <c r="C151" s="137"/>
      <c r="D151" s="137"/>
      <c r="E151" s="137"/>
      <c r="F151" s="137"/>
      <c r="G151" s="137"/>
      <c r="H151" s="137"/>
      <c r="I151" s="137"/>
      <c r="J151" s="137"/>
      <c r="K151" s="137"/>
      <c r="L151" s="137"/>
      <c r="M151" s="137"/>
      <c r="N151" s="137"/>
      <c r="O151" s="137"/>
      <c r="P151" s="137"/>
      <c r="Q151" s="137"/>
      <c r="R151" s="137"/>
      <c r="S151" s="137"/>
    </row>
    <row r="152">
      <c r="A152" s="139"/>
      <c r="B152" s="137"/>
      <c r="C152" s="137"/>
      <c r="D152" s="137"/>
      <c r="E152" s="137"/>
      <c r="F152" s="137"/>
      <c r="G152" s="137"/>
      <c r="H152" s="137"/>
      <c r="I152" s="137"/>
      <c r="J152" s="137"/>
      <c r="K152" s="137"/>
      <c r="L152" s="137"/>
      <c r="M152" s="137"/>
      <c r="N152" s="137"/>
      <c r="O152" s="137"/>
      <c r="P152" s="137"/>
      <c r="Q152" s="137"/>
      <c r="R152" s="137"/>
      <c r="S152" s="137"/>
    </row>
    <row r="153">
      <c r="A153" s="139"/>
      <c r="B153" s="137"/>
      <c r="C153" s="137"/>
      <c r="D153" s="137"/>
      <c r="E153" s="137"/>
      <c r="F153" s="137"/>
      <c r="G153" s="137"/>
      <c r="H153" s="137"/>
      <c r="I153" s="137"/>
      <c r="J153" s="137"/>
      <c r="K153" s="137"/>
      <c r="L153" s="137"/>
      <c r="M153" s="137"/>
      <c r="N153" s="137"/>
      <c r="O153" s="137"/>
      <c r="P153" s="137"/>
      <c r="Q153" s="137"/>
      <c r="R153" s="137"/>
      <c r="S153" s="137"/>
    </row>
    <row r="154">
      <c r="A154" s="139"/>
      <c r="B154" s="137"/>
      <c r="C154" s="137"/>
      <c r="D154" s="137"/>
      <c r="E154" s="137"/>
      <c r="F154" s="137"/>
      <c r="G154" s="137"/>
      <c r="H154" s="137"/>
      <c r="I154" s="137"/>
      <c r="J154" s="137"/>
      <c r="K154" s="137"/>
      <c r="L154" s="137"/>
      <c r="M154" s="137"/>
      <c r="N154" s="137"/>
      <c r="O154" s="137"/>
      <c r="P154" s="137"/>
      <c r="Q154" s="137"/>
      <c r="R154" s="137"/>
      <c r="S154" s="137"/>
    </row>
    <row r="155">
      <c r="A155" s="139"/>
      <c r="B155" s="137"/>
      <c r="C155" s="137"/>
      <c r="D155" s="137"/>
      <c r="E155" s="137"/>
      <c r="F155" s="137"/>
      <c r="G155" s="137"/>
      <c r="H155" s="137"/>
      <c r="I155" s="137"/>
      <c r="J155" s="137"/>
      <c r="K155" s="137"/>
      <c r="L155" s="137"/>
      <c r="M155" s="137"/>
      <c r="N155" s="137"/>
      <c r="O155" s="137"/>
      <c r="P155" s="137"/>
      <c r="Q155" s="137"/>
      <c r="R155" s="137"/>
      <c r="S155" s="137"/>
    </row>
    <row r="156">
      <c r="A156" s="139"/>
      <c r="B156" s="137"/>
      <c r="C156" s="137"/>
      <c r="D156" s="137"/>
      <c r="E156" s="137"/>
      <c r="F156" s="137"/>
      <c r="G156" s="137"/>
      <c r="H156" s="137"/>
      <c r="I156" s="137"/>
      <c r="J156" s="137"/>
      <c r="K156" s="137"/>
      <c r="L156" s="137"/>
      <c r="M156" s="137"/>
      <c r="N156" s="137"/>
      <c r="O156" s="137"/>
      <c r="P156" s="137"/>
      <c r="Q156" s="137"/>
      <c r="R156" s="137"/>
      <c r="S156" s="137"/>
    </row>
    <row r="157">
      <c r="A157" s="139"/>
      <c r="B157" s="137"/>
      <c r="C157" s="137"/>
      <c r="D157" s="137"/>
      <c r="E157" s="137"/>
      <c r="F157" s="137"/>
      <c r="G157" s="137"/>
      <c r="H157" s="137"/>
      <c r="I157" s="137"/>
      <c r="J157" s="137"/>
      <c r="K157" s="137"/>
      <c r="L157" s="137"/>
      <c r="M157" s="137"/>
      <c r="N157" s="137"/>
      <c r="O157" s="137"/>
      <c r="P157" s="137"/>
      <c r="Q157" s="137"/>
      <c r="R157" s="137"/>
      <c r="S157" s="137"/>
    </row>
    <row r="158">
      <c r="A158" s="139"/>
      <c r="B158" s="137"/>
      <c r="C158" s="137"/>
      <c r="D158" s="137"/>
      <c r="E158" s="137"/>
      <c r="F158" s="137"/>
      <c r="G158" s="137"/>
      <c r="H158" s="137"/>
      <c r="I158" s="137"/>
      <c r="J158" s="137"/>
      <c r="K158" s="137"/>
      <c r="L158" s="137"/>
      <c r="M158" s="137"/>
      <c r="N158" s="137"/>
      <c r="O158" s="137"/>
      <c r="P158" s="137"/>
      <c r="Q158" s="137"/>
      <c r="R158" s="137"/>
      <c r="S158" s="137"/>
    </row>
    <row r="159">
      <c r="A159" s="139"/>
      <c r="B159" s="137"/>
      <c r="C159" s="137"/>
      <c r="D159" s="137"/>
      <c r="E159" s="137"/>
      <c r="F159" s="137"/>
      <c r="G159" s="137"/>
      <c r="H159" s="137"/>
      <c r="I159" s="137"/>
      <c r="J159" s="137"/>
      <c r="K159" s="137"/>
      <c r="L159" s="137"/>
      <c r="M159" s="137"/>
      <c r="N159" s="137"/>
      <c r="O159" s="137"/>
      <c r="P159" s="137"/>
      <c r="Q159" s="137"/>
      <c r="R159" s="137"/>
      <c r="S159" s="137"/>
    </row>
    <row r="160">
      <c r="A160" s="139"/>
      <c r="B160" s="137"/>
      <c r="C160" s="137"/>
      <c r="D160" s="137"/>
      <c r="E160" s="137"/>
      <c r="F160" s="137"/>
      <c r="G160" s="137"/>
      <c r="H160" s="137"/>
      <c r="I160" s="137"/>
      <c r="J160" s="137"/>
      <c r="K160" s="137"/>
      <c r="L160" s="137"/>
      <c r="M160" s="137"/>
      <c r="N160" s="137"/>
      <c r="O160" s="137"/>
      <c r="P160" s="137"/>
      <c r="Q160" s="137"/>
      <c r="R160" s="137"/>
      <c r="S160" s="137"/>
    </row>
    <row r="161">
      <c r="A161" s="139"/>
      <c r="B161" s="137"/>
      <c r="C161" s="137"/>
      <c r="D161" s="137"/>
      <c r="E161" s="137"/>
      <c r="F161" s="137"/>
      <c r="G161" s="137"/>
      <c r="H161" s="137"/>
      <c r="I161" s="137"/>
      <c r="J161" s="137"/>
      <c r="K161" s="137"/>
      <c r="L161" s="137"/>
      <c r="M161" s="137"/>
      <c r="N161" s="137"/>
      <c r="O161" s="137"/>
      <c r="P161" s="137"/>
      <c r="Q161" s="137"/>
      <c r="R161" s="137"/>
      <c r="S161" s="137"/>
    </row>
    <row r="162">
      <c r="A162" s="139"/>
      <c r="B162" s="137"/>
      <c r="C162" s="137"/>
      <c r="D162" s="137"/>
      <c r="E162" s="137"/>
      <c r="F162" s="137"/>
      <c r="G162" s="137"/>
      <c r="H162" s="137"/>
      <c r="I162" s="137"/>
      <c r="J162" s="137"/>
      <c r="K162" s="137"/>
      <c r="L162" s="137"/>
      <c r="M162" s="137"/>
      <c r="N162" s="137"/>
      <c r="O162" s="137"/>
      <c r="P162" s="137"/>
      <c r="Q162" s="137"/>
      <c r="R162" s="137"/>
      <c r="S162" s="137"/>
    </row>
    <row r="163">
      <c r="A163" s="139"/>
      <c r="B163" s="137"/>
      <c r="C163" s="137"/>
      <c r="D163" s="137"/>
      <c r="E163" s="137"/>
      <c r="F163" s="137"/>
      <c r="G163" s="137"/>
      <c r="H163" s="137"/>
      <c r="I163" s="137"/>
      <c r="J163" s="137"/>
      <c r="K163" s="137"/>
      <c r="L163" s="137"/>
      <c r="M163" s="137"/>
      <c r="N163" s="137"/>
      <c r="O163" s="137"/>
      <c r="P163" s="137"/>
      <c r="Q163" s="137"/>
      <c r="R163" s="137"/>
      <c r="S163" s="137"/>
    </row>
    <row r="164">
      <c r="A164" s="139"/>
      <c r="B164" s="137"/>
      <c r="C164" s="137"/>
      <c r="D164" s="137"/>
      <c r="E164" s="137"/>
      <c r="F164" s="137"/>
      <c r="G164" s="137"/>
      <c r="H164" s="137"/>
      <c r="I164" s="137"/>
      <c r="J164" s="137"/>
      <c r="K164" s="137"/>
      <c r="L164" s="137"/>
      <c r="M164" s="137"/>
      <c r="N164" s="137"/>
      <c r="O164" s="137"/>
      <c r="P164" s="137"/>
      <c r="Q164" s="137"/>
      <c r="R164" s="137"/>
      <c r="S164" s="137"/>
    </row>
    <row r="165">
      <c r="A165" s="139"/>
      <c r="B165" s="137"/>
      <c r="C165" s="137"/>
      <c r="D165" s="137"/>
      <c r="E165" s="137"/>
      <c r="F165" s="137"/>
      <c r="G165" s="137"/>
      <c r="H165" s="137"/>
      <c r="I165" s="137"/>
      <c r="J165" s="137"/>
      <c r="K165" s="137"/>
      <c r="L165" s="137"/>
      <c r="M165" s="137"/>
      <c r="N165" s="137"/>
      <c r="O165" s="137"/>
      <c r="P165" s="137"/>
      <c r="Q165" s="137"/>
      <c r="R165" s="137"/>
      <c r="S165" s="137"/>
    </row>
    <row r="166">
      <c r="A166" s="139"/>
      <c r="B166" s="137"/>
      <c r="C166" s="137"/>
      <c r="D166" s="137"/>
      <c r="E166" s="137"/>
      <c r="F166" s="137"/>
      <c r="G166" s="137"/>
      <c r="H166" s="137"/>
      <c r="I166" s="137"/>
      <c r="J166" s="137"/>
      <c r="K166" s="137"/>
      <c r="L166" s="137"/>
      <c r="M166" s="137"/>
      <c r="N166" s="137"/>
      <c r="O166" s="137"/>
      <c r="P166" s="137"/>
      <c r="Q166" s="137"/>
      <c r="R166" s="137"/>
      <c r="S166" s="137"/>
    </row>
    <row r="167">
      <c r="A167" s="139"/>
      <c r="B167" s="137"/>
      <c r="C167" s="137"/>
      <c r="D167" s="137"/>
      <c r="E167" s="137"/>
      <c r="F167" s="137"/>
      <c r="G167" s="137"/>
      <c r="H167" s="137"/>
      <c r="I167" s="137"/>
      <c r="J167" s="137"/>
      <c r="K167" s="137"/>
      <c r="L167" s="137"/>
      <c r="M167" s="137"/>
      <c r="N167" s="137"/>
      <c r="O167" s="137"/>
      <c r="P167" s="137"/>
      <c r="Q167" s="137"/>
      <c r="R167" s="137"/>
      <c r="S167" s="137"/>
    </row>
    <row r="168">
      <c r="A168" s="139"/>
      <c r="B168" s="137"/>
      <c r="C168" s="137"/>
      <c r="D168" s="137"/>
      <c r="E168" s="137"/>
      <c r="F168" s="137"/>
      <c r="G168" s="137"/>
      <c r="H168" s="137"/>
      <c r="I168" s="137"/>
      <c r="J168" s="137"/>
      <c r="K168" s="137"/>
      <c r="L168" s="137"/>
      <c r="M168" s="137"/>
      <c r="N168" s="137"/>
      <c r="O168" s="137"/>
      <c r="P168" s="137"/>
      <c r="Q168" s="137"/>
      <c r="R168" s="137"/>
      <c r="S168" s="137"/>
    </row>
    <row r="169">
      <c r="A169" s="139"/>
      <c r="B169" s="137"/>
      <c r="C169" s="137"/>
      <c r="D169" s="137"/>
      <c r="E169" s="137"/>
      <c r="F169" s="137"/>
      <c r="G169" s="137"/>
      <c r="H169" s="137"/>
      <c r="I169" s="137"/>
      <c r="J169" s="137"/>
      <c r="K169" s="137"/>
      <c r="L169" s="137"/>
      <c r="M169" s="137"/>
      <c r="N169" s="137"/>
      <c r="O169" s="137"/>
      <c r="P169" s="137"/>
      <c r="Q169" s="137"/>
      <c r="R169" s="137"/>
      <c r="S169" s="137"/>
    </row>
    <row r="170">
      <c r="A170" s="139"/>
      <c r="B170" s="137"/>
      <c r="C170" s="137"/>
      <c r="D170" s="137"/>
      <c r="E170" s="137"/>
      <c r="F170" s="137"/>
      <c r="G170" s="137"/>
      <c r="H170" s="137"/>
      <c r="I170" s="137"/>
      <c r="J170" s="137"/>
      <c r="K170" s="137"/>
      <c r="L170" s="137"/>
      <c r="M170" s="137"/>
      <c r="N170" s="137"/>
      <c r="O170" s="137"/>
      <c r="P170" s="137"/>
      <c r="Q170" s="137"/>
      <c r="R170" s="137"/>
      <c r="S170" s="137"/>
    </row>
    <row r="171">
      <c r="A171" s="139"/>
      <c r="B171" s="137"/>
      <c r="C171" s="137"/>
      <c r="D171" s="137"/>
      <c r="E171" s="137"/>
      <c r="F171" s="137"/>
      <c r="G171" s="137"/>
      <c r="H171" s="137"/>
      <c r="I171" s="137"/>
      <c r="J171" s="137"/>
      <c r="K171" s="137"/>
      <c r="L171" s="137"/>
      <c r="M171" s="137"/>
      <c r="N171" s="137"/>
      <c r="O171" s="137"/>
      <c r="P171" s="137"/>
      <c r="Q171" s="137"/>
      <c r="R171" s="137"/>
      <c r="S171" s="137"/>
    </row>
    <row r="172">
      <c r="A172" s="139"/>
      <c r="B172" s="137"/>
      <c r="C172" s="137"/>
      <c r="D172" s="137"/>
      <c r="E172" s="137"/>
      <c r="F172" s="137"/>
      <c r="G172" s="137"/>
      <c r="H172" s="137"/>
      <c r="I172" s="137"/>
      <c r="J172" s="137"/>
      <c r="K172" s="137"/>
      <c r="L172" s="137"/>
      <c r="M172" s="137"/>
      <c r="N172" s="137"/>
      <c r="O172" s="137"/>
      <c r="P172" s="137"/>
      <c r="Q172" s="137"/>
      <c r="R172" s="137"/>
      <c r="S172" s="137"/>
    </row>
    <row r="173">
      <c r="A173" s="139"/>
      <c r="B173" s="137"/>
      <c r="C173" s="137"/>
      <c r="D173" s="137"/>
      <c r="E173" s="137"/>
      <c r="F173" s="137"/>
      <c r="G173" s="137"/>
      <c r="H173" s="137"/>
      <c r="I173" s="137"/>
      <c r="J173" s="137"/>
      <c r="K173" s="137"/>
      <c r="L173" s="137"/>
      <c r="M173" s="137"/>
      <c r="N173" s="137"/>
      <c r="O173" s="137"/>
      <c r="P173" s="137"/>
      <c r="Q173" s="137"/>
      <c r="R173" s="137"/>
      <c r="S173" s="137"/>
    </row>
    <row r="174">
      <c r="A174" s="139"/>
      <c r="B174" s="137"/>
      <c r="C174" s="137"/>
      <c r="D174" s="137"/>
      <c r="E174" s="137"/>
      <c r="F174" s="137"/>
      <c r="G174" s="137"/>
      <c r="H174" s="137"/>
      <c r="I174" s="137"/>
      <c r="J174" s="137"/>
      <c r="K174" s="137"/>
      <c r="L174" s="137"/>
      <c r="M174" s="137"/>
      <c r="N174" s="137"/>
      <c r="O174" s="137"/>
      <c r="P174" s="137"/>
      <c r="Q174" s="137"/>
      <c r="R174" s="137"/>
      <c r="S174" s="137"/>
    </row>
    <row r="175">
      <c r="A175" s="139"/>
      <c r="B175" s="137"/>
      <c r="C175" s="137"/>
      <c r="D175" s="137"/>
      <c r="E175" s="137"/>
      <c r="F175" s="137"/>
      <c r="G175" s="137"/>
      <c r="H175" s="137"/>
      <c r="I175" s="137"/>
      <c r="J175" s="137"/>
      <c r="K175" s="137"/>
      <c r="L175" s="137"/>
      <c r="M175" s="137"/>
      <c r="N175" s="137"/>
      <c r="O175" s="137"/>
      <c r="P175" s="137"/>
      <c r="Q175" s="137"/>
      <c r="R175" s="137"/>
      <c r="S175" s="137"/>
    </row>
    <row r="176">
      <c r="A176" s="139"/>
      <c r="B176" s="137"/>
      <c r="C176" s="137"/>
      <c r="D176" s="137"/>
      <c r="E176" s="137"/>
      <c r="F176" s="137"/>
      <c r="G176" s="137"/>
      <c r="H176" s="137"/>
      <c r="I176" s="137"/>
      <c r="J176" s="137"/>
      <c r="K176" s="137"/>
      <c r="L176" s="137"/>
      <c r="M176" s="137"/>
      <c r="N176" s="137"/>
      <c r="O176" s="137"/>
      <c r="P176" s="137"/>
      <c r="Q176" s="137"/>
      <c r="R176" s="137"/>
      <c r="S176" s="137"/>
    </row>
    <row r="177">
      <c r="A177" s="139"/>
      <c r="B177" s="137"/>
      <c r="C177" s="137"/>
      <c r="D177" s="137"/>
      <c r="E177" s="137"/>
      <c r="F177" s="137"/>
      <c r="G177" s="137"/>
      <c r="H177" s="137"/>
      <c r="I177" s="137"/>
      <c r="J177" s="137"/>
      <c r="K177" s="137"/>
      <c r="L177" s="137"/>
      <c r="M177" s="137"/>
      <c r="N177" s="137"/>
      <c r="O177" s="137"/>
      <c r="P177" s="137"/>
      <c r="Q177" s="137"/>
      <c r="R177" s="137"/>
      <c r="S177" s="137"/>
    </row>
    <row r="178">
      <c r="A178" s="139"/>
      <c r="B178" s="137"/>
      <c r="C178" s="137"/>
      <c r="D178" s="137"/>
      <c r="E178" s="137"/>
      <c r="F178" s="137"/>
      <c r="G178" s="137"/>
      <c r="H178" s="137"/>
      <c r="I178" s="137"/>
      <c r="J178" s="137"/>
      <c r="K178" s="137"/>
      <c r="L178" s="137"/>
      <c r="M178" s="137"/>
      <c r="N178" s="137"/>
      <c r="O178" s="137"/>
      <c r="P178" s="137"/>
      <c r="Q178" s="137"/>
      <c r="R178" s="137"/>
      <c r="S178" s="137"/>
    </row>
    <row r="179">
      <c r="A179" s="139"/>
      <c r="B179" s="137"/>
      <c r="C179" s="137"/>
      <c r="D179" s="137"/>
      <c r="E179" s="137"/>
      <c r="F179" s="137"/>
      <c r="G179" s="137"/>
      <c r="H179" s="137"/>
      <c r="I179" s="137"/>
      <c r="J179" s="137"/>
      <c r="K179" s="137"/>
      <c r="L179" s="137"/>
      <c r="M179" s="137"/>
      <c r="N179" s="137"/>
      <c r="O179" s="137"/>
      <c r="P179" s="137"/>
      <c r="Q179" s="137"/>
      <c r="R179" s="137"/>
      <c r="S179" s="137"/>
    </row>
    <row r="180">
      <c r="A180" s="139"/>
      <c r="B180" s="137"/>
      <c r="C180" s="137"/>
      <c r="D180" s="137"/>
      <c r="E180" s="137"/>
      <c r="F180" s="137"/>
      <c r="G180" s="137"/>
      <c r="H180" s="137"/>
      <c r="I180" s="137"/>
      <c r="J180" s="137"/>
      <c r="K180" s="137"/>
      <c r="L180" s="137"/>
      <c r="M180" s="137"/>
      <c r="N180" s="137"/>
      <c r="O180" s="137"/>
      <c r="P180" s="137"/>
      <c r="Q180" s="137"/>
      <c r="R180" s="137"/>
      <c r="S180" s="137"/>
    </row>
    <row r="181">
      <c r="A181" s="139"/>
      <c r="B181" s="137"/>
      <c r="C181" s="137"/>
      <c r="D181" s="137"/>
      <c r="E181" s="137"/>
      <c r="F181" s="137"/>
      <c r="G181" s="137"/>
      <c r="H181" s="137"/>
      <c r="I181" s="137"/>
      <c r="J181" s="137"/>
      <c r="K181" s="137"/>
      <c r="L181" s="137"/>
      <c r="M181" s="137"/>
      <c r="N181" s="137"/>
      <c r="O181" s="137"/>
      <c r="P181" s="137"/>
      <c r="Q181" s="137"/>
      <c r="R181" s="137"/>
      <c r="S181" s="137"/>
    </row>
    <row r="182">
      <c r="A182" s="139"/>
      <c r="B182" s="137"/>
      <c r="C182" s="137"/>
      <c r="D182" s="137"/>
      <c r="E182" s="137"/>
      <c r="F182" s="137"/>
      <c r="G182" s="137"/>
      <c r="H182" s="137"/>
      <c r="I182" s="137"/>
      <c r="J182" s="137"/>
      <c r="K182" s="137"/>
      <c r="L182" s="137"/>
      <c r="M182" s="137"/>
      <c r="N182" s="137"/>
      <c r="O182" s="137"/>
      <c r="P182" s="137"/>
      <c r="Q182" s="137"/>
      <c r="R182" s="137"/>
      <c r="S182" s="137"/>
    </row>
    <row r="183">
      <c r="A183" s="139"/>
      <c r="B183" s="137"/>
      <c r="C183" s="137"/>
      <c r="D183" s="137"/>
      <c r="E183" s="137"/>
      <c r="F183" s="137"/>
      <c r="G183" s="137"/>
      <c r="H183" s="137"/>
      <c r="I183" s="137"/>
      <c r="J183" s="137"/>
      <c r="K183" s="137"/>
      <c r="L183" s="137"/>
      <c r="M183" s="137"/>
      <c r="N183" s="137"/>
      <c r="O183" s="137"/>
      <c r="P183" s="137"/>
      <c r="Q183" s="137"/>
      <c r="R183" s="137"/>
      <c r="S183" s="137"/>
    </row>
    <row r="184">
      <c r="A184" s="139"/>
      <c r="B184" s="137"/>
      <c r="C184" s="137"/>
      <c r="D184" s="137"/>
      <c r="E184" s="137"/>
      <c r="F184" s="137"/>
      <c r="G184" s="137"/>
      <c r="H184" s="137"/>
      <c r="I184" s="137"/>
      <c r="J184" s="137"/>
      <c r="K184" s="137"/>
      <c r="L184" s="137"/>
      <c r="M184" s="137"/>
      <c r="N184" s="137"/>
      <c r="O184" s="137"/>
      <c r="P184" s="137"/>
      <c r="Q184" s="137"/>
      <c r="R184" s="137"/>
      <c r="S184" s="137"/>
    </row>
    <row r="185">
      <c r="A185" s="139"/>
      <c r="B185" s="137"/>
      <c r="C185" s="137"/>
      <c r="D185" s="137"/>
      <c r="E185" s="137"/>
      <c r="F185" s="137"/>
      <c r="G185" s="137"/>
      <c r="H185" s="137"/>
      <c r="I185" s="137"/>
      <c r="J185" s="137"/>
      <c r="K185" s="137"/>
      <c r="L185" s="137"/>
      <c r="M185" s="137"/>
      <c r="N185" s="137"/>
      <c r="O185" s="137"/>
      <c r="P185" s="137"/>
      <c r="Q185" s="137"/>
      <c r="R185" s="137"/>
      <c r="S185" s="137"/>
    </row>
    <row r="186">
      <c r="A186" s="139"/>
      <c r="B186" s="137"/>
      <c r="C186" s="137"/>
      <c r="D186" s="137"/>
      <c r="E186" s="137"/>
      <c r="F186" s="137"/>
      <c r="G186" s="137"/>
      <c r="H186" s="137"/>
      <c r="I186" s="137"/>
      <c r="J186" s="137"/>
      <c r="K186" s="137"/>
      <c r="L186" s="137"/>
      <c r="M186" s="137"/>
      <c r="N186" s="137"/>
      <c r="O186" s="137"/>
      <c r="P186" s="137"/>
      <c r="Q186" s="137"/>
      <c r="R186" s="137"/>
      <c r="S186" s="137"/>
    </row>
    <row r="187">
      <c r="A187" s="139"/>
      <c r="B187" s="137"/>
      <c r="C187" s="137"/>
      <c r="D187" s="137"/>
      <c r="E187" s="137"/>
      <c r="F187" s="137"/>
      <c r="G187" s="137"/>
      <c r="H187" s="137"/>
      <c r="I187" s="137"/>
      <c r="J187" s="137"/>
      <c r="K187" s="137"/>
      <c r="L187" s="137"/>
      <c r="M187" s="137"/>
      <c r="N187" s="137"/>
      <c r="O187" s="137"/>
      <c r="P187" s="137"/>
      <c r="Q187" s="137"/>
      <c r="R187" s="137"/>
      <c r="S187" s="137"/>
    </row>
    <row r="188">
      <c r="A188" s="139"/>
      <c r="B188" s="137"/>
      <c r="C188" s="137"/>
      <c r="D188" s="137"/>
      <c r="E188" s="137"/>
      <c r="F188" s="137"/>
      <c r="G188" s="137"/>
      <c r="H188" s="137"/>
      <c r="I188" s="137"/>
      <c r="J188" s="137"/>
      <c r="K188" s="137"/>
      <c r="L188" s="137"/>
      <c r="M188" s="137"/>
      <c r="N188" s="137"/>
      <c r="O188" s="137"/>
      <c r="P188" s="137"/>
      <c r="Q188" s="137"/>
      <c r="R188" s="137"/>
      <c r="S188" s="137"/>
    </row>
    <row r="189">
      <c r="A189" s="139"/>
      <c r="B189" s="137"/>
      <c r="C189" s="137"/>
      <c r="D189" s="137"/>
      <c r="E189" s="137"/>
      <c r="F189" s="137"/>
      <c r="G189" s="137"/>
      <c r="H189" s="137"/>
      <c r="I189" s="137"/>
      <c r="J189" s="137"/>
      <c r="K189" s="137"/>
      <c r="L189" s="137"/>
      <c r="M189" s="137"/>
      <c r="N189" s="137"/>
      <c r="O189" s="137"/>
      <c r="P189" s="137"/>
      <c r="Q189" s="137"/>
      <c r="R189" s="137"/>
      <c r="S189" s="137"/>
    </row>
    <row r="190">
      <c r="A190" s="139"/>
      <c r="B190" s="137"/>
      <c r="C190" s="137"/>
      <c r="D190" s="137"/>
      <c r="E190" s="137"/>
      <c r="F190" s="137"/>
      <c r="G190" s="137"/>
      <c r="H190" s="137"/>
      <c r="I190" s="137"/>
      <c r="J190" s="137"/>
      <c r="K190" s="137"/>
      <c r="L190" s="137"/>
      <c r="M190" s="137"/>
      <c r="N190" s="137"/>
      <c r="O190" s="137"/>
      <c r="P190" s="137"/>
      <c r="Q190" s="137"/>
      <c r="R190" s="137"/>
      <c r="S190" s="137"/>
    </row>
    <row r="191">
      <c r="A191" s="139"/>
      <c r="B191" s="137"/>
      <c r="C191" s="137"/>
      <c r="D191" s="137"/>
      <c r="E191" s="137"/>
      <c r="F191" s="137"/>
      <c r="G191" s="137"/>
      <c r="H191" s="137"/>
      <c r="I191" s="137"/>
      <c r="J191" s="137"/>
      <c r="K191" s="137"/>
      <c r="L191" s="137"/>
      <c r="M191" s="137"/>
      <c r="N191" s="137"/>
      <c r="O191" s="137"/>
      <c r="P191" s="137"/>
      <c r="Q191" s="137"/>
      <c r="R191" s="137"/>
      <c r="S191" s="137"/>
    </row>
    <row r="192">
      <c r="A192" s="139"/>
      <c r="B192" s="137"/>
      <c r="C192" s="137"/>
      <c r="D192" s="137"/>
      <c r="E192" s="137"/>
      <c r="F192" s="137"/>
      <c r="G192" s="137"/>
      <c r="H192" s="137"/>
      <c r="I192" s="137"/>
      <c r="J192" s="137"/>
      <c r="K192" s="137"/>
      <c r="L192" s="137"/>
      <c r="M192" s="137"/>
      <c r="N192" s="137"/>
      <c r="O192" s="137"/>
      <c r="P192" s="137"/>
      <c r="Q192" s="137"/>
      <c r="R192" s="137"/>
      <c r="S192" s="137"/>
    </row>
    <row r="193">
      <c r="A193" s="139"/>
      <c r="B193" s="137"/>
      <c r="C193" s="137"/>
      <c r="D193" s="137"/>
      <c r="E193" s="137"/>
      <c r="F193" s="137"/>
      <c r="G193" s="137"/>
      <c r="H193" s="137"/>
      <c r="I193" s="137"/>
      <c r="J193" s="137"/>
      <c r="K193" s="137"/>
      <c r="L193" s="137"/>
      <c r="M193" s="137"/>
      <c r="N193" s="137"/>
      <c r="O193" s="137"/>
      <c r="P193" s="137"/>
      <c r="Q193" s="137"/>
      <c r="R193" s="137"/>
      <c r="S193" s="137"/>
    </row>
    <row r="194">
      <c r="A194" s="139"/>
      <c r="B194" s="137"/>
      <c r="C194" s="137"/>
      <c r="D194" s="137"/>
      <c r="E194" s="137"/>
      <c r="F194" s="137"/>
      <c r="G194" s="137"/>
      <c r="H194" s="137"/>
      <c r="I194" s="137"/>
      <c r="J194" s="137"/>
      <c r="K194" s="137"/>
      <c r="L194" s="137"/>
      <c r="M194" s="137"/>
      <c r="N194" s="137"/>
      <c r="O194" s="137"/>
      <c r="P194" s="137"/>
      <c r="Q194" s="137"/>
      <c r="R194" s="137"/>
      <c r="S194" s="137"/>
    </row>
    <row r="195">
      <c r="A195" s="139"/>
      <c r="B195" s="137"/>
      <c r="C195" s="137"/>
      <c r="D195" s="137"/>
      <c r="E195" s="137"/>
      <c r="F195" s="137"/>
      <c r="G195" s="137"/>
      <c r="H195" s="137"/>
      <c r="I195" s="137"/>
      <c r="J195" s="137"/>
      <c r="K195" s="137"/>
      <c r="L195" s="137"/>
      <c r="M195" s="137"/>
      <c r="N195" s="137"/>
      <c r="O195" s="137"/>
      <c r="P195" s="137"/>
      <c r="Q195" s="137"/>
      <c r="R195" s="137"/>
      <c r="S195" s="137"/>
    </row>
    <row r="196">
      <c r="A196" s="139"/>
      <c r="B196" s="137"/>
      <c r="C196" s="137"/>
      <c r="D196" s="137"/>
      <c r="E196" s="137"/>
      <c r="F196" s="137"/>
      <c r="G196" s="137"/>
      <c r="H196" s="137"/>
      <c r="I196" s="137"/>
      <c r="J196" s="137"/>
      <c r="K196" s="137"/>
      <c r="L196" s="137"/>
      <c r="M196" s="137"/>
      <c r="N196" s="137"/>
      <c r="O196" s="137"/>
      <c r="P196" s="137"/>
      <c r="Q196" s="137"/>
      <c r="R196" s="137"/>
      <c r="S196" s="137"/>
    </row>
    <row r="197">
      <c r="A197" s="139"/>
      <c r="B197" s="137"/>
      <c r="C197" s="137"/>
      <c r="D197" s="137"/>
      <c r="E197" s="137"/>
      <c r="F197" s="137"/>
      <c r="G197" s="137"/>
      <c r="H197" s="137"/>
      <c r="I197" s="137"/>
      <c r="J197" s="137"/>
      <c r="K197" s="137"/>
      <c r="L197" s="137"/>
      <c r="M197" s="137"/>
      <c r="N197" s="137"/>
      <c r="O197" s="137"/>
      <c r="P197" s="137"/>
      <c r="Q197" s="137"/>
      <c r="R197" s="137"/>
      <c r="S197" s="137"/>
    </row>
    <row r="198">
      <c r="A198" s="139"/>
      <c r="B198" s="137"/>
      <c r="C198" s="137"/>
      <c r="D198" s="137"/>
      <c r="E198" s="137"/>
      <c r="F198" s="137"/>
      <c r="G198" s="137"/>
      <c r="H198" s="137"/>
      <c r="I198" s="137"/>
      <c r="J198" s="137"/>
      <c r="K198" s="137"/>
      <c r="L198" s="137"/>
      <c r="M198" s="137"/>
      <c r="N198" s="137"/>
      <c r="O198" s="137"/>
      <c r="P198" s="137"/>
      <c r="Q198" s="137"/>
      <c r="R198" s="137"/>
      <c r="S198" s="137"/>
    </row>
    <row r="199">
      <c r="A199" s="139"/>
      <c r="B199" s="137"/>
      <c r="C199" s="137"/>
      <c r="D199" s="137"/>
      <c r="E199" s="137"/>
      <c r="F199" s="137"/>
      <c r="G199" s="137"/>
      <c r="H199" s="137"/>
      <c r="I199" s="137"/>
      <c r="J199" s="137"/>
      <c r="K199" s="137"/>
      <c r="L199" s="137"/>
      <c r="M199" s="137"/>
      <c r="N199" s="137"/>
      <c r="O199" s="137"/>
      <c r="P199" s="137"/>
      <c r="Q199" s="137"/>
      <c r="R199" s="137"/>
      <c r="S199" s="137"/>
    </row>
    <row r="200">
      <c r="A200" s="139"/>
      <c r="B200" s="137"/>
      <c r="C200" s="137"/>
      <c r="D200" s="137"/>
      <c r="E200" s="137"/>
      <c r="F200" s="137"/>
      <c r="G200" s="137"/>
      <c r="H200" s="137"/>
      <c r="I200" s="137"/>
      <c r="J200" s="137"/>
      <c r="K200" s="137"/>
      <c r="L200" s="137"/>
      <c r="M200" s="137"/>
      <c r="N200" s="137"/>
      <c r="O200" s="137"/>
      <c r="P200" s="137"/>
      <c r="Q200" s="137"/>
      <c r="R200" s="137"/>
      <c r="S200" s="137"/>
    </row>
    <row r="201">
      <c r="A201" s="139"/>
      <c r="B201" s="137"/>
      <c r="C201" s="137"/>
      <c r="D201" s="137"/>
      <c r="E201" s="137"/>
      <c r="F201" s="137"/>
      <c r="G201" s="137"/>
      <c r="H201" s="137"/>
      <c r="I201" s="137"/>
      <c r="J201" s="137"/>
      <c r="K201" s="137"/>
      <c r="L201" s="137"/>
      <c r="M201" s="137"/>
      <c r="N201" s="137"/>
      <c r="O201" s="137"/>
      <c r="P201" s="137"/>
      <c r="Q201" s="137"/>
      <c r="R201" s="137"/>
      <c r="S201" s="137"/>
    </row>
    <row r="202">
      <c r="A202" s="139"/>
      <c r="B202" s="137"/>
      <c r="C202" s="137"/>
      <c r="D202" s="137"/>
      <c r="E202" s="137"/>
      <c r="F202" s="137"/>
      <c r="G202" s="137"/>
      <c r="H202" s="137"/>
      <c r="I202" s="137"/>
      <c r="J202" s="137"/>
      <c r="K202" s="137"/>
      <c r="L202" s="137"/>
      <c r="M202" s="137"/>
      <c r="N202" s="137"/>
      <c r="O202" s="137"/>
      <c r="P202" s="137"/>
      <c r="Q202" s="137"/>
      <c r="R202" s="137"/>
      <c r="S202" s="137"/>
    </row>
    <row r="203">
      <c r="A203" s="139"/>
      <c r="B203" s="137"/>
      <c r="C203" s="137"/>
      <c r="D203" s="137"/>
      <c r="E203" s="137"/>
      <c r="F203" s="137"/>
      <c r="G203" s="137"/>
      <c r="H203" s="137"/>
      <c r="I203" s="137"/>
      <c r="J203" s="137"/>
      <c r="K203" s="137"/>
      <c r="L203" s="137"/>
      <c r="M203" s="137"/>
      <c r="N203" s="137"/>
      <c r="O203" s="137"/>
      <c r="P203" s="137"/>
      <c r="Q203" s="137"/>
      <c r="R203" s="137"/>
      <c r="S203" s="137"/>
    </row>
    <row r="204">
      <c r="A204" s="139"/>
      <c r="B204" s="137"/>
      <c r="C204" s="137"/>
      <c r="D204" s="137"/>
      <c r="E204" s="137"/>
      <c r="F204" s="137"/>
      <c r="G204" s="137"/>
      <c r="H204" s="137"/>
      <c r="I204" s="137"/>
      <c r="J204" s="137"/>
      <c r="K204" s="137"/>
      <c r="L204" s="137"/>
      <c r="M204" s="137"/>
      <c r="N204" s="137"/>
      <c r="O204" s="137"/>
      <c r="P204" s="137"/>
      <c r="Q204" s="137"/>
      <c r="R204" s="137"/>
      <c r="S204" s="137"/>
    </row>
    <row r="205">
      <c r="A205" s="139"/>
      <c r="B205" s="137"/>
      <c r="C205" s="137"/>
      <c r="D205" s="137"/>
      <c r="E205" s="137"/>
      <c r="F205" s="137"/>
      <c r="G205" s="137"/>
      <c r="H205" s="137"/>
      <c r="I205" s="137"/>
      <c r="J205" s="137"/>
      <c r="K205" s="137"/>
      <c r="L205" s="137"/>
      <c r="M205" s="137"/>
      <c r="N205" s="137"/>
      <c r="O205" s="137"/>
      <c r="P205" s="137"/>
      <c r="Q205" s="137"/>
      <c r="R205" s="137"/>
      <c r="S205" s="137"/>
    </row>
    <row r="206">
      <c r="A206" s="139"/>
      <c r="B206" s="137"/>
      <c r="C206" s="137"/>
      <c r="D206" s="137"/>
      <c r="E206" s="137"/>
      <c r="F206" s="137"/>
      <c r="G206" s="137"/>
      <c r="H206" s="137"/>
      <c r="I206" s="137"/>
      <c r="J206" s="137"/>
      <c r="K206" s="137"/>
      <c r="L206" s="137"/>
      <c r="M206" s="137"/>
      <c r="N206" s="137"/>
      <c r="O206" s="137"/>
      <c r="P206" s="137"/>
      <c r="Q206" s="137"/>
      <c r="R206" s="137"/>
      <c r="S206" s="137"/>
    </row>
    <row r="207">
      <c r="A207" s="139"/>
      <c r="B207" s="137"/>
      <c r="C207" s="137"/>
      <c r="D207" s="137"/>
      <c r="E207" s="137"/>
      <c r="F207" s="137"/>
      <c r="G207" s="137"/>
      <c r="H207" s="137"/>
      <c r="I207" s="137"/>
      <c r="J207" s="137"/>
      <c r="K207" s="137"/>
      <c r="L207" s="137"/>
      <c r="M207" s="137"/>
      <c r="N207" s="137"/>
      <c r="O207" s="137"/>
      <c r="P207" s="137"/>
      <c r="Q207" s="137"/>
      <c r="R207" s="137"/>
      <c r="S207" s="137"/>
    </row>
    <row r="208">
      <c r="A208" s="139"/>
      <c r="B208" s="137"/>
      <c r="C208" s="137"/>
      <c r="D208" s="137"/>
      <c r="E208" s="137"/>
      <c r="F208" s="137"/>
      <c r="G208" s="137"/>
      <c r="H208" s="137"/>
      <c r="I208" s="137"/>
      <c r="J208" s="137"/>
      <c r="K208" s="137"/>
      <c r="L208" s="137"/>
      <c r="M208" s="137"/>
      <c r="N208" s="137"/>
      <c r="O208" s="137"/>
      <c r="P208" s="137"/>
      <c r="Q208" s="137"/>
      <c r="R208" s="137"/>
      <c r="S208" s="137"/>
    </row>
    <row r="209">
      <c r="A209" s="139"/>
      <c r="B209" s="137"/>
      <c r="C209" s="137"/>
      <c r="D209" s="137"/>
      <c r="E209" s="137"/>
      <c r="F209" s="137"/>
      <c r="G209" s="137"/>
      <c r="H209" s="137"/>
      <c r="I209" s="137"/>
      <c r="J209" s="137"/>
      <c r="K209" s="137"/>
      <c r="L209" s="137"/>
      <c r="M209" s="137"/>
      <c r="N209" s="137"/>
      <c r="O209" s="137"/>
      <c r="P209" s="137"/>
      <c r="Q209" s="137"/>
      <c r="R209" s="137"/>
      <c r="S209" s="137"/>
    </row>
    <row r="210">
      <c r="A210" s="139"/>
      <c r="B210" s="137"/>
      <c r="C210" s="137"/>
      <c r="D210" s="137"/>
      <c r="E210" s="137"/>
      <c r="F210" s="137"/>
      <c r="G210" s="137"/>
      <c r="H210" s="137"/>
      <c r="I210" s="137"/>
      <c r="J210" s="137"/>
      <c r="K210" s="137"/>
      <c r="L210" s="137"/>
      <c r="M210" s="137"/>
      <c r="N210" s="137"/>
      <c r="O210" s="137"/>
      <c r="P210" s="137"/>
      <c r="Q210" s="137"/>
      <c r="R210" s="137"/>
      <c r="S210" s="137"/>
    </row>
    <row r="211">
      <c r="A211" s="139"/>
      <c r="B211" s="137"/>
      <c r="C211" s="137"/>
      <c r="D211" s="137"/>
      <c r="E211" s="137"/>
      <c r="F211" s="137"/>
      <c r="G211" s="137"/>
      <c r="H211" s="137"/>
      <c r="I211" s="137"/>
      <c r="J211" s="137"/>
      <c r="K211" s="137"/>
      <c r="L211" s="137"/>
      <c r="M211" s="137"/>
      <c r="N211" s="137"/>
      <c r="O211" s="137"/>
      <c r="P211" s="137"/>
      <c r="Q211" s="137"/>
      <c r="R211" s="137"/>
      <c r="S211" s="137"/>
    </row>
    <row r="212">
      <c r="A212" s="139"/>
      <c r="B212" s="137"/>
      <c r="C212" s="137"/>
      <c r="D212" s="137"/>
      <c r="E212" s="137"/>
      <c r="F212" s="137"/>
      <c r="G212" s="137"/>
      <c r="H212" s="137"/>
      <c r="I212" s="137"/>
      <c r="J212" s="137"/>
      <c r="K212" s="137"/>
      <c r="L212" s="137"/>
      <c r="M212" s="137"/>
      <c r="N212" s="137"/>
      <c r="O212" s="137"/>
      <c r="P212" s="137"/>
      <c r="Q212" s="137"/>
      <c r="R212" s="137"/>
      <c r="S212" s="137"/>
    </row>
    <row r="213">
      <c r="A213" s="139"/>
      <c r="B213" s="137"/>
      <c r="C213" s="137"/>
      <c r="D213" s="137"/>
      <c r="E213" s="137"/>
      <c r="F213" s="137"/>
      <c r="G213" s="137"/>
      <c r="H213" s="137"/>
      <c r="I213" s="137"/>
      <c r="J213" s="137"/>
      <c r="K213" s="137"/>
      <c r="L213" s="137"/>
      <c r="M213" s="137"/>
      <c r="N213" s="137"/>
      <c r="O213" s="137"/>
      <c r="P213" s="137"/>
      <c r="Q213" s="137"/>
      <c r="R213" s="137"/>
      <c r="S213" s="137"/>
    </row>
    <row r="214">
      <c r="A214" s="139"/>
      <c r="B214" s="137"/>
      <c r="C214" s="137"/>
      <c r="D214" s="137"/>
      <c r="E214" s="137"/>
      <c r="F214" s="137"/>
      <c r="G214" s="137"/>
      <c r="H214" s="137"/>
      <c r="I214" s="137"/>
      <c r="J214" s="137"/>
      <c r="K214" s="137"/>
      <c r="L214" s="137"/>
      <c r="M214" s="137"/>
      <c r="N214" s="137"/>
      <c r="O214" s="137"/>
      <c r="P214" s="137"/>
      <c r="Q214" s="137"/>
      <c r="R214" s="137"/>
      <c r="S214" s="137"/>
    </row>
    <row r="215">
      <c r="A215" s="139"/>
      <c r="B215" s="137"/>
      <c r="C215" s="137"/>
      <c r="D215" s="137"/>
      <c r="E215" s="137"/>
      <c r="F215" s="137"/>
      <c r="G215" s="137"/>
      <c r="H215" s="137"/>
      <c r="I215" s="137"/>
      <c r="J215" s="137"/>
      <c r="K215" s="137"/>
      <c r="L215" s="137"/>
      <c r="M215" s="137"/>
      <c r="N215" s="137"/>
      <c r="O215" s="137"/>
      <c r="P215" s="137"/>
      <c r="Q215" s="137"/>
      <c r="R215" s="137"/>
      <c r="S215" s="137"/>
    </row>
    <row r="216">
      <c r="A216" s="139"/>
      <c r="B216" s="137"/>
      <c r="C216" s="137"/>
      <c r="D216" s="137"/>
      <c r="E216" s="137"/>
      <c r="F216" s="137"/>
      <c r="G216" s="137"/>
      <c r="H216" s="137"/>
      <c r="I216" s="137"/>
      <c r="J216" s="137"/>
      <c r="K216" s="137"/>
      <c r="L216" s="137"/>
      <c r="M216" s="137"/>
      <c r="N216" s="137"/>
      <c r="O216" s="137"/>
      <c r="P216" s="137"/>
      <c r="Q216" s="137"/>
      <c r="R216" s="137"/>
      <c r="S216" s="137"/>
    </row>
    <row r="217">
      <c r="A217" s="139"/>
      <c r="B217" s="137"/>
      <c r="C217" s="137"/>
      <c r="D217" s="137"/>
      <c r="E217" s="137"/>
      <c r="F217" s="137"/>
      <c r="G217" s="137"/>
      <c r="H217" s="137"/>
      <c r="I217" s="137"/>
      <c r="J217" s="137"/>
      <c r="K217" s="137"/>
      <c r="L217" s="137"/>
      <c r="M217" s="137"/>
      <c r="N217" s="137"/>
      <c r="O217" s="137"/>
      <c r="P217" s="137"/>
      <c r="Q217" s="137"/>
      <c r="R217" s="137"/>
      <c r="S217" s="137"/>
    </row>
    <row r="218">
      <c r="A218" s="139"/>
      <c r="B218" s="137"/>
      <c r="C218" s="137"/>
      <c r="D218" s="137"/>
      <c r="E218" s="137"/>
      <c r="F218" s="137"/>
      <c r="G218" s="137"/>
      <c r="H218" s="137"/>
      <c r="I218" s="137"/>
      <c r="J218" s="137"/>
      <c r="K218" s="137"/>
      <c r="L218" s="137"/>
      <c r="M218" s="137"/>
      <c r="N218" s="137"/>
      <c r="O218" s="137"/>
      <c r="P218" s="137"/>
      <c r="Q218" s="137"/>
      <c r="R218" s="137"/>
      <c r="S218" s="137"/>
    </row>
    <row r="219">
      <c r="A219" s="139"/>
      <c r="B219" s="137"/>
      <c r="C219" s="137"/>
      <c r="D219" s="137"/>
      <c r="E219" s="137"/>
      <c r="F219" s="137"/>
      <c r="G219" s="137"/>
      <c r="H219" s="137"/>
      <c r="I219" s="137"/>
      <c r="J219" s="137"/>
      <c r="K219" s="137"/>
      <c r="L219" s="137"/>
      <c r="M219" s="137"/>
      <c r="N219" s="137"/>
      <c r="O219" s="137"/>
      <c r="P219" s="137"/>
      <c r="Q219" s="137"/>
      <c r="R219" s="137"/>
      <c r="S219" s="137"/>
    </row>
    <row r="220">
      <c r="A220" s="139"/>
      <c r="B220" s="137"/>
      <c r="C220" s="137"/>
      <c r="D220" s="137"/>
      <c r="E220" s="137"/>
      <c r="F220" s="137"/>
      <c r="G220" s="137"/>
      <c r="H220" s="137"/>
      <c r="I220" s="137"/>
      <c r="J220" s="137"/>
      <c r="K220" s="137"/>
      <c r="L220" s="137"/>
      <c r="M220" s="137"/>
      <c r="N220" s="137"/>
      <c r="O220" s="137"/>
      <c r="P220" s="137"/>
      <c r="Q220" s="137"/>
      <c r="R220" s="137"/>
      <c r="S220" s="137"/>
    </row>
    <row r="221">
      <c r="A221" s="139"/>
      <c r="B221" s="137"/>
      <c r="C221" s="137"/>
      <c r="D221" s="137"/>
      <c r="E221" s="137"/>
      <c r="F221" s="137"/>
      <c r="G221" s="137"/>
      <c r="H221" s="137"/>
      <c r="I221" s="137"/>
      <c r="J221" s="137"/>
      <c r="K221" s="137"/>
      <c r="L221" s="137"/>
      <c r="M221" s="137"/>
      <c r="N221" s="137"/>
      <c r="O221" s="137"/>
      <c r="P221" s="137"/>
      <c r="Q221" s="137"/>
      <c r="R221" s="137"/>
      <c r="S221" s="137"/>
    </row>
    <row r="222">
      <c r="A222" s="139"/>
      <c r="B222" s="137"/>
      <c r="C222" s="137"/>
      <c r="D222" s="137"/>
      <c r="E222" s="137"/>
      <c r="F222" s="137"/>
      <c r="G222" s="137"/>
      <c r="H222" s="137"/>
      <c r="I222" s="137"/>
      <c r="J222" s="137"/>
      <c r="K222" s="137"/>
      <c r="L222" s="137"/>
      <c r="M222" s="137"/>
      <c r="N222" s="137"/>
      <c r="O222" s="137"/>
      <c r="P222" s="137"/>
      <c r="Q222" s="137"/>
      <c r="R222" s="137"/>
      <c r="S222" s="137"/>
    </row>
    <row r="223">
      <c r="A223" s="139"/>
      <c r="B223" s="137"/>
      <c r="C223" s="137"/>
      <c r="D223" s="137"/>
      <c r="E223" s="137"/>
      <c r="F223" s="137"/>
      <c r="G223" s="137"/>
      <c r="H223" s="137"/>
      <c r="I223" s="137"/>
      <c r="J223" s="137"/>
      <c r="K223" s="137"/>
      <c r="L223" s="137"/>
      <c r="M223" s="137"/>
      <c r="N223" s="137"/>
      <c r="O223" s="137"/>
      <c r="P223" s="137"/>
      <c r="Q223" s="137"/>
      <c r="R223" s="137"/>
      <c r="S223" s="137"/>
    </row>
    <row r="224">
      <c r="A224" s="139"/>
      <c r="B224" s="137"/>
      <c r="C224" s="137"/>
      <c r="D224" s="137"/>
      <c r="E224" s="137"/>
      <c r="F224" s="137"/>
      <c r="G224" s="137"/>
      <c r="H224" s="137"/>
      <c r="I224" s="137"/>
      <c r="J224" s="137"/>
      <c r="K224" s="137"/>
      <c r="L224" s="137"/>
      <c r="M224" s="137"/>
      <c r="N224" s="137"/>
      <c r="O224" s="137"/>
      <c r="P224" s="137"/>
      <c r="Q224" s="137"/>
      <c r="R224" s="137"/>
      <c r="S224" s="137"/>
    </row>
    <row r="225">
      <c r="A225" s="139"/>
      <c r="B225" s="137"/>
      <c r="C225" s="137"/>
      <c r="D225" s="137"/>
      <c r="E225" s="137"/>
      <c r="F225" s="137"/>
      <c r="G225" s="137"/>
      <c r="H225" s="137"/>
      <c r="I225" s="137"/>
      <c r="J225" s="137"/>
      <c r="K225" s="137"/>
      <c r="L225" s="137"/>
      <c r="M225" s="137"/>
      <c r="N225" s="137"/>
      <c r="O225" s="137"/>
      <c r="P225" s="137"/>
      <c r="Q225" s="137"/>
      <c r="R225" s="137"/>
      <c r="S225" s="137"/>
    </row>
    <row r="226">
      <c r="A226" s="139"/>
      <c r="B226" s="137"/>
      <c r="C226" s="137"/>
      <c r="D226" s="137"/>
      <c r="E226" s="137"/>
      <c r="F226" s="137"/>
      <c r="G226" s="137"/>
      <c r="H226" s="137"/>
      <c r="I226" s="137"/>
      <c r="J226" s="137"/>
      <c r="K226" s="137"/>
      <c r="L226" s="137"/>
      <c r="M226" s="137"/>
      <c r="N226" s="137"/>
      <c r="O226" s="137"/>
      <c r="P226" s="137"/>
      <c r="Q226" s="137"/>
      <c r="R226" s="137"/>
      <c r="S226" s="137"/>
    </row>
    <row r="227">
      <c r="A227" s="139"/>
      <c r="B227" s="137"/>
      <c r="C227" s="137"/>
      <c r="D227" s="137"/>
      <c r="E227" s="137"/>
      <c r="F227" s="137"/>
      <c r="G227" s="137"/>
      <c r="H227" s="137"/>
      <c r="I227" s="137"/>
      <c r="J227" s="137"/>
      <c r="K227" s="137"/>
      <c r="L227" s="137"/>
      <c r="M227" s="137"/>
      <c r="N227" s="137"/>
      <c r="O227" s="137"/>
      <c r="P227" s="137"/>
      <c r="Q227" s="137"/>
      <c r="R227" s="137"/>
      <c r="S227" s="137"/>
    </row>
    <row r="228">
      <c r="A228" s="139"/>
      <c r="B228" s="137"/>
      <c r="C228" s="137"/>
      <c r="D228" s="137"/>
      <c r="E228" s="137"/>
      <c r="F228" s="137"/>
      <c r="G228" s="137"/>
      <c r="H228" s="137"/>
      <c r="I228" s="137"/>
      <c r="J228" s="137"/>
      <c r="K228" s="137"/>
      <c r="L228" s="137"/>
      <c r="M228" s="137"/>
      <c r="N228" s="137"/>
      <c r="O228" s="137"/>
      <c r="P228" s="137"/>
      <c r="Q228" s="137"/>
      <c r="R228" s="137"/>
      <c r="S228" s="137"/>
    </row>
    <row r="229">
      <c r="A229" s="139"/>
      <c r="B229" s="137"/>
      <c r="C229" s="137"/>
      <c r="D229" s="137"/>
      <c r="E229" s="137"/>
      <c r="F229" s="137"/>
      <c r="G229" s="137"/>
      <c r="H229" s="137"/>
      <c r="I229" s="137"/>
      <c r="J229" s="137"/>
      <c r="K229" s="137"/>
      <c r="L229" s="137"/>
      <c r="M229" s="137"/>
      <c r="N229" s="137"/>
      <c r="O229" s="137"/>
      <c r="P229" s="137"/>
      <c r="Q229" s="137"/>
      <c r="R229" s="137"/>
      <c r="S229" s="137"/>
    </row>
    <row r="230">
      <c r="A230" s="139"/>
      <c r="B230" s="137"/>
      <c r="C230" s="137"/>
      <c r="D230" s="137"/>
      <c r="E230" s="137"/>
      <c r="F230" s="137"/>
      <c r="G230" s="137"/>
      <c r="H230" s="137"/>
      <c r="I230" s="137"/>
      <c r="J230" s="137"/>
      <c r="K230" s="137"/>
      <c r="L230" s="137"/>
      <c r="M230" s="137"/>
      <c r="N230" s="137"/>
      <c r="O230" s="137"/>
      <c r="P230" s="137"/>
      <c r="Q230" s="137"/>
      <c r="R230" s="137"/>
      <c r="S230" s="137"/>
    </row>
    <row r="231">
      <c r="A231" s="139"/>
      <c r="B231" s="137"/>
      <c r="C231" s="137"/>
      <c r="D231" s="137"/>
      <c r="E231" s="137"/>
      <c r="F231" s="137"/>
      <c r="G231" s="137"/>
      <c r="H231" s="137"/>
      <c r="I231" s="137"/>
      <c r="J231" s="137"/>
      <c r="K231" s="137"/>
      <c r="L231" s="137"/>
      <c r="M231" s="137"/>
      <c r="N231" s="137"/>
      <c r="O231" s="137"/>
      <c r="P231" s="137"/>
      <c r="Q231" s="137"/>
      <c r="R231" s="137"/>
      <c r="S231" s="137"/>
    </row>
    <row r="232">
      <c r="A232" s="139"/>
      <c r="B232" s="137"/>
      <c r="C232" s="137"/>
      <c r="D232" s="137"/>
      <c r="E232" s="137"/>
      <c r="F232" s="137"/>
      <c r="G232" s="137"/>
      <c r="H232" s="137"/>
      <c r="I232" s="137"/>
      <c r="J232" s="137"/>
      <c r="K232" s="137"/>
      <c r="L232" s="137"/>
      <c r="M232" s="137"/>
      <c r="N232" s="137"/>
      <c r="O232" s="137"/>
      <c r="P232" s="137"/>
      <c r="Q232" s="137"/>
      <c r="R232" s="137"/>
      <c r="S232" s="137"/>
    </row>
    <row r="233">
      <c r="A233" s="139"/>
      <c r="B233" s="137"/>
      <c r="C233" s="137"/>
      <c r="D233" s="137"/>
      <c r="E233" s="137"/>
      <c r="F233" s="137"/>
      <c r="G233" s="137"/>
      <c r="H233" s="137"/>
      <c r="I233" s="137"/>
      <c r="J233" s="137"/>
      <c r="K233" s="137"/>
      <c r="L233" s="137"/>
      <c r="M233" s="137"/>
      <c r="N233" s="137"/>
      <c r="O233" s="137"/>
      <c r="P233" s="137"/>
      <c r="Q233" s="137"/>
      <c r="R233" s="137"/>
      <c r="S233" s="137"/>
    </row>
    <row r="234">
      <c r="A234" s="139"/>
      <c r="B234" s="137"/>
      <c r="C234" s="137"/>
      <c r="D234" s="137"/>
      <c r="E234" s="137"/>
      <c r="F234" s="137"/>
      <c r="G234" s="137"/>
      <c r="H234" s="137"/>
      <c r="I234" s="137"/>
      <c r="J234" s="137"/>
      <c r="K234" s="137"/>
      <c r="L234" s="137"/>
      <c r="M234" s="137"/>
      <c r="N234" s="137"/>
      <c r="O234" s="137"/>
      <c r="P234" s="137"/>
      <c r="Q234" s="137"/>
      <c r="R234" s="137"/>
      <c r="S234" s="137"/>
    </row>
    <row r="235">
      <c r="A235" s="139"/>
      <c r="B235" s="137"/>
      <c r="C235" s="137"/>
      <c r="D235" s="137"/>
      <c r="E235" s="137"/>
      <c r="F235" s="137"/>
      <c r="G235" s="137"/>
      <c r="H235" s="137"/>
      <c r="I235" s="137"/>
      <c r="J235" s="137"/>
      <c r="K235" s="137"/>
      <c r="L235" s="137"/>
      <c r="M235" s="137"/>
      <c r="N235" s="137"/>
      <c r="O235" s="137"/>
      <c r="P235" s="137"/>
      <c r="Q235" s="137"/>
      <c r="R235" s="137"/>
      <c r="S235" s="137"/>
    </row>
    <row r="236">
      <c r="A236" s="139"/>
      <c r="B236" s="137"/>
      <c r="C236" s="137"/>
      <c r="D236" s="137"/>
      <c r="E236" s="137"/>
      <c r="F236" s="137"/>
      <c r="G236" s="137"/>
      <c r="H236" s="137"/>
      <c r="I236" s="137"/>
      <c r="J236" s="137"/>
      <c r="K236" s="137"/>
      <c r="L236" s="137"/>
      <c r="M236" s="137"/>
      <c r="N236" s="137"/>
      <c r="O236" s="137"/>
      <c r="P236" s="137"/>
      <c r="Q236" s="137"/>
      <c r="R236" s="137"/>
      <c r="S236" s="137"/>
    </row>
    <row r="237">
      <c r="A237" s="139"/>
      <c r="B237" s="137"/>
      <c r="C237" s="137"/>
      <c r="D237" s="137"/>
      <c r="E237" s="137"/>
      <c r="F237" s="137"/>
      <c r="G237" s="137"/>
      <c r="H237" s="137"/>
      <c r="I237" s="137"/>
      <c r="J237" s="137"/>
      <c r="K237" s="137"/>
      <c r="L237" s="137"/>
      <c r="M237" s="137"/>
      <c r="N237" s="137"/>
      <c r="O237" s="137"/>
      <c r="P237" s="137"/>
      <c r="Q237" s="137"/>
      <c r="R237" s="137"/>
      <c r="S237" s="137"/>
    </row>
    <row r="238">
      <c r="A238" s="139"/>
      <c r="B238" s="137"/>
      <c r="C238" s="137"/>
      <c r="D238" s="137"/>
      <c r="E238" s="137"/>
      <c r="F238" s="137"/>
      <c r="G238" s="137"/>
      <c r="H238" s="137"/>
      <c r="I238" s="137"/>
      <c r="J238" s="137"/>
      <c r="K238" s="137"/>
      <c r="L238" s="137"/>
      <c r="M238" s="137"/>
      <c r="N238" s="137"/>
      <c r="O238" s="137"/>
      <c r="P238" s="137"/>
      <c r="Q238" s="137"/>
      <c r="R238" s="137"/>
      <c r="S238" s="137"/>
    </row>
    <row r="239">
      <c r="A239" s="139"/>
      <c r="B239" s="137"/>
      <c r="C239" s="137"/>
      <c r="D239" s="137"/>
      <c r="E239" s="137"/>
      <c r="F239" s="137"/>
      <c r="G239" s="137"/>
      <c r="H239" s="137"/>
      <c r="I239" s="137"/>
      <c r="J239" s="137"/>
      <c r="K239" s="137"/>
      <c r="L239" s="137"/>
      <c r="M239" s="137"/>
      <c r="N239" s="137"/>
      <c r="O239" s="137"/>
      <c r="P239" s="137"/>
      <c r="Q239" s="137"/>
      <c r="R239" s="137"/>
      <c r="S239" s="137"/>
    </row>
    <row r="240">
      <c r="A240" s="139"/>
      <c r="B240" s="137"/>
      <c r="C240" s="137"/>
      <c r="D240" s="137"/>
      <c r="E240" s="137"/>
      <c r="F240" s="137"/>
      <c r="G240" s="137"/>
      <c r="H240" s="137"/>
      <c r="I240" s="137"/>
      <c r="J240" s="137"/>
      <c r="K240" s="137"/>
      <c r="L240" s="137"/>
      <c r="M240" s="137"/>
      <c r="N240" s="137"/>
      <c r="O240" s="137"/>
      <c r="P240" s="137"/>
      <c r="Q240" s="137"/>
      <c r="R240" s="137"/>
      <c r="S240" s="137"/>
    </row>
    <row r="241">
      <c r="A241" s="139"/>
      <c r="B241" s="137"/>
      <c r="C241" s="137"/>
      <c r="D241" s="137"/>
      <c r="E241" s="137"/>
      <c r="F241" s="137"/>
      <c r="G241" s="137"/>
      <c r="H241" s="137"/>
      <c r="I241" s="137"/>
      <c r="J241" s="137"/>
      <c r="K241" s="137"/>
      <c r="L241" s="137"/>
      <c r="M241" s="137"/>
      <c r="N241" s="137"/>
      <c r="O241" s="137"/>
      <c r="P241" s="137"/>
      <c r="Q241" s="137"/>
      <c r="R241" s="137"/>
      <c r="S241" s="137"/>
    </row>
    <row r="242">
      <c r="A242" s="139"/>
      <c r="B242" s="137"/>
      <c r="C242" s="137"/>
      <c r="D242" s="137"/>
      <c r="E242" s="137"/>
      <c r="F242" s="137"/>
      <c r="G242" s="137"/>
      <c r="H242" s="137"/>
      <c r="I242" s="137"/>
      <c r="J242" s="137"/>
      <c r="K242" s="137"/>
      <c r="L242" s="137"/>
      <c r="M242" s="137"/>
      <c r="N242" s="137"/>
      <c r="O242" s="137"/>
      <c r="P242" s="137"/>
      <c r="Q242" s="137"/>
      <c r="R242" s="137"/>
      <c r="S242" s="137"/>
    </row>
    <row r="243">
      <c r="A243" s="139"/>
      <c r="B243" s="137"/>
      <c r="C243" s="137"/>
      <c r="D243" s="137"/>
      <c r="E243" s="137"/>
      <c r="F243" s="137"/>
      <c r="G243" s="137"/>
      <c r="H243" s="137"/>
      <c r="I243" s="137"/>
      <c r="J243" s="137"/>
      <c r="K243" s="137"/>
      <c r="L243" s="137"/>
      <c r="M243" s="137"/>
      <c r="N243" s="137"/>
      <c r="O243" s="137"/>
      <c r="P243" s="137"/>
      <c r="Q243" s="137"/>
      <c r="R243" s="137"/>
      <c r="S243" s="137"/>
    </row>
    <row r="244">
      <c r="A244" s="139"/>
      <c r="B244" s="137"/>
      <c r="C244" s="137"/>
      <c r="D244" s="137"/>
      <c r="E244" s="137"/>
      <c r="F244" s="137"/>
      <c r="G244" s="137"/>
      <c r="H244" s="137"/>
      <c r="I244" s="137"/>
      <c r="J244" s="137"/>
      <c r="K244" s="137"/>
      <c r="L244" s="137"/>
      <c r="M244" s="137"/>
      <c r="N244" s="137"/>
      <c r="O244" s="137"/>
      <c r="P244" s="137"/>
      <c r="Q244" s="137"/>
      <c r="R244" s="137"/>
      <c r="S244" s="137"/>
    </row>
    <row r="245">
      <c r="A245" s="139"/>
      <c r="B245" s="137"/>
      <c r="C245" s="137"/>
      <c r="D245" s="137"/>
      <c r="E245" s="137"/>
      <c r="F245" s="137"/>
      <c r="G245" s="137"/>
      <c r="H245" s="137"/>
      <c r="I245" s="137"/>
      <c r="J245" s="137"/>
      <c r="K245" s="137"/>
      <c r="L245" s="137"/>
      <c r="M245" s="137"/>
      <c r="N245" s="137"/>
      <c r="O245" s="137"/>
      <c r="P245" s="137"/>
      <c r="Q245" s="137"/>
      <c r="R245" s="137"/>
      <c r="S245" s="137"/>
    </row>
    <row r="246">
      <c r="A246" s="139"/>
      <c r="B246" s="137"/>
      <c r="C246" s="137"/>
      <c r="D246" s="137"/>
      <c r="E246" s="137"/>
      <c r="F246" s="137"/>
      <c r="G246" s="137"/>
      <c r="H246" s="137"/>
      <c r="I246" s="137"/>
      <c r="J246" s="137"/>
      <c r="K246" s="137"/>
      <c r="L246" s="137"/>
      <c r="M246" s="137"/>
      <c r="N246" s="137"/>
      <c r="O246" s="137"/>
      <c r="P246" s="137"/>
      <c r="Q246" s="137"/>
      <c r="R246" s="137"/>
      <c r="S246" s="137"/>
    </row>
    <row r="247">
      <c r="A247" s="139"/>
      <c r="B247" s="137"/>
      <c r="C247" s="137"/>
      <c r="D247" s="137"/>
      <c r="E247" s="137"/>
      <c r="F247" s="137"/>
      <c r="G247" s="137"/>
      <c r="H247" s="137"/>
      <c r="I247" s="137"/>
      <c r="J247" s="137"/>
      <c r="K247" s="137"/>
      <c r="L247" s="137"/>
      <c r="M247" s="137"/>
      <c r="N247" s="137"/>
      <c r="O247" s="137"/>
      <c r="P247" s="137"/>
      <c r="Q247" s="137"/>
      <c r="R247" s="137"/>
      <c r="S247" s="137"/>
    </row>
    <row r="248">
      <c r="A248" s="139"/>
      <c r="B248" s="137"/>
      <c r="C248" s="137"/>
      <c r="D248" s="137"/>
      <c r="E248" s="137"/>
      <c r="F248" s="137"/>
      <c r="G248" s="137"/>
      <c r="H248" s="137"/>
      <c r="I248" s="137"/>
      <c r="J248" s="137"/>
      <c r="K248" s="137"/>
      <c r="L248" s="137"/>
      <c r="M248" s="137"/>
      <c r="N248" s="137"/>
      <c r="O248" s="137"/>
      <c r="P248" s="137"/>
      <c r="Q248" s="137"/>
      <c r="R248" s="137"/>
      <c r="S248" s="137"/>
    </row>
    <row r="249">
      <c r="A249" s="139"/>
      <c r="B249" s="137"/>
      <c r="C249" s="137"/>
      <c r="D249" s="137"/>
      <c r="E249" s="137"/>
      <c r="F249" s="137"/>
      <c r="G249" s="137"/>
      <c r="H249" s="137"/>
      <c r="I249" s="137"/>
      <c r="J249" s="137"/>
      <c r="K249" s="137"/>
      <c r="L249" s="137"/>
      <c r="M249" s="137"/>
      <c r="N249" s="137"/>
      <c r="O249" s="137"/>
      <c r="P249" s="137"/>
      <c r="Q249" s="137"/>
      <c r="R249" s="137"/>
      <c r="S249" s="137"/>
    </row>
    <row r="250">
      <c r="A250" s="139"/>
      <c r="B250" s="137"/>
      <c r="C250" s="137"/>
      <c r="D250" s="137"/>
      <c r="E250" s="137"/>
      <c r="F250" s="137"/>
      <c r="G250" s="137"/>
      <c r="H250" s="137"/>
      <c r="I250" s="137"/>
      <c r="J250" s="137"/>
      <c r="K250" s="137"/>
      <c r="L250" s="137"/>
      <c r="M250" s="137"/>
      <c r="N250" s="137"/>
      <c r="O250" s="137"/>
      <c r="P250" s="137"/>
      <c r="Q250" s="137"/>
      <c r="R250" s="137"/>
      <c r="S250" s="137"/>
    </row>
    <row r="251">
      <c r="A251" s="139"/>
      <c r="B251" s="137"/>
      <c r="C251" s="137"/>
      <c r="D251" s="137"/>
      <c r="E251" s="137"/>
      <c r="F251" s="137"/>
      <c r="G251" s="137"/>
      <c r="H251" s="137"/>
      <c r="I251" s="137"/>
      <c r="J251" s="137"/>
      <c r="K251" s="137"/>
      <c r="L251" s="137"/>
      <c r="M251" s="137"/>
      <c r="N251" s="137"/>
      <c r="O251" s="137"/>
      <c r="P251" s="137"/>
      <c r="Q251" s="137"/>
      <c r="R251" s="137"/>
      <c r="S251" s="137"/>
    </row>
  </sheetData>
  <mergeCells count="3">
    <mergeCell ref="B1:S1"/>
    <mergeCell ref="A13:A19"/>
    <mergeCell ref="B21:J21"/>
  </mergeCells>
  <printOptions gridLines="1" horizontalCentered="1"/>
  <pageMargins bottom="0.75" footer="0.0" header="0.0" left="0.7" right="0.7" top="0.75"/>
  <pageSetup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0"/>
  <cols>
    <col customWidth="1" min="1" max="1" width="7.38"/>
    <col customWidth="1" min="2" max="3" width="18.88"/>
    <col customWidth="1" min="4" max="4" width="18.75"/>
    <col customWidth="1" min="5" max="8" width="18.88"/>
    <col customWidth="1" min="9" max="9" width="18.75"/>
    <col customWidth="1" min="10" max="11" width="19.63"/>
    <col customWidth="1" min="12" max="12" width="19.38"/>
    <col customWidth="1" min="13" max="13" width="20.38"/>
    <col customWidth="1" min="14" max="14" width="17.0"/>
    <col customWidth="1" min="16" max="16" width="29.25"/>
    <col customWidth="1" min="17" max="18" width="29.75"/>
    <col customWidth="1" min="19" max="19" width="28.0"/>
    <col customWidth="1" min="20" max="20" width="30.63"/>
  </cols>
  <sheetData>
    <row r="1" ht="57.0" customHeight="1">
      <c r="A1" s="140" t="s">
        <v>203</v>
      </c>
      <c r="B1" s="141" t="s">
        <v>204</v>
      </c>
      <c r="L1" s="2"/>
      <c r="M1" s="2"/>
      <c r="N1" s="2"/>
      <c r="O1" s="2"/>
      <c r="P1" s="2"/>
      <c r="Q1" s="2"/>
    </row>
    <row r="2" ht="57.0" customHeight="1">
      <c r="A2" s="142" t="s">
        <v>1</v>
      </c>
      <c r="B2" s="5" t="s">
        <v>205</v>
      </c>
      <c r="C2" s="5" t="s">
        <v>206</v>
      </c>
      <c r="D2" s="5" t="s">
        <v>207</v>
      </c>
      <c r="E2" s="5" t="s">
        <v>208</v>
      </c>
      <c r="F2" s="5" t="s">
        <v>209</v>
      </c>
      <c r="G2" s="143" t="s">
        <v>210</v>
      </c>
      <c r="H2" s="144" t="s">
        <v>211</v>
      </c>
      <c r="I2" s="145" t="s">
        <v>212</v>
      </c>
      <c r="J2" s="7" t="s">
        <v>213</v>
      </c>
      <c r="K2" s="146" t="s">
        <v>214</v>
      </c>
    </row>
    <row r="3" ht="32.25" customHeight="1">
      <c r="A3" s="142" t="s">
        <v>20</v>
      </c>
      <c r="B3" s="12" t="s">
        <v>215</v>
      </c>
      <c r="C3" s="12" t="s">
        <v>215</v>
      </c>
      <c r="D3" s="12" t="s">
        <v>216</v>
      </c>
      <c r="E3" s="12" t="s">
        <v>215</v>
      </c>
      <c r="F3" s="12" t="s">
        <v>217</v>
      </c>
      <c r="G3" s="147" t="s">
        <v>218</v>
      </c>
      <c r="H3" s="148" t="s">
        <v>219</v>
      </c>
      <c r="I3" s="149" t="s">
        <v>220</v>
      </c>
      <c r="J3" s="13" t="s">
        <v>221</v>
      </c>
      <c r="K3" s="150" t="s">
        <v>222</v>
      </c>
    </row>
    <row r="4" ht="35.25" customHeight="1">
      <c r="A4" s="151" t="s">
        <v>31</v>
      </c>
      <c r="B4" s="15" t="s">
        <v>223</v>
      </c>
      <c r="C4" s="15" t="s">
        <v>224</v>
      </c>
      <c r="D4" s="15" t="s">
        <v>225</v>
      </c>
      <c r="E4" s="15" t="s">
        <v>226</v>
      </c>
      <c r="F4" s="15" t="s">
        <v>227</v>
      </c>
      <c r="G4" s="152" t="s">
        <v>228</v>
      </c>
      <c r="H4" s="153" t="s">
        <v>229</v>
      </c>
      <c r="I4" s="154" t="s">
        <v>227</v>
      </c>
      <c r="J4" s="16" t="s">
        <v>33</v>
      </c>
      <c r="K4" s="16" t="s">
        <v>230</v>
      </c>
      <c r="M4" s="155"/>
    </row>
    <row r="5" ht="33.75" customHeight="1">
      <c r="A5" s="17">
        <v>1.0</v>
      </c>
      <c r="B5" s="18" t="s">
        <v>231</v>
      </c>
      <c r="C5" s="18" t="s">
        <v>232</v>
      </c>
      <c r="D5" s="18" t="s">
        <v>233</v>
      </c>
      <c r="E5" s="18" t="s">
        <v>234</v>
      </c>
      <c r="F5" s="110" t="s">
        <v>235</v>
      </c>
      <c r="G5" s="18" t="s">
        <v>236</v>
      </c>
      <c r="H5" s="21" t="s">
        <v>237</v>
      </c>
      <c r="I5" s="156" t="s">
        <v>238</v>
      </c>
      <c r="J5" s="157" t="s">
        <v>239</v>
      </c>
      <c r="K5" s="158" t="s">
        <v>240</v>
      </c>
      <c r="L5" s="159"/>
      <c r="M5" s="160"/>
      <c r="N5" s="159"/>
      <c r="O5" s="159"/>
    </row>
    <row r="6" ht="35.25" customHeight="1">
      <c r="A6" s="17">
        <v>2.0</v>
      </c>
      <c r="B6" s="19" t="s">
        <v>241</v>
      </c>
      <c r="C6" s="27" t="s">
        <v>242</v>
      </c>
      <c r="D6" s="18" t="s">
        <v>243</v>
      </c>
      <c r="E6" s="18" t="s">
        <v>244</v>
      </c>
      <c r="F6" s="38" t="s">
        <v>245</v>
      </c>
      <c r="G6" s="18" t="s">
        <v>246</v>
      </c>
      <c r="H6" s="161" t="s">
        <v>247</v>
      </c>
      <c r="I6" s="19" t="s">
        <v>248</v>
      </c>
      <c r="J6" s="162" t="s">
        <v>249</v>
      </c>
      <c r="K6" s="163" t="s">
        <v>250</v>
      </c>
      <c r="L6" s="164"/>
      <c r="M6" s="159"/>
      <c r="N6" s="164"/>
      <c r="O6" s="164"/>
    </row>
    <row r="7" ht="38.25" customHeight="1">
      <c r="A7" s="17">
        <v>3.0</v>
      </c>
      <c r="B7" s="165" t="s">
        <v>251</v>
      </c>
      <c r="C7" s="19" t="s">
        <v>252</v>
      </c>
      <c r="D7" s="19" t="s">
        <v>253</v>
      </c>
      <c r="E7" s="21" t="s">
        <v>254</v>
      </c>
      <c r="F7" s="47" t="s">
        <v>255</v>
      </c>
      <c r="G7" s="18" t="s">
        <v>256</v>
      </c>
      <c r="H7" s="163" t="s">
        <v>257</v>
      </c>
      <c r="I7" s="19" t="s">
        <v>258</v>
      </c>
      <c r="J7" s="166" t="s">
        <v>259</v>
      </c>
      <c r="K7" s="23" t="s">
        <v>260</v>
      </c>
      <c r="L7" s="159"/>
      <c r="M7" s="164"/>
      <c r="N7" s="164"/>
      <c r="O7" s="164"/>
    </row>
    <row r="8" ht="36.0" customHeight="1">
      <c r="A8" s="17">
        <v>4.0</v>
      </c>
      <c r="B8" s="167" t="s">
        <v>261</v>
      </c>
      <c r="C8" s="23" t="s">
        <v>262</v>
      </c>
      <c r="D8" s="27" t="s">
        <v>263</v>
      </c>
      <c r="E8" s="168" t="s">
        <v>264</v>
      </c>
      <c r="F8" s="23" t="s">
        <v>265</v>
      </c>
      <c r="G8" s="18" t="s">
        <v>266</v>
      </c>
      <c r="H8" s="169" t="s">
        <v>267</v>
      </c>
      <c r="I8" s="41" t="s">
        <v>268</v>
      </c>
      <c r="J8" s="166" t="s">
        <v>269</v>
      </c>
      <c r="K8" s="23" t="s">
        <v>270</v>
      </c>
      <c r="L8" s="164"/>
      <c r="M8" s="164"/>
      <c r="N8" s="164"/>
      <c r="O8" s="164"/>
    </row>
    <row r="9" ht="36.0" customHeight="1">
      <c r="A9" s="27">
        <v>5.0</v>
      </c>
      <c r="B9" s="170" t="s">
        <v>271</v>
      </c>
      <c r="C9" s="165" t="s">
        <v>272</v>
      </c>
      <c r="D9" s="19" t="s">
        <v>273</v>
      </c>
      <c r="E9" s="171" t="s">
        <v>274</v>
      </c>
      <c r="F9" s="28" t="s">
        <v>275</v>
      </c>
      <c r="G9" s="18" t="s">
        <v>276</v>
      </c>
      <c r="H9" s="25" t="s">
        <v>277</v>
      </c>
      <c r="I9" s="53" t="s">
        <v>278</v>
      </c>
      <c r="J9" s="166" t="s">
        <v>279</v>
      </c>
      <c r="K9" s="19" t="s">
        <v>280</v>
      </c>
      <c r="L9" s="164"/>
      <c r="M9" s="164"/>
      <c r="N9" s="164"/>
      <c r="O9" s="164"/>
    </row>
    <row r="10" ht="38.25" customHeight="1">
      <c r="A10" s="17">
        <v>6.0</v>
      </c>
      <c r="B10" s="19" t="s">
        <v>281</v>
      </c>
      <c r="C10" s="167" t="s">
        <v>282</v>
      </c>
      <c r="D10" s="170" t="s">
        <v>283</v>
      </c>
      <c r="E10" s="172" t="s">
        <v>284</v>
      </c>
      <c r="F10" s="170" t="s">
        <v>285</v>
      </c>
      <c r="G10" s="173" t="s">
        <v>286</v>
      </c>
      <c r="H10" s="39" t="s">
        <v>287</v>
      </c>
      <c r="I10" s="174" t="s">
        <v>288</v>
      </c>
      <c r="J10" s="23" t="s">
        <v>289</v>
      </c>
      <c r="K10" s="19"/>
      <c r="L10" s="164"/>
      <c r="M10" s="164"/>
      <c r="N10" s="164"/>
      <c r="O10" s="164"/>
    </row>
    <row r="11" ht="36.0" customHeight="1">
      <c r="A11" s="17">
        <v>7.0</v>
      </c>
      <c r="B11" s="19" t="s">
        <v>290</v>
      </c>
      <c r="C11" s="167"/>
      <c r="D11" s="175" t="s">
        <v>291</v>
      </c>
      <c r="E11" s="172" t="s">
        <v>292</v>
      </c>
      <c r="F11" s="170" t="s">
        <v>293</v>
      </c>
      <c r="G11" s="163" t="s">
        <v>294</v>
      </c>
      <c r="H11" s="25" t="s">
        <v>295</v>
      </c>
      <c r="I11" s="174" t="s">
        <v>296</v>
      </c>
      <c r="J11" s="23" t="s">
        <v>297</v>
      </c>
      <c r="K11" s="19"/>
      <c r="L11" s="164"/>
      <c r="M11" s="176"/>
      <c r="N11" s="164"/>
      <c r="O11" s="164"/>
    </row>
    <row r="12" ht="36.75" customHeight="1">
      <c r="A12" s="177">
        <v>8.0</v>
      </c>
      <c r="B12" s="61" t="s">
        <v>298</v>
      </c>
      <c r="C12" s="178"/>
      <c r="D12" s="170" t="s">
        <v>299</v>
      </c>
      <c r="E12" s="179" t="s">
        <v>300</v>
      </c>
      <c r="F12" s="61" t="s">
        <v>301</v>
      </c>
      <c r="G12" s="60" t="s">
        <v>302</v>
      </c>
      <c r="H12" s="180" t="s">
        <v>303</v>
      </c>
      <c r="I12" s="64" t="s">
        <v>304</v>
      </c>
      <c r="J12" s="64" t="s">
        <v>305</v>
      </c>
      <c r="K12" s="61"/>
      <c r="L12" s="164"/>
      <c r="M12" s="164"/>
      <c r="N12" s="164"/>
      <c r="O12" s="164"/>
    </row>
    <row r="13" ht="57.75" customHeight="1">
      <c r="A13" s="181" t="s">
        <v>306</v>
      </c>
      <c r="B13" s="182"/>
      <c r="C13" s="182"/>
      <c r="D13" s="182" t="s">
        <v>307</v>
      </c>
      <c r="E13" s="87" t="s">
        <v>308</v>
      </c>
      <c r="F13" s="74"/>
      <c r="G13" s="183"/>
      <c r="H13" s="184" t="s">
        <v>309</v>
      </c>
      <c r="I13" s="185"/>
      <c r="J13" s="186"/>
      <c r="K13" s="186"/>
    </row>
    <row r="14" ht="51.0" customHeight="1">
      <c r="A14" s="82"/>
      <c r="B14" s="74"/>
      <c r="C14" s="74"/>
      <c r="D14" s="75" t="s">
        <v>310</v>
      </c>
      <c r="E14" s="89"/>
      <c r="F14" s="87"/>
      <c r="G14" s="187"/>
      <c r="H14" s="89" t="s">
        <v>311</v>
      </c>
      <c r="I14" s="188"/>
      <c r="J14" s="73"/>
      <c r="K14" s="188"/>
    </row>
    <row r="15" ht="51.0" customHeight="1">
      <c r="A15" s="82"/>
      <c r="B15" s="89"/>
      <c r="C15" s="89"/>
      <c r="D15" s="89" t="s">
        <v>312</v>
      </c>
      <c r="E15" s="89"/>
      <c r="F15" s="87"/>
      <c r="G15" s="187"/>
      <c r="H15" s="89"/>
      <c r="I15" s="188"/>
      <c r="J15" s="188"/>
      <c r="K15" s="189"/>
    </row>
    <row r="16" ht="51.0" customHeight="1">
      <c r="A16" s="82"/>
      <c r="B16" s="89"/>
      <c r="C16" s="89"/>
      <c r="D16" s="89" t="s">
        <v>313</v>
      </c>
      <c r="E16" s="89"/>
      <c r="F16" s="89"/>
      <c r="G16" s="89"/>
      <c r="H16" s="89"/>
      <c r="I16" s="188"/>
      <c r="J16" s="188"/>
      <c r="K16" s="190"/>
    </row>
    <row r="17" ht="30.75" customHeight="1">
      <c r="A17" s="191" t="s">
        <v>182</v>
      </c>
      <c r="B17" s="192">
        <f>IFERROR(__xludf.DUMMYFUNCTION("COUNTUNIQUE(B5:B12)"),8.0)</f>
        <v>8</v>
      </c>
      <c r="C17" s="192">
        <f>IFERROR(__xludf.DUMMYFUNCTION("COUNTUNIQUE(C5:C12)"),6.0)</f>
        <v>6</v>
      </c>
      <c r="D17" s="192">
        <f>IFERROR(__xludf.DUMMYFUNCTION("COUNTUNIQUE(D5:D12)"),8.0)</f>
        <v>8</v>
      </c>
      <c r="E17" s="192">
        <f>IFERROR(__xludf.DUMMYFUNCTION("COUNTUNIQUE(E5:E12)"),8.0)</f>
        <v>8</v>
      </c>
      <c r="F17" s="192">
        <f>IFERROR(__xludf.DUMMYFUNCTION("COUNTUNIQUE(F5:F12)"),8.0)</f>
        <v>8</v>
      </c>
      <c r="G17" s="192">
        <f>IFERROR(__xludf.DUMMYFUNCTION("COUNTUNIQUE(G5:G12)"),8.0)</f>
        <v>8</v>
      </c>
      <c r="H17" s="192">
        <f>IFERROR(__xludf.DUMMYFUNCTION("COUNTUNIQUE(H5:H12)"),8.0)</f>
        <v>8</v>
      </c>
      <c r="I17" s="192">
        <f>IFERROR(__xludf.DUMMYFUNCTION("COUNTUNIQUE(I5:I12)"),8.0)</f>
        <v>8</v>
      </c>
      <c r="J17" s="192">
        <f>IFERROR(__xludf.DUMMYFUNCTION("COUNTUNIQUE(J5:J12)"),8.0)</f>
        <v>8</v>
      </c>
      <c r="K17" s="192">
        <f>IFERROR(__xludf.DUMMYFUNCTION("COUNTUNIQUE(K5:K12)"),5.0)</f>
        <v>5</v>
      </c>
      <c r="M17" s="193" t="s">
        <v>314</v>
      </c>
    </row>
    <row r="18" ht="37.5" customHeight="1">
      <c r="A18" s="110">
        <v>1.0</v>
      </c>
      <c r="B18" s="98" t="s">
        <v>183</v>
      </c>
      <c r="C18" s="99"/>
      <c r="D18" s="99"/>
      <c r="E18" s="99"/>
      <c r="F18" s="100"/>
      <c r="G18" s="19" t="s">
        <v>315</v>
      </c>
      <c r="H18" s="166" t="s">
        <v>316</v>
      </c>
      <c r="I18" s="194" t="s">
        <v>317</v>
      </c>
      <c r="J18" s="194" t="s">
        <v>318</v>
      </c>
      <c r="K18" s="195"/>
      <c r="L18" s="196"/>
      <c r="M18" s="122">
        <f>SUM(B17:K17)</f>
        <v>75</v>
      </c>
      <c r="N18" s="164"/>
      <c r="O18" s="164"/>
      <c r="S18" s="164"/>
      <c r="T18" s="164"/>
    </row>
    <row r="19" ht="36.0" customHeight="1">
      <c r="A19" s="18">
        <v>2.0</v>
      </c>
      <c r="B19" s="18"/>
      <c r="C19" s="18"/>
      <c r="D19" s="110"/>
      <c r="E19" s="18"/>
      <c r="F19" s="18"/>
      <c r="G19" s="197" t="s">
        <v>319</v>
      </c>
      <c r="H19" s="166" t="s">
        <v>320</v>
      </c>
      <c r="I19" s="18" t="s">
        <v>321</v>
      </c>
      <c r="J19" s="27" t="s">
        <v>322</v>
      </c>
      <c r="K19" s="195"/>
      <c r="L19" s="196"/>
      <c r="M19" s="164"/>
      <c r="N19" s="164"/>
      <c r="O19" s="164"/>
      <c r="S19" s="164"/>
      <c r="T19" s="164"/>
    </row>
    <row r="20" ht="36.0" customHeight="1">
      <c r="A20" s="18">
        <v>3.0</v>
      </c>
      <c r="B20" s="19"/>
      <c r="C20" s="19"/>
      <c r="D20" s="109"/>
      <c r="E20" s="19"/>
      <c r="F20" s="174"/>
      <c r="G20" s="197" t="s">
        <v>237</v>
      </c>
      <c r="H20" s="52" t="s">
        <v>323</v>
      </c>
      <c r="I20" s="125"/>
      <c r="J20" s="123"/>
      <c r="K20" s="195"/>
      <c r="L20" s="198"/>
      <c r="M20" s="164"/>
      <c r="N20" s="164"/>
      <c r="O20" s="164"/>
      <c r="S20" s="164"/>
      <c r="T20" s="164"/>
    </row>
    <row r="21" ht="36.0" customHeight="1">
      <c r="A21" s="52">
        <v>4.0</v>
      </c>
      <c r="B21" s="52"/>
      <c r="C21" s="52"/>
      <c r="D21" s="110"/>
      <c r="E21" s="52"/>
      <c r="F21" s="118"/>
      <c r="G21" s="199" t="s">
        <v>60</v>
      </c>
      <c r="H21" s="103"/>
      <c r="I21" s="125"/>
      <c r="J21" s="123"/>
      <c r="K21" s="195"/>
      <c r="L21" s="198"/>
      <c r="M21" s="164"/>
      <c r="N21" s="164"/>
      <c r="O21" s="164"/>
      <c r="S21" s="164"/>
      <c r="T21" s="164"/>
    </row>
    <row r="22" ht="37.5" customHeight="1">
      <c r="A22" s="27">
        <v>5.0</v>
      </c>
      <c r="B22" s="18"/>
      <c r="C22" s="18"/>
      <c r="D22" s="110"/>
      <c r="E22" s="18"/>
      <c r="F22" s="110"/>
      <c r="G22" s="200" t="s">
        <v>59</v>
      </c>
      <c r="H22" s="103"/>
      <c r="I22" s="103"/>
      <c r="J22" s="123"/>
      <c r="K22" s="195"/>
      <c r="L22" s="198"/>
      <c r="M22" s="164"/>
      <c r="N22" s="164"/>
      <c r="O22" s="164"/>
      <c r="S22" s="164"/>
      <c r="T22" s="164"/>
    </row>
    <row r="23" ht="37.5" customHeight="1">
      <c r="A23" s="27">
        <v>6.0</v>
      </c>
      <c r="B23" s="18"/>
      <c r="C23" s="18"/>
      <c r="D23" s="19"/>
      <c r="E23" s="18"/>
      <c r="F23" s="110"/>
      <c r="G23" s="201" t="s">
        <v>324</v>
      </c>
      <c r="H23" s="103"/>
      <c r="I23" s="103"/>
      <c r="J23" s="126"/>
      <c r="K23" s="195"/>
      <c r="L23" s="198"/>
      <c r="M23" s="164"/>
      <c r="N23" s="164"/>
      <c r="O23" s="164"/>
      <c r="S23" s="164"/>
      <c r="T23" s="164"/>
    </row>
    <row r="24" ht="37.5" customHeight="1">
      <c r="A24" s="27">
        <v>7.0</v>
      </c>
      <c r="B24" s="19"/>
      <c r="C24" s="19"/>
      <c r="D24" s="52"/>
      <c r="E24" s="19"/>
      <c r="F24" s="174"/>
      <c r="G24" s="199" t="s">
        <v>325</v>
      </c>
      <c r="H24" s="52"/>
      <c r="I24" s="125"/>
      <c r="J24" s="111"/>
      <c r="K24" s="195"/>
      <c r="L24" s="198"/>
      <c r="M24" s="164"/>
      <c r="N24" s="164"/>
      <c r="O24" s="164"/>
      <c r="S24" s="164"/>
      <c r="T24" s="164"/>
    </row>
    <row r="25" ht="37.5" customHeight="1">
      <c r="A25" s="202">
        <v>8.0</v>
      </c>
      <c r="B25" s="52"/>
      <c r="C25" s="52"/>
      <c r="D25" s="18"/>
      <c r="E25" s="52"/>
      <c r="F25" s="52"/>
      <c r="G25" s="199" t="s">
        <v>326</v>
      </c>
      <c r="H25" s="52"/>
      <c r="I25" s="103"/>
      <c r="J25" s="111"/>
      <c r="K25" s="195"/>
      <c r="L25" s="198"/>
      <c r="T25" s="160" t="s">
        <v>327</v>
      </c>
    </row>
    <row r="26" ht="37.5" customHeight="1">
      <c r="A26" s="202">
        <v>9.0</v>
      </c>
      <c r="B26" s="102"/>
      <c r="C26" s="102"/>
      <c r="D26" s="102"/>
      <c r="E26" s="102"/>
      <c r="F26" s="102"/>
      <c r="G26" s="203" t="s">
        <v>328</v>
      </c>
      <c r="H26" s="52"/>
      <c r="I26" s="103"/>
      <c r="J26" s="111"/>
      <c r="K26" s="195"/>
      <c r="L26" s="198"/>
    </row>
    <row r="27" ht="37.5" customHeight="1">
      <c r="A27" s="202">
        <v>10.0</v>
      </c>
      <c r="B27" s="52"/>
      <c r="C27" s="52"/>
      <c r="D27" s="52"/>
      <c r="E27" s="52"/>
      <c r="F27" s="52"/>
      <c r="G27" s="203" t="s">
        <v>329</v>
      </c>
      <c r="H27" s="52"/>
      <c r="I27" s="103"/>
      <c r="J27" s="111"/>
      <c r="K27" s="195"/>
      <c r="L27" s="198"/>
    </row>
    <row r="28" ht="37.5" customHeight="1">
      <c r="A28" s="202">
        <v>11.0</v>
      </c>
      <c r="B28" s="52"/>
      <c r="C28" s="52"/>
      <c r="D28" s="52"/>
      <c r="E28" s="52"/>
      <c r="F28" s="52"/>
      <c r="G28" s="18"/>
      <c r="H28" s="52"/>
      <c r="I28" s="204"/>
      <c r="J28" s="120"/>
      <c r="K28" s="120"/>
      <c r="L28" s="198"/>
    </row>
    <row r="29" ht="37.5" customHeight="1">
      <c r="A29" s="205">
        <v>12.0</v>
      </c>
      <c r="B29" s="118"/>
      <c r="C29" s="118"/>
      <c r="D29" s="118"/>
      <c r="E29" s="120"/>
      <c r="F29" s="118"/>
      <c r="G29" s="18"/>
      <c r="H29" s="52"/>
      <c r="I29" s="103"/>
      <c r="J29" s="123"/>
      <c r="K29" s="123"/>
    </row>
    <row r="30" ht="37.5" customHeight="1">
      <c r="A30" s="205">
        <v>13.0</v>
      </c>
      <c r="B30" s="206"/>
      <c r="C30" s="206"/>
      <c r="D30" s="206"/>
      <c r="E30" s="206"/>
      <c r="F30" s="206"/>
      <c r="G30" s="206"/>
      <c r="H30" s="52"/>
      <c r="I30" s="103"/>
      <c r="J30" s="111"/>
      <c r="K30" s="111"/>
      <c r="L30" s="198"/>
    </row>
    <row r="31" ht="37.5" customHeight="1">
      <c r="A31" s="202">
        <v>14.0</v>
      </c>
      <c r="B31" s="120"/>
      <c r="C31" s="120"/>
      <c r="D31" s="120"/>
      <c r="E31" s="120"/>
      <c r="F31" s="120"/>
      <c r="G31" s="120"/>
      <c r="H31" s="120"/>
      <c r="I31" s="120"/>
      <c r="J31" s="120"/>
      <c r="K31" s="120"/>
      <c r="L31" s="198"/>
    </row>
    <row r="32" ht="36.0" customHeight="1">
      <c r="A32" s="194">
        <v>15.0</v>
      </c>
      <c r="B32" s="120"/>
      <c r="C32" s="120"/>
      <c r="D32" s="120"/>
      <c r="E32" s="120"/>
      <c r="F32" s="120"/>
      <c r="G32" s="120"/>
      <c r="H32" s="51"/>
      <c r="I32" s="120"/>
      <c r="J32" s="207"/>
      <c r="K32" s="207"/>
    </row>
    <row r="33" ht="35.25" customHeight="1">
      <c r="A33" s="27">
        <v>16.0</v>
      </c>
      <c r="B33" s="206"/>
      <c r="C33" s="206"/>
      <c r="D33" s="206"/>
      <c r="E33" s="206"/>
      <c r="F33" s="206"/>
      <c r="G33" s="206"/>
      <c r="H33" s="206"/>
      <c r="I33" s="206"/>
      <c r="J33" s="123"/>
      <c r="K33" s="123"/>
      <c r="L33" s="198"/>
    </row>
    <row r="34" ht="32.25" customHeight="1">
      <c r="A34" s="27">
        <v>17.0</v>
      </c>
      <c r="B34" s="120"/>
      <c r="C34" s="120"/>
      <c r="D34" s="120"/>
      <c r="E34" s="120"/>
      <c r="F34" s="120"/>
      <c r="G34" s="120"/>
      <c r="H34" s="206"/>
      <c r="I34" s="206"/>
      <c r="J34" s="123"/>
      <c r="K34" s="123"/>
      <c r="L34" s="198"/>
    </row>
    <row r="35" ht="27.0" customHeight="1">
      <c r="A35" s="27">
        <v>18.0</v>
      </c>
      <c r="B35" s="51"/>
      <c r="C35" s="51"/>
      <c r="D35" s="51"/>
      <c r="E35" s="51"/>
      <c r="F35" s="51"/>
      <c r="G35" s="51"/>
      <c r="H35" s="206"/>
      <c r="I35" s="206"/>
      <c r="J35" s="123"/>
      <c r="K35" s="123"/>
      <c r="L35" s="198"/>
    </row>
    <row r="36" ht="34.5" customHeight="1">
      <c r="A36" s="27">
        <v>19.0</v>
      </c>
      <c r="B36" s="206"/>
      <c r="C36" s="206"/>
      <c r="D36" s="206"/>
      <c r="E36" s="206"/>
      <c r="F36" s="206"/>
      <c r="G36" s="206"/>
      <c r="H36" s="206"/>
      <c r="I36" s="206"/>
      <c r="J36" s="123"/>
      <c r="K36" s="123"/>
      <c r="L36" s="198"/>
    </row>
    <row r="37" ht="34.5" customHeight="1">
      <c r="A37" s="27">
        <v>20.0</v>
      </c>
      <c r="B37" s="206"/>
      <c r="C37" s="206"/>
      <c r="D37" s="206"/>
      <c r="E37" s="206"/>
      <c r="F37" s="206"/>
      <c r="G37" s="206"/>
      <c r="H37" s="206"/>
      <c r="I37" s="206"/>
      <c r="J37" s="123"/>
      <c r="K37" s="123"/>
      <c r="L37" s="198"/>
    </row>
    <row r="38" ht="34.5" customHeight="1">
      <c r="A38" s="27">
        <v>21.0</v>
      </c>
      <c r="B38" s="206"/>
      <c r="C38" s="206"/>
      <c r="D38" s="206"/>
      <c r="E38" s="206"/>
      <c r="F38" s="206"/>
      <c r="G38" s="206"/>
      <c r="H38" s="208"/>
      <c r="I38" s="206"/>
      <c r="J38" s="123"/>
      <c r="K38" s="123"/>
      <c r="L38" s="198"/>
    </row>
    <row r="39" ht="15.75" customHeight="1">
      <c r="A39" s="209"/>
      <c r="B39" s="112"/>
      <c r="C39" s="112"/>
      <c r="D39" s="112"/>
      <c r="E39" s="112"/>
      <c r="F39" s="112"/>
      <c r="G39" s="19" t="s">
        <v>330</v>
      </c>
      <c r="H39" s="112"/>
      <c r="I39" s="112"/>
      <c r="J39" s="112"/>
      <c r="K39" s="112"/>
      <c r="L39" s="198"/>
    </row>
    <row r="40" ht="15.75" customHeight="1">
      <c r="A40" s="209"/>
      <c r="B40" s="112"/>
      <c r="C40" s="112"/>
      <c r="D40" s="112"/>
      <c r="E40" s="112"/>
      <c r="F40" s="112"/>
      <c r="G40" s="112"/>
      <c r="H40" s="112"/>
      <c r="I40" s="112"/>
      <c r="J40" s="198"/>
      <c r="K40" s="198"/>
      <c r="L40" s="198"/>
    </row>
    <row r="41" ht="15.75" customHeight="1">
      <c r="A41" s="209"/>
      <c r="B41" s="112"/>
      <c r="C41" s="112"/>
      <c r="D41" s="112"/>
      <c r="E41" s="112"/>
      <c r="F41" s="112"/>
      <c r="G41" s="112"/>
      <c r="H41" s="112"/>
      <c r="I41" s="112"/>
      <c r="J41" s="210"/>
      <c r="K41" s="210"/>
      <c r="L41" s="198"/>
      <c r="P41" s="112"/>
      <c r="Q41" s="210"/>
      <c r="R41" s="210"/>
    </row>
    <row r="42" ht="15.75" customHeight="1">
      <c r="A42" s="209"/>
      <c r="B42" s="112"/>
      <c r="C42" s="112"/>
      <c r="D42" s="112"/>
      <c r="E42" s="112"/>
      <c r="F42" s="112"/>
      <c r="G42" s="112"/>
      <c r="H42" s="112"/>
      <c r="I42" s="112"/>
      <c r="J42" s="210"/>
      <c r="K42" s="210"/>
      <c r="L42" s="198"/>
      <c r="P42" s="112"/>
      <c r="Q42" s="210"/>
      <c r="R42" s="210"/>
    </row>
    <row r="43" ht="15.75" customHeight="1">
      <c r="A43" s="209"/>
      <c r="B43" s="112"/>
      <c r="C43" s="112"/>
      <c r="D43" s="112"/>
      <c r="E43" s="112"/>
      <c r="F43" s="112"/>
      <c r="G43" s="112"/>
      <c r="H43" s="112"/>
      <c r="I43" s="112"/>
      <c r="J43" s="210"/>
      <c r="K43" s="210"/>
      <c r="L43" s="198"/>
      <c r="P43" s="112"/>
      <c r="Q43" s="210"/>
      <c r="R43" s="210"/>
    </row>
    <row r="44" ht="15.75" customHeight="1">
      <c r="A44" s="209"/>
      <c r="B44" s="112"/>
      <c r="C44" s="112"/>
      <c r="D44" s="112"/>
      <c r="E44" s="112"/>
      <c r="F44" s="112"/>
      <c r="G44" s="112"/>
      <c r="H44" s="112"/>
      <c r="I44" s="112"/>
      <c r="J44" s="210"/>
      <c r="K44" s="210"/>
      <c r="L44" s="198"/>
      <c r="P44" s="112"/>
      <c r="Q44" s="210"/>
      <c r="R44" s="210"/>
    </row>
    <row r="45" ht="15.75" customHeight="1">
      <c r="A45" s="209"/>
      <c r="B45" s="112"/>
      <c r="C45" s="112"/>
      <c r="D45" s="112"/>
      <c r="E45" s="112"/>
      <c r="F45" s="112"/>
      <c r="G45" s="112"/>
      <c r="H45" s="112"/>
      <c r="I45" s="112"/>
      <c r="J45" s="210"/>
      <c r="K45" s="210"/>
      <c r="L45" s="198"/>
      <c r="P45" s="112"/>
      <c r="Q45" s="210"/>
      <c r="R45" s="210"/>
    </row>
    <row r="46" ht="15.75" customHeight="1">
      <c r="A46" s="209"/>
      <c r="B46" s="112"/>
      <c r="C46" s="112"/>
      <c r="D46" s="112"/>
      <c r="E46" s="112"/>
      <c r="F46" s="112"/>
      <c r="G46" s="112"/>
      <c r="H46" s="112"/>
      <c r="I46" s="112"/>
      <c r="J46" s="210"/>
      <c r="K46" s="210"/>
      <c r="L46" s="198"/>
      <c r="P46" s="112"/>
      <c r="Q46" s="210"/>
      <c r="R46" s="210"/>
    </row>
    <row r="47" ht="15.75" customHeight="1">
      <c r="A47" s="209"/>
      <c r="B47" s="112"/>
      <c r="C47" s="112"/>
      <c r="D47" s="112"/>
      <c r="E47" s="112"/>
      <c r="F47" s="112"/>
      <c r="G47" s="112"/>
      <c r="H47" s="112"/>
      <c r="I47" s="112"/>
      <c r="J47" s="210"/>
      <c r="K47" s="210"/>
      <c r="L47" s="198"/>
      <c r="P47" s="112"/>
      <c r="Q47" s="210"/>
      <c r="R47" s="210"/>
    </row>
    <row r="48" ht="15.75" customHeight="1">
      <c r="A48" s="209"/>
      <c r="B48" s="112"/>
      <c r="C48" s="112"/>
      <c r="D48" s="112"/>
      <c r="E48" s="112"/>
      <c r="F48" s="112"/>
      <c r="G48" s="112"/>
      <c r="H48" s="112"/>
      <c r="I48" s="112"/>
      <c r="J48" s="210"/>
      <c r="K48" s="210"/>
      <c r="L48" s="198"/>
      <c r="P48" s="112"/>
      <c r="Q48" s="210"/>
      <c r="R48" s="210"/>
    </row>
    <row r="49" ht="15.75" customHeight="1">
      <c r="A49" s="209"/>
      <c r="B49" s="112"/>
      <c r="C49" s="112"/>
      <c r="D49" s="112"/>
      <c r="E49" s="112"/>
      <c r="F49" s="112"/>
      <c r="G49" s="112"/>
      <c r="H49" s="112"/>
      <c r="I49" s="112"/>
      <c r="J49" s="210"/>
      <c r="K49" s="210"/>
      <c r="L49" s="198"/>
      <c r="P49" s="112"/>
      <c r="Q49" s="210"/>
      <c r="R49" s="210"/>
    </row>
    <row r="50" ht="15.75" customHeight="1">
      <c r="A50" s="209"/>
      <c r="B50" s="112"/>
      <c r="C50" s="112"/>
      <c r="D50" s="112"/>
      <c r="E50" s="112"/>
      <c r="F50" s="112"/>
      <c r="G50" s="112"/>
      <c r="H50" s="112"/>
      <c r="I50" s="112"/>
      <c r="J50" s="210"/>
      <c r="K50" s="210"/>
      <c r="L50" s="198"/>
      <c r="P50" s="112"/>
      <c r="Q50" s="210"/>
      <c r="R50" s="210"/>
    </row>
    <row r="51" ht="15.75" customHeight="1">
      <c r="A51" s="209"/>
      <c r="B51" s="112"/>
      <c r="C51" s="112"/>
      <c r="D51" s="112"/>
      <c r="E51" s="112"/>
      <c r="F51" s="112"/>
      <c r="G51" s="112"/>
      <c r="H51" s="112"/>
      <c r="I51" s="112"/>
      <c r="J51" s="210"/>
      <c r="K51" s="210"/>
      <c r="L51" s="198"/>
      <c r="P51" s="112"/>
      <c r="Q51" s="210"/>
      <c r="R51" s="210"/>
    </row>
    <row r="52" ht="15.75" customHeight="1">
      <c r="A52" s="209"/>
      <c r="B52" s="112"/>
      <c r="C52" s="112"/>
      <c r="D52" s="112"/>
      <c r="E52" s="112"/>
      <c r="F52" s="112"/>
      <c r="G52" s="112"/>
      <c r="H52" s="112"/>
      <c r="I52" s="112"/>
      <c r="J52" s="210"/>
      <c r="K52" s="210"/>
      <c r="L52" s="198"/>
      <c r="P52" s="112"/>
      <c r="Q52" s="210"/>
      <c r="R52" s="210"/>
    </row>
    <row r="53" ht="15.75" customHeight="1">
      <c r="A53" s="209"/>
      <c r="B53" s="112"/>
      <c r="C53" s="112"/>
      <c r="D53" s="112"/>
      <c r="E53" s="112"/>
      <c r="F53" s="112"/>
      <c r="G53" s="112"/>
      <c r="H53" s="112"/>
      <c r="I53" s="112"/>
      <c r="J53" s="210"/>
      <c r="K53" s="210"/>
      <c r="L53" s="198"/>
      <c r="P53" s="112"/>
      <c r="Q53" s="210"/>
      <c r="R53" s="210"/>
    </row>
    <row r="54" ht="15.75" customHeight="1">
      <c r="A54" s="209"/>
      <c r="B54" s="112"/>
      <c r="C54" s="112"/>
      <c r="D54" s="112"/>
      <c r="E54" s="112"/>
      <c r="F54" s="112"/>
      <c r="G54" s="112"/>
      <c r="H54" s="112"/>
      <c r="I54" s="112"/>
      <c r="J54" s="210"/>
      <c r="K54" s="210"/>
      <c r="L54" s="198"/>
      <c r="P54" s="112"/>
      <c r="Q54" s="210"/>
      <c r="R54" s="210"/>
    </row>
    <row r="55" ht="15.75" customHeight="1">
      <c r="A55" s="209"/>
      <c r="B55" s="112"/>
      <c r="C55" s="112"/>
      <c r="D55" s="112"/>
      <c r="E55" s="112"/>
      <c r="F55" s="112"/>
      <c r="G55" s="112"/>
      <c r="H55" s="112"/>
      <c r="I55" s="112"/>
      <c r="J55" s="210"/>
      <c r="K55" s="210"/>
      <c r="L55" s="198"/>
      <c r="P55" s="112"/>
      <c r="Q55" s="210"/>
      <c r="R55" s="210"/>
    </row>
    <row r="56" ht="15.75" customHeight="1">
      <c r="A56" s="209"/>
      <c r="B56" s="112"/>
      <c r="C56" s="112"/>
      <c r="D56" s="112"/>
      <c r="E56" s="112"/>
      <c r="F56" s="112"/>
      <c r="G56" s="112"/>
      <c r="H56" s="112"/>
      <c r="I56" s="112"/>
      <c r="J56" s="210"/>
      <c r="K56" s="210"/>
      <c r="L56" s="198"/>
      <c r="P56" s="112"/>
      <c r="Q56" s="210"/>
      <c r="R56" s="210"/>
    </row>
    <row r="57" ht="15.75" customHeight="1">
      <c r="A57" s="209"/>
      <c r="B57" s="112"/>
      <c r="C57" s="112"/>
      <c r="D57" s="112"/>
      <c r="E57" s="112"/>
      <c r="F57" s="112"/>
      <c r="G57" s="112"/>
      <c r="H57" s="112"/>
      <c r="I57" s="112"/>
      <c r="J57" s="210"/>
      <c r="K57" s="210"/>
      <c r="L57" s="198"/>
      <c r="P57" s="112"/>
      <c r="Q57" s="210"/>
      <c r="R57" s="210"/>
    </row>
    <row r="58" ht="15.75" customHeight="1">
      <c r="A58" s="209"/>
      <c r="B58" s="112"/>
      <c r="C58" s="112"/>
      <c r="D58" s="112"/>
      <c r="E58" s="112"/>
      <c r="F58" s="112"/>
      <c r="G58" s="112"/>
      <c r="H58" s="112"/>
      <c r="I58" s="112"/>
      <c r="J58" s="210"/>
      <c r="K58" s="210"/>
      <c r="L58" s="198"/>
      <c r="P58" s="112"/>
      <c r="Q58" s="210"/>
      <c r="R58" s="210"/>
    </row>
    <row r="59" ht="15.75" customHeight="1">
      <c r="A59" s="209"/>
      <c r="B59" s="112"/>
      <c r="C59" s="112"/>
      <c r="D59" s="112"/>
      <c r="E59" s="112"/>
      <c r="F59" s="112"/>
      <c r="G59" s="112"/>
      <c r="H59" s="112"/>
      <c r="I59" s="112"/>
      <c r="J59" s="210"/>
      <c r="K59" s="210"/>
      <c r="L59" s="198"/>
      <c r="P59" s="112"/>
      <c r="Q59" s="210"/>
      <c r="R59" s="210"/>
    </row>
    <row r="60" ht="15.75" customHeight="1">
      <c r="A60" s="209"/>
      <c r="B60" s="112"/>
      <c r="C60" s="112"/>
      <c r="D60" s="112"/>
      <c r="E60" s="112"/>
      <c r="F60" s="112"/>
      <c r="G60" s="112"/>
      <c r="H60" s="112"/>
      <c r="I60" s="112"/>
      <c r="J60" s="210"/>
      <c r="K60" s="210"/>
      <c r="L60" s="198"/>
      <c r="P60" s="112"/>
      <c r="Q60" s="210"/>
      <c r="R60" s="210"/>
    </row>
    <row r="61" ht="15.75" customHeight="1">
      <c r="A61" s="209"/>
      <c r="B61" s="112"/>
      <c r="C61" s="112"/>
      <c r="D61" s="112"/>
      <c r="E61" s="112"/>
      <c r="F61" s="112"/>
      <c r="G61" s="112"/>
      <c r="H61" s="112"/>
      <c r="I61" s="112"/>
      <c r="J61" s="210"/>
      <c r="K61" s="210"/>
      <c r="L61" s="198"/>
      <c r="P61" s="112"/>
      <c r="Q61" s="210"/>
      <c r="R61" s="210"/>
    </row>
    <row r="62" ht="15.75" customHeight="1">
      <c r="A62" s="209"/>
      <c r="B62" s="112"/>
      <c r="C62" s="112"/>
      <c r="D62" s="112"/>
      <c r="E62" s="112"/>
      <c r="F62" s="112"/>
      <c r="G62" s="112"/>
      <c r="H62" s="112"/>
      <c r="I62" s="112"/>
      <c r="J62" s="210"/>
      <c r="K62" s="210"/>
      <c r="L62" s="198"/>
      <c r="P62" s="112"/>
      <c r="Q62" s="210"/>
      <c r="R62" s="210"/>
    </row>
    <row r="63" ht="15.75" customHeight="1">
      <c r="A63" s="209"/>
      <c r="B63" s="112"/>
      <c r="C63" s="112"/>
      <c r="D63" s="112"/>
      <c r="E63" s="112"/>
      <c r="F63" s="112"/>
      <c r="G63" s="112"/>
      <c r="H63" s="112"/>
      <c r="I63" s="112"/>
      <c r="J63" s="210"/>
      <c r="K63" s="210"/>
      <c r="L63" s="198"/>
      <c r="P63" s="112"/>
      <c r="Q63" s="210"/>
      <c r="R63" s="210"/>
    </row>
    <row r="64" ht="15.75" customHeight="1">
      <c r="A64" s="209"/>
      <c r="B64" s="112"/>
      <c r="C64" s="112"/>
      <c r="D64" s="112"/>
      <c r="E64" s="112"/>
      <c r="F64" s="112"/>
      <c r="G64" s="112"/>
      <c r="H64" s="112"/>
      <c r="I64" s="112"/>
      <c r="J64" s="210"/>
      <c r="K64" s="210"/>
      <c r="L64" s="198"/>
      <c r="P64" s="112"/>
      <c r="Q64" s="210"/>
      <c r="R64" s="210"/>
    </row>
    <row r="65" ht="15.75" customHeight="1">
      <c r="A65" s="209"/>
      <c r="B65" s="112"/>
      <c r="C65" s="112"/>
      <c r="D65" s="112"/>
      <c r="E65" s="112"/>
      <c r="F65" s="112"/>
      <c r="G65" s="112"/>
      <c r="H65" s="112"/>
      <c r="I65" s="112"/>
      <c r="J65" s="210"/>
      <c r="K65" s="210"/>
      <c r="L65" s="198"/>
      <c r="P65" s="112"/>
      <c r="Q65" s="210"/>
      <c r="R65" s="210"/>
    </row>
    <row r="66" ht="15.75" customHeight="1">
      <c r="A66" s="209"/>
      <c r="B66" s="112"/>
      <c r="C66" s="112"/>
      <c r="D66" s="112"/>
      <c r="E66" s="112"/>
      <c r="F66" s="112"/>
      <c r="G66" s="112"/>
      <c r="H66" s="112"/>
      <c r="I66" s="112"/>
      <c r="J66" s="210"/>
      <c r="K66" s="210"/>
      <c r="L66" s="198"/>
      <c r="P66" s="112"/>
      <c r="Q66" s="210"/>
      <c r="R66" s="210"/>
    </row>
    <row r="67" ht="15.75" customHeight="1">
      <c r="A67" s="209"/>
      <c r="B67" s="112"/>
      <c r="C67" s="112"/>
      <c r="D67" s="112"/>
      <c r="E67" s="112"/>
      <c r="F67" s="112"/>
      <c r="G67" s="112"/>
      <c r="H67" s="112"/>
      <c r="I67" s="112"/>
      <c r="J67" s="210"/>
      <c r="K67" s="210"/>
      <c r="L67" s="198"/>
      <c r="P67" s="112"/>
      <c r="Q67" s="210"/>
      <c r="R67" s="210"/>
    </row>
    <row r="68" ht="15.75" customHeight="1">
      <c r="A68" s="209"/>
      <c r="B68" s="112"/>
      <c r="C68" s="112"/>
      <c r="D68" s="112"/>
      <c r="E68" s="112"/>
      <c r="F68" s="112"/>
      <c r="G68" s="112"/>
      <c r="H68" s="112"/>
      <c r="I68" s="112"/>
      <c r="J68" s="210"/>
      <c r="K68" s="210"/>
      <c r="L68" s="198"/>
      <c r="P68" s="112"/>
      <c r="Q68" s="210"/>
      <c r="R68" s="210"/>
    </row>
    <row r="69" ht="15.75" customHeight="1">
      <c r="A69" s="209"/>
      <c r="B69" s="112"/>
      <c r="C69" s="112"/>
      <c r="D69" s="112"/>
      <c r="E69" s="112"/>
      <c r="F69" s="112"/>
      <c r="G69" s="112"/>
      <c r="H69" s="112"/>
      <c r="I69" s="112"/>
      <c r="J69" s="210"/>
      <c r="K69" s="210"/>
      <c r="L69" s="198"/>
      <c r="P69" s="112"/>
      <c r="Q69" s="210"/>
      <c r="R69" s="210"/>
    </row>
    <row r="70" ht="15.75" customHeight="1">
      <c r="A70" s="209"/>
      <c r="B70" s="112"/>
      <c r="C70" s="112"/>
      <c r="D70" s="112"/>
      <c r="E70" s="112"/>
      <c r="F70" s="112"/>
      <c r="G70" s="112"/>
      <c r="H70" s="112"/>
      <c r="I70" s="112"/>
      <c r="J70" s="210"/>
      <c r="K70" s="210"/>
      <c r="L70" s="198"/>
      <c r="P70" s="112"/>
      <c r="Q70" s="210"/>
      <c r="R70" s="210"/>
    </row>
    <row r="71" ht="15.75" customHeight="1">
      <c r="A71" s="209"/>
      <c r="B71" s="112"/>
      <c r="C71" s="112"/>
      <c r="D71" s="112"/>
      <c r="E71" s="112"/>
      <c r="F71" s="112"/>
      <c r="G71" s="112"/>
      <c r="H71" s="112"/>
      <c r="I71" s="112"/>
      <c r="J71" s="210"/>
      <c r="K71" s="210"/>
      <c r="L71" s="198"/>
      <c r="P71" s="112"/>
      <c r="Q71" s="210"/>
      <c r="R71" s="210"/>
    </row>
    <row r="72" ht="15.75" customHeight="1">
      <c r="A72" s="209"/>
      <c r="B72" s="112"/>
      <c r="C72" s="112"/>
      <c r="D72" s="112"/>
      <c r="E72" s="112"/>
      <c r="F72" s="112"/>
      <c r="G72" s="112"/>
      <c r="H72" s="112"/>
      <c r="I72" s="112"/>
      <c r="J72" s="210"/>
      <c r="K72" s="210"/>
      <c r="L72" s="198"/>
      <c r="P72" s="112"/>
      <c r="Q72" s="210"/>
      <c r="R72" s="210"/>
    </row>
    <row r="73" ht="15.75" customHeight="1">
      <c r="A73" s="209"/>
      <c r="B73" s="112"/>
      <c r="C73" s="112"/>
      <c r="D73" s="112"/>
      <c r="E73" s="112"/>
      <c r="F73" s="112"/>
      <c r="G73" s="112"/>
      <c r="H73" s="112"/>
      <c r="I73" s="112"/>
      <c r="J73" s="210"/>
      <c r="K73" s="210"/>
      <c r="L73" s="198"/>
      <c r="P73" s="112"/>
      <c r="Q73" s="210"/>
      <c r="R73" s="210"/>
    </row>
    <row r="74" ht="15.75" customHeight="1">
      <c r="A74" s="209"/>
      <c r="B74" s="112"/>
      <c r="C74" s="112"/>
      <c r="D74" s="112"/>
      <c r="E74" s="112"/>
      <c r="F74" s="112"/>
      <c r="G74" s="112"/>
      <c r="H74" s="112"/>
      <c r="I74" s="112"/>
      <c r="J74" s="210"/>
      <c r="K74" s="210"/>
      <c r="L74" s="198"/>
      <c r="P74" s="112"/>
      <c r="Q74" s="210"/>
      <c r="R74" s="210"/>
    </row>
    <row r="75" ht="15.75" customHeight="1">
      <c r="A75" s="209"/>
      <c r="B75" s="112"/>
      <c r="C75" s="112"/>
      <c r="D75" s="112"/>
      <c r="E75" s="112"/>
      <c r="F75" s="112"/>
      <c r="G75" s="112"/>
      <c r="H75" s="112"/>
      <c r="I75" s="112"/>
      <c r="J75" s="210"/>
      <c r="K75" s="210"/>
      <c r="L75" s="198"/>
      <c r="P75" s="112"/>
      <c r="Q75" s="210"/>
      <c r="R75" s="210"/>
    </row>
    <row r="76" ht="15.75" customHeight="1">
      <c r="A76" s="209"/>
      <c r="B76" s="112"/>
      <c r="C76" s="112"/>
      <c r="D76" s="112"/>
      <c r="E76" s="112"/>
      <c r="F76" s="112"/>
      <c r="G76" s="112"/>
      <c r="H76" s="112"/>
      <c r="I76" s="112"/>
      <c r="J76" s="210"/>
      <c r="K76" s="210"/>
      <c r="L76" s="198"/>
      <c r="P76" s="112"/>
      <c r="Q76" s="210"/>
      <c r="R76" s="210"/>
    </row>
    <row r="77" ht="15.75" customHeight="1">
      <c r="A77" s="209"/>
      <c r="B77" s="112"/>
      <c r="C77" s="112"/>
      <c r="D77" s="112"/>
      <c r="E77" s="112"/>
      <c r="F77" s="112"/>
      <c r="G77" s="112"/>
      <c r="H77" s="112"/>
      <c r="I77" s="112"/>
      <c r="J77" s="210"/>
      <c r="K77" s="210"/>
      <c r="L77" s="198"/>
      <c r="P77" s="112"/>
      <c r="Q77" s="210"/>
      <c r="R77" s="210"/>
    </row>
    <row r="78" ht="15.75" customHeight="1">
      <c r="A78" s="209"/>
      <c r="B78" s="112"/>
      <c r="C78" s="112"/>
      <c r="D78" s="112"/>
      <c r="E78" s="112"/>
      <c r="F78" s="112"/>
      <c r="G78" s="112"/>
      <c r="H78" s="112"/>
      <c r="I78" s="112"/>
      <c r="J78" s="210"/>
      <c r="K78" s="210"/>
      <c r="L78" s="198"/>
      <c r="P78" s="112"/>
      <c r="Q78" s="210"/>
      <c r="R78" s="210"/>
    </row>
    <row r="79" ht="15.75" customHeight="1">
      <c r="A79" s="209"/>
      <c r="B79" s="112"/>
      <c r="C79" s="112"/>
      <c r="D79" s="112"/>
      <c r="E79" s="112"/>
      <c r="F79" s="112"/>
      <c r="G79" s="112"/>
      <c r="H79" s="112"/>
      <c r="I79" s="112"/>
      <c r="J79" s="210"/>
      <c r="K79" s="210"/>
      <c r="L79" s="198"/>
      <c r="P79" s="112"/>
      <c r="Q79" s="210"/>
      <c r="R79" s="210"/>
    </row>
    <row r="80" ht="15.75" customHeight="1">
      <c r="A80" s="209"/>
      <c r="B80" s="112"/>
      <c r="C80" s="112"/>
      <c r="D80" s="112"/>
      <c r="E80" s="112"/>
      <c r="F80" s="112"/>
      <c r="G80" s="112"/>
      <c r="H80" s="112"/>
      <c r="I80" s="112"/>
      <c r="J80" s="210"/>
      <c r="K80" s="210"/>
      <c r="L80" s="198"/>
      <c r="P80" s="112"/>
      <c r="Q80" s="210"/>
      <c r="R80" s="210"/>
    </row>
    <row r="81" ht="15.75" customHeight="1">
      <c r="A81" s="209"/>
      <c r="B81" s="112"/>
      <c r="C81" s="112"/>
      <c r="D81" s="112"/>
      <c r="E81" s="112"/>
      <c r="F81" s="112"/>
      <c r="G81" s="112"/>
      <c r="H81" s="112"/>
      <c r="I81" s="112"/>
      <c r="J81" s="210"/>
      <c r="K81" s="210"/>
      <c r="L81" s="198"/>
      <c r="P81" s="112"/>
      <c r="Q81" s="210"/>
      <c r="R81" s="210"/>
    </row>
    <row r="82" ht="15.75" customHeight="1">
      <c r="A82" s="209"/>
      <c r="B82" s="112"/>
      <c r="C82" s="112"/>
      <c r="D82" s="112"/>
      <c r="E82" s="112"/>
      <c r="F82" s="112"/>
      <c r="G82" s="112"/>
      <c r="H82" s="112"/>
      <c r="I82" s="112"/>
      <c r="J82" s="210"/>
      <c r="K82" s="210"/>
      <c r="L82" s="198"/>
      <c r="P82" s="112"/>
      <c r="Q82" s="210"/>
      <c r="R82" s="210"/>
    </row>
    <row r="83" ht="15.75" customHeight="1">
      <c r="A83" s="209"/>
      <c r="B83" s="112"/>
      <c r="C83" s="112"/>
      <c r="D83" s="112"/>
      <c r="E83" s="112"/>
      <c r="F83" s="112"/>
      <c r="G83" s="112"/>
      <c r="H83" s="112"/>
      <c r="I83" s="112"/>
      <c r="J83" s="210"/>
      <c r="K83" s="210"/>
      <c r="L83" s="198"/>
      <c r="P83" s="112"/>
      <c r="Q83" s="210"/>
      <c r="R83" s="210"/>
    </row>
    <row r="84" ht="15.75" customHeight="1">
      <c r="A84" s="209"/>
      <c r="B84" s="112"/>
      <c r="C84" s="112"/>
      <c r="D84" s="112"/>
      <c r="E84" s="112"/>
      <c r="F84" s="112"/>
      <c r="G84" s="112"/>
      <c r="H84" s="112"/>
      <c r="I84" s="112"/>
      <c r="J84" s="210"/>
      <c r="K84" s="210"/>
      <c r="L84" s="198"/>
      <c r="P84" s="112"/>
      <c r="Q84" s="210"/>
      <c r="R84" s="210"/>
    </row>
    <row r="85" ht="15.75" customHeight="1">
      <c r="A85" s="209"/>
      <c r="B85" s="112"/>
      <c r="C85" s="112"/>
      <c r="D85" s="112"/>
      <c r="E85" s="112"/>
      <c r="F85" s="112"/>
      <c r="G85" s="112"/>
      <c r="H85" s="112"/>
      <c r="I85" s="112"/>
      <c r="J85" s="210"/>
      <c r="K85" s="210"/>
      <c r="L85" s="198"/>
      <c r="P85" s="112"/>
      <c r="Q85" s="210"/>
      <c r="R85" s="210"/>
    </row>
    <row r="86" ht="15.75" customHeight="1">
      <c r="A86" s="209"/>
      <c r="B86" s="112"/>
      <c r="C86" s="112"/>
      <c r="D86" s="112"/>
      <c r="E86" s="112"/>
      <c r="F86" s="112"/>
      <c r="G86" s="112"/>
      <c r="H86" s="112"/>
      <c r="I86" s="112"/>
      <c r="J86" s="210"/>
      <c r="K86" s="210"/>
      <c r="L86" s="198"/>
      <c r="P86" s="112"/>
      <c r="Q86" s="210"/>
      <c r="R86" s="210"/>
    </row>
    <row r="87" ht="15.75" customHeight="1">
      <c r="A87" s="209"/>
      <c r="B87" s="112"/>
      <c r="C87" s="112"/>
      <c r="D87" s="112"/>
      <c r="E87" s="112"/>
      <c r="F87" s="112"/>
      <c r="G87" s="112"/>
      <c r="H87" s="112"/>
      <c r="I87" s="112"/>
      <c r="J87" s="210"/>
      <c r="K87" s="210"/>
      <c r="L87" s="198"/>
      <c r="P87" s="112"/>
      <c r="Q87" s="210"/>
      <c r="R87" s="210"/>
    </row>
    <row r="88" ht="15.75" customHeight="1">
      <c r="A88" s="209"/>
      <c r="B88" s="112"/>
      <c r="C88" s="112"/>
      <c r="D88" s="112"/>
      <c r="E88" s="112"/>
      <c r="F88" s="112"/>
      <c r="G88" s="112"/>
      <c r="H88" s="112"/>
      <c r="I88" s="112"/>
      <c r="J88" s="210"/>
      <c r="K88" s="210"/>
      <c r="L88" s="198"/>
      <c r="P88" s="112"/>
      <c r="Q88" s="210"/>
      <c r="R88" s="210"/>
    </row>
    <row r="89" ht="15.75" customHeight="1">
      <c r="A89" s="209"/>
      <c r="B89" s="112"/>
      <c r="C89" s="112"/>
      <c r="D89" s="112"/>
      <c r="E89" s="112"/>
      <c r="F89" s="112"/>
      <c r="G89" s="112"/>
      <c r="H89" s="112"/>
      <c r="I89" s="112"/>
      <c r="J89" s="210"/>
      <c r="K89" s="210"/>
      <c r="L89" s="198"/>
      <c r="P89" s="112"/>
      <c r="Q89" s="210"/>
      <c r="R89" s="210"/>
    </row>
    <row r="90" ht="15.75" customHeight="1">
      <c r="A90" s="209"/>
      <c r="B90" s="112"/>
      <c r="C90" s="112"/>
      <c r="D90" s="112"/>
      <c r="E90" s="112"/>
      <c r="F90" s="112"/>
      <c r="G90" s="112"/>
      <c r="H90" s="112"/>
      <c r="I90" s="112"/>
      <c r="J90" s="210"/>
      <c r="K90" s="210"/>
      <c r="L90" s="198"/>
      <c r="P90" s="112"/>
      <c r="Q90" s="210"/>
      <c r="R90" s="210"/>
    </row>
    <row r="91" ht="15.75" customHeight="1">
      <c r="A91" s="209"/>
      <c r="B91" s="112"/>
      <c r="C91" s="112"/>
      <c r="D91" s="112"/>
      <c r="E91" s="112"/>
      <c r="F91" s="112"/>
      <c r="G91" s="112"/>
      <c r="H91" s="112"/>
      <c r="I91" s="112"/>
      <c r="J91" s="210"/>
      <c r="K91" s="210"/>
      <c r="L91" s="198"/>
      <c r="P91" s="112"/>
      <c r="Q91" s="210"/>
      <c r="R91" s="210"/>
    </row>
    <row r="92" ht="15.75" customHeight="1">
      <c r="A92" s="209"/>
      <c r="B92" s="112"/>
      <c r="C92" s="112"/>
      <c r="D92" s="112"/>
      <c r="E92" s="112"/>
      <c r="F92" s="112"/>
      <c r="G92" s="112"/>
      <c r="H92" s="112"/>
      <c r="I92" s="112"/>
      <c r="J92" s="210"/>
      <c r="K92" s="210"/>
      <c r="L92" s="198"/>
      <c r="P92" s="112"/>
      <c r="Q92" s="210"/>
      <c r="R92" s="210"/>
    </row>
    <row r="93" ht="15.75" customHeight="1">
      <c r="A93" s="209"/>
      <c r="B93" s="112"/>
      <c r="C93" s="112"/>
      <c r="D93" s="112"/>
      <c r="E93" s="112"/>
      <c r="F93" s="112"/>
      <c r="G93" s="112"/>
      <c r="H93" s="112"/>
      <c r="I93" s="112"/>
      <c r="J93" s="210"/>
      <c r="K93" s="210"/>
      <c r="L93" s="198"/>
      <c r="P93" s="112"/>
      <c r="Q93" s="210"/>
      <c r="R93" s="210"/>
    </row>
    <row r="94" ht="15.75" customHeight="1">
      <c r="A94" s="209"/>
      <c r="B94" s="112"/>
      <c r="C94" s="112"/>
      <c r="D94" s="112"/>
      <c r="E94" s="112"/>
      <c r="F94" s="112"/>
      <c r="G94" s="112"/>
      <c r="H94" s="112"/>
      <c r="I94" s="112"/>
      <c r="J94" s="210"/>
      <c r="K94" s="210"/>
      <c r="L94" s="198"/>
      <c r="P94" s="112"/>
      <c r="Q94" s="210"/>
      <c r="R94" s="210"/>
    </row>
    <row r="95" ht="15.75" customHeight="1">
      <c r="A95" s="209"/>
      <c r="B95" s="112"/>
      <c r="C95" s="112"/>
      <c r="D95" s="112"/>
      <c r="E95" s="112"/>
      <c r="F95" s="112"/>
      <c r="G95" s="112"/>
      <c r="H95" s="112"/>
      <c r="I95" s="112"/>
      <c r="J95" s="210"/>
      <c r="K95" s="210"/>
      <c r="L95" s="198"/>
      <c r="P95" s="112"/>
      <c r="Q95" s="210"/>
      <c r="R95" s="210"/>
    </row>
    <row r="96" ht="15.75" customHeight="1">
      <c r="A96" s="209"/>
      <c r="B96" s="112"/>
      <c r="C96" s="112"/>
      <c r="D96" s="112"/>
      <c r="E96" s="112"/>
      <c r="F96" s="112"/>
      <c r="G96" s="112"/>
      <c r="H96" s="112"/>
      <c r="I96" s="112"/>
      <c r="J96" s="210"/>
      <c r="K96" s="210"/>
      <c r="L96" s="198"/>
      <c r="P96" s="112"/>
      <c r="Q96" s="210"/>
      <c r="R96" s="210"/>
    </row>
    <row r="97" ht="15.75" customHeight="1">
      <c r="A97" s="209"/>
      <c r="B97" s="112"/>
      <c r="C97" s="112"/>
      <c r="D97" s="112"/>
      <c r="E97" s="112"/>
      <c r="F97" s="112"/>
      <c r="G97" s="112"/>
      <c r="H97" s="112"/>
      <c r="I97" s="112"/>
      <c r="J97" s="210"/>
      <c r="K97" s="210"/>
      <c r="L97" s="198"/>
      <c r="P97" s="112"/>
      <c r="Q97" s="210"/>
      <c r="R97" s="210"/>
    </row>
    <row r="98" ht="15.75" customHeight="1">
      <c r="A98" s="209"/>
      <c r="B98" s="112"/>
      <c r="C98" s="112"/>
      <c r="D98" s="112"/>
      <c r="E98" s="112"/>
      <c r="F98" s="112"/>
      <c r="G98" s="112"/>
      <c r="H98" s="112"/>
      <c r="I98" s="112"/>
      <c r="J98" s="210"/>
      <c r="K98" s="210"/>
      <c r="L98" s="198"/>
      <c r="P98" s="112"/>
      <c r="Q98" s="210"/>
      <c r="R98" s="210"/>
    </row>
    <row r="99" ht="15.75" customHeight="1">
      <c r="A99" s="209"/>
      <c r="B99" s="112"/>
      <c r="C99" s="112"/>
      <c r="D99" s="112"/>
      <c r="E99" s="112"/>
      <c r="F99" s="112"/>
      <c r="G99" s="112"/>
      <c r="H99" s="112"/>
      <c r="I99" s="112"/>
      <c r="J99" s="210"/>
      <c r="K99" s="210"/>
      <c r="L99" s="198"/>
      <c r="P99" s="112"/>
      <c r="Q99" s="210"/>
      <c r="R99" s="210"/>
    </row>
    <row r="100" ht="15.75" customHeight="1">
      <c r="A100" s="209"/>
      <c r="B100" s="112"/>
      <c r="C100" s="112"/>
      <c r="D100" s="112"/>
      <c r="E100" s="112"/>
      <c r="F100" s="112"/>
      <c r="G100" s="112"/>
      <c r="H100" s="112"/>
      <c r="I100" s="112"/>
      <c r="J100" s="210"/>
      <c r="K100" s="210"/>
      <c r="L100" s="198"/>
      <c r="P100" s="112"/>
      <c r="Q100" s="210"/>
      <c r="R100" s="210"/>
    </row>
    <row r="101" ht="15.75" customHeight="1">
      <c r="A101" s="209"/>
      <c r="B101" s="112"/>
      <c r="C101" s="112"/>
      <c r="D101" s="112"/>
      <c r="E101" s="112"/>
      <c r="F101" s="112"/>
      <c r="G101" s="112"/>
      <c r="H101" s="112"/>
      <c r="I101" s="112"/>
      <c r="J101" s="210"/>
      <c r="K101" s="210"/>
      <c r="L101" s="198"/>
      <c r="P101" s="112"/>
      <c r="Q101" s="210"/>
      <c r="R101" s="210"/>
    </row>
    <row r="102" ht="15.75" customHeight="1">
      <c r="A102" s="209"/>
      <c r="B102" s="112"/>
      <c r="C102" s="112"/>
      <c r="D102" s="112"/>
      <c r="E102" s="112"/>
      <c r="F102" s="112"/>
      <c r="G102" s="112"/>
      <c r="H102" s="112"/>
      <c r="I102" s="112"/>
      <c r="J102" s="210"/>
      <c r="K102" s="210"/>
      <c r="L102" s="198"/>
      <c r="P102" s="112"/>
      <c r="Q102" s="210"/>
      <c r="R102" s="210"/>
    </row>
    <row r="103" ht="15.75" customHeight="1">
      <c r="A103" s="209"/>
      <c r="B103" s="112"/>
      <c r="C103" s="112"/>
      <c r="D103" s="112"/>
      <c r="E103" s="112"/>
      <c r="F103" s="112"/>
      <c r="G103" s="112"/>
      <c r="H103" s="112"/>
      <c r="I103" s="112"/>
      <c r="J103" s="210"/>
      <c r="K103" s="210"/>
      <c r="L103" s="198"/>
      <c r="P103" s="112"/>
      <c r="Q103" s="210"/>
      <c r="R103" s="210"/>
    </row>
    <row r="104" ht="15.75" customHeight="1">
      <c r="A104" s="209"/>
      <c r="B104" s="112"/>
      <c r="C104" s="112"/>
      <c r="D104" s="112"/>
      <c r="E104" s="112"/>
      <c r="F104" s="112"/>
      <c r="G104" s="112"/>
      <c r="H104" s="112"/>
      <c r="I104" s="112"/>
      <c r="J104" s="210"/>
      <c r="K104" s="210"/>
      <c r="L104" s="198"/>
      <c r="P104" s="112"/>
      <c r="Q104" s="210"/>
      <c r="R104" s="210"/>
    </row>
    <row r="105" ht="15.75" customHeight="1">
      <c r="A105" s="209"/>
      <c r="B105" s="112"/>
      <c r="C105" s="112"/>
      <c r="D105" s="112"/>
      <c r="E105" s="112"/>
      <c r="F105" s="112"/>
      <c r="G105" s="112"/>
      <c r="H105" s="112"/>
      <c r="I105" s="112"/>
      <c r="J105" s="210"/>
      <c r="K105" s="210"/>
      <c r="L105" s="198"/>
      <c r="P105" s="112"/>
      <c r="Q105" s="210"/>
      <c r="R105" s="210"/>
    </row>
    <row r="106" ht="15.75" customHeight="1">
      <c r="A106" s="209"/>
      <c r="B106" s="112"/>
      <c r="C106" s="112"/>
      <c r="D106" s="112"/>
      <c r="E106" s="112"/>
      <c r="F106" s="112"/>
      <c r="G106" s="112"/>
      <c r="H106" s="112"/>
      <c r="I106" s="112"/>
      <c r="J106" s="210"/>
      <c r="K106" s="210"/>
      <c r="L106" s="198"/>
      <c r="P106" s="112"/>
      <c r="Q106" s="210"/>
      <c r="R106" s="210"/>
    </row>
    <row r="107" ht="15.75" customHeight="1">
      <c r="A107" s="209"/>
      <c r="B107" s="112"/>
      <c r="C107" s="112"/>
      <c r="D107" s="112"/>
      <c r="E107" s="112"/>
      <c r="F107" s="112"/>
      <c r="G107" s="112"/>
      <c r="H107" s="112"/>
      <c r="I107" s="112"/>
      <c r="J107" s="210"/>
      <c r="K107" s="210"/>
      <c r="L107" s="198"/>
      <c r="P107" s="112"/>
      <c r="Q107" s="210"/>
      <c r="R107" s="210"/>
    </row>
    <row r="108" ht="15.75" customHeight="1">
      <c r="A108" s="209"/>
      <c r="B108" s="112"/>
      <c r="C108" s="112"/>
      <c r="D108" s="112"/>
      <c r="E108" s="112"/>
      <c r="F108" s="112"/>
      <c r="G108" s="112"/>
      <c r="H108" s="112"/>
      <c r="I108" s="112"/>
      <c r="J108" s="210"/>
      <c r="K108" s="210"/>
      <c r="L108" s="198"/>
      <c r="P108" s="112"/>
      <c r="Q108" s="210"/>
      <c r="R108" s="210"/>
    </row>
    <row r="109" ht="15.75" customHeight="1">
      <c r="A109" s="209"/>
      <c r="B109" s="112"/>
      <c r="C109" s="112"/>
      <c r="D109" s="112"/>
      <c r="E109" s="112"/>
      <c r="F109" s="112"/>
      <c r="G109" s="112"/>
      <c r="H109" s="112"/>
      <c r="I109" s="112"/>
      <c r="J109" s="210"/>
      <c r="K109" s="210"/>
      <c r="L109" s="198"/>
      <c r="P109" s="112"/>
      <c r="Q109" s="210"/>
      <c r="R109" s="210"/>
    </row>
    <row r="110" ht="15.75" customHeight="1">
      <c r="A110" s="209"/>
      <c r="B110" s="112"/>
      <c r="C110" s="112"/>
      <c r="D110" s="112"/>
      <c r="E110" s="112"/>
      <c r="F110" s="112"/>
      <c r="G110" s="112"/>
      <c r="H110" s="112"/>
      <c r="I110" s="112"/>
      <c r="J110" s="210"/>
      <c r="K110" s="210"/>
      <c r="L110" s="198"/>
      <c r="P110" s="112"/>
      <c r="Q110" s="210"/>
      <c r="R110" s="210"/>
    </row>
    <row r="111" ht="15.75" customHeight="1">
      <c r="A111" s="209"/>
      <c r="B111" s="112"/>
      <c r="C111" s="112"/>
      <c r="D111" s="112"/>
      <c r="E111" s="112"/>
      <c r="F111" s="112"/>
      <c r="G111" s="112"/>
      <c r="H111" s="112"/>
      <c r="I111" s="112"/>
      <c r="J111" s="210"/>
      <c r="K111" s="210"/>
      <c r="L111" s="198"/>
      <c r="P111" s="112"/>
      <c r="Q111" s="210"/>
      <c r="R111" s="210"/>
    </row>
    <row r="112" ht="15.75" customHeight="1">
      <c r="A112" s="209"/>
      <c r="B112" s="112"/>
      <c r="C112" s="112"/>
      <c r="D112" s="112"/>
      <c r="E112" s="112"/>
      <c r="F112" s="112"/>
      <c r="G112" s="112"/>
      <c r="H112" s="112"/>
      <c r="I112" s="112"/>
      <c r="J112" s="210"/>
      <c r="K112" s="210"/>
      <c r="L112" s="198"/>
      <c r="P112" s="112"/>
      <c r="Q112" s="210"/>
      <c r="R112" s="210"/>
    </row>
    <row r="113" ht="15.75" customHeight="1">
      <c r="A113" s="209"/>
      <c r="B113" s="112"/>
      <c r="C113" s="112"/>
      <c r="D113" s="112"/>
      <c r="E113" s="112"/>
      <c r="F113" s="112"/>
      <c r="G113" s="112"/>
      <c r="H113" s="112"/>
      <c r="I113" s="112"/>
      <c r="J113" s="210"/>
      <c r="K113" s="210"/>
      <c r="L113" s="198"/>
      <c r="P113" s="112"/>
      <c r="Q113" s="210"/>
      <c r="R113" s="210"/>
    </row>
    <row r="114" ht="15.75" customHeight="1">
      <c r="A114" s="209"/>
      <c r="B114" s="112"/>
      <c r="C114" s="112"/>
      <c r="D114" s="112"/>
      <c r="E114" s="112"/>
      <c r="F114" s="112"/>
      <c r="G114" s="112"/>
      <c r="H114" s="112"/>
      <c r="I114" s="112"/>
      <c r="J114" s="210"/>
      <c r="K114" s="210"/>
      <c r="L114" s="198"/>
      <c r="P114" s="112"/>
      <c r="Q114" s="210"/>
      <c r="R114" s="210"/>
    </row>
    <row r="115" ht="15.75" customHeight="1">
      <c r="A115" s="209"/>
      <c r="B115" s="112"/>
      <c r="C115" s="112"/>
      <c r="D115" s="112"/>
      <c r="E115" s="112"/>
      <c r="F115" s="112"/>
      <c r="G115" s="112"/>
      <c r="H115" s="112"/>
      <c r="I115" s="112"/>
      <c r="J115" s="210"/>
      <c r="K115" s="210"/>
      <c r="L115" s="198"/>
      <c r="P115" s="112"/>
      <c r="Q115" s="210"/>
      <c r="R115" s="210"/>
    </row>
    <row r="116" ht="15.75" customHeight="1">
      <c r="A116" s="209"/>
      <c r="B116" s="112"/>
      <c r="C116" s="112"/>
      <c r="D116" s="112"/>
      <c r="E116" s="112"/>
      <c r="F116" s="112"/>
      <c r="G116" s="112"/>
      <c r="H116" s="112"/>
      <c r="I116" s="112"/>
      <c r="J116" s="210"/>
      <c r="K116" s="210"/>
      <c r="L116" s="198"/>
      <c r="P116" s="112"/>
      <c r="Q116" s="210"/>
      <c r="R116" s="210"/>
    </row>
    <row r="117" ht="15.75" customHeight="1">
      <c r="A117" s="209"/>
      <c r="B117" s="112"/>
      <c r="C117" s="112"/>
      <c r="D117" s="112"/>
      <c r="E117" s="112"/>
      <c r="F117" s="112"/>
      <c r="G117" s="112"/>
      <c r="H117" s="112"/>
      <c r="I117" s="112"/>
      <c r="J117" s="210"/>
      <c r="K117" s="210"/>
      <c r="L117" s="198"/>
      <c r="P117" s="112"/>
      <c r="Q117" s="210"/>
      <c r="R117" s="210"/>
    </row>
    <row r="118" ht="15.75" customHeight="1">
      <c r="A118" s="209"/>
      <c r="B118" s="112"/>
      <c r="C118" s="112"/>
      <c r="D118" s="112"/>
      <c r="E118" s="112"/>
      <c r="F118" s="112"/>
      <c r="G118" s="112"/>
      <c r="H118" s="112"/>
      <c r="I118" s="112"/>
      <c r="J118" s="210"/>
      <c r="K118" s="210"/>
      <c r="L118" s="198"/>
      <c r="P118" s="112"/>
      <c r="Q118" s="210"/>
      <c r="R118" s="210"/>
    </row>
    <row r="119" ht="15.75" customHeight="1">
      <c r="A119" s="209"/>
      <c r="B119" s="112"/>
      <c r="C119" s="112"/>
      <c r="D119" s="112"/>
      <c r="E119" s="112"/>
      <c r="F119" s="112"/>
      <c r="G119" s="112"/>
      <c r="H119" s="112"/>
      <c r="I119" s="112"/>
      <c r="J119" s="210"/>
      <c r="K119" s="210"/>
      <c r="L119" s="198"/>
      <c r="P119" s="112"/>
      <c r="Q119" s="210"/>
      <c r="R119" s="210"/>
    </row>
    <row r="120" ht="15.75" customHeight="1">
      <c r="A120" s="209"/>
      <c r="B120" s="112"/>
      <c r="C120" s="112"/>
      <c r="D120" s="112"/>
      <c r="E120" s="112"/>
      <c r="F120" s="112"/>
      <c r="G120" s="112"/>
      <c r="H120" s="112"/>
      <c r="I120" s="112"/>
      <c r="J120" s="210"/>
      <c r="K120" s="210"/>
      <c r="L120" s="198"/>
      <c r="P120" s="112"/>
      <c r="Q120" s="210"/>
      <c r="R120" s="210"/>
    </row>
    <row r="121" ht="15.75" customHeight="1">
      <c r="A121" s="209"/>
      <c r="B121" s="112"/>
      <c r="C121" s="112"/>
      <c r="D121" s="112"/>
      <c r="E121" s="112"/>
      <c r="F121" s="112"/>
      <c r="G121" s="112"/>
      <c r="H121" s="112"/>
      <c r="I121" s="112"/>
      <c r="J121" s="210"/>
      <c r="K121" s="210"/>
      <c r="L121" s="198"/>
      <c r="P121" s="112"/>
      <c r="Q121" s="210"/>
      <c r="R121" s="210"/>
    </row>
    <row r="122" ht="15.75" customHeight="1">
      <c r="A122" s="209"/>
      <c r="B122" s="112"/>
      <c r="C122" s="112"/>
      <c r="D122" s="112"/>
      <c r="E122" s="112"/>
      <c r="F122" s="112"/>
      <c r="G122" s="112"/>
      <c r="H122" s="112"/>
      <c r="I122" s="112"/>
      <c r="J122" s="210"/>
      <c r="K122" s="210"/>
      <c r="L122" s="198"/>
      <c r="P122" s="112"/>
      <c r="Q122" s="210"/>
      <c r="R122" s="210"/>
    </row>
    <row r="123" ht="15.75" customHeight="1">
      <c r="A123" s="209"/>
      <c r="B123" s="112"/>
      <c r="C123" s="112"/>
      <c r="D123" s="112"/>
      <c r="E123" s="112"/>
      <c r="F123" s="112"/>
      <c r="G123" s="112"/>
      <c r="H123" s="112"/>
      <c r="I123" s="112"/>
      <c r="J123" s="210"/>
      <c r="K123" s="210"/>
      <c r="L123" s="198"/>
      <c r="P123" s="112"/>
      <c r="Q123" s="210"/>
      <c r="R123" s="210"/>
    </row>
    <row r="124" ht="15.75" customHeight="1">
      <c r="A124" s="209"/>
      <c r="B124" s="112"/>
      <c r="C124" s="112"/>
      <c r="D124" s="112"/>
      <c r="E124" s="112"/>
      <c r="F124" s="112"/>
      <c r="G124" s="112"/>
      <c r="H124" s="112"/>
      <c r="I124" s="112"/>
      <c r="J124" s="210"/>
      <c r="K124" s="210"/>
      <c r="L124" s="198"/>
      <c r="P124" s="112"/>
      <c r="Q124" s="210"/>
      <c r="R124" s="210"/>
    </row>
    <row r="125" ht="15.75" customHeight="1">
      <c r="A125" s="209"/>
      <c r="B125" s="112"/>
      <c r="C125" s="112"/>
      <c r="D125" s="112"/>
      <c r="E125" s="112"/>
      <c r="F125" s="112"/>
      <c r="G125" s="112"/>
      <c r="H125" s="112"/>
      <c r="I125" s="112"/>
      <c r="J125" s="210"/>
      <c r="K125" s="210"/>
      <c r="L125" s="198"/>
      <c r="P125" s="112"/>
      <c r="Q125" s="210"/>
      <c r="R125" s="210"/>
    </row>
    <row r="126" ht="15.75" customHeight="1">
      <c r="A126" s="209"/>
      <c r="B126" s="112"/>
      <c r="C126" s="112"/>
      <c r="D126" s="112"/>
      <c r="E126" s="112"/>
      <c r="F126" s="112"/>
      <c r="G126" s="112"/>
      <c r="H126" s="112"/>
      <c r="I126" s="112"/>
      <c r="J126" s="210"/>
      <c r="K126" s="210"/>
      <c r="L126" s="198"/>
      <c r="P126" s="112"/>
      <c r="Q126" s="210"/>
      <c r="R126" s="210"/>
    </row>
    <row r="127" ht="15.75" customHeight="1">
      <c r="A127" s="209"/>
      <c r="B127" s="112"/>
      <c r="C127" s="112"/>
      <c r="D127" s="112"/>
      <c r="E127" s="112"/>
      <c r="F127" s="112"/>
      <c r="G127" s="112"/>
      <c r="H127" s="112"/>
      <c r="I127" s="112"/>
      <c r="J127" s="210"/>
      <c r="K127" s="210"/>
      <c r="L127" s="198"/>
      <c r="P127" s="112"/>
      <c r="Q127" s="210"/>
      <c r="R127" s="210"/>
    </row>
    <row r="128" ht="15.75" customHeight="1">
      <c r="A128" s="209"/>
      <c r="B128" s="112"/>
      <c r="C128" s="112"/>
      <c r="D128" s="112"/>
      <c r="E128" s="112"/>
      <c r="F128" s="112"/>
      <c r="G128" s="112"/>
      <c r="H128" s="112"/>
      <c r="I128" s="112"/>
      <c r="J128" s="210"/>
      <c r="K128" s="210"/>
      <c r="L128" s="198"/>
      <c r="P128" s="112"/>
      <c r="Q128" s="210"/>
      <c r="R128" s="210"/>
    </row>
    <row r="129" ht="15.75" customHeight="1">
      <c r="A129" s="209"/>
      <c r="B129" s="112"/>
      <c r="C129" s="112"/>
      <c r="D129" s="112"/>
      <c r="E129" s="112"/>
      <c r="F129" s="112"/>
      <c r="G129" s="112"/>
      <c r="H129" s="112"/>
      <c r="I129" s="112"/>
      <c r="J129" s="210"/>
      <c r="K129" s="210"/>
      <c r="L129" s="198"/>
      <c r="P129" s="112"/>
      <c r="Q129" s="210"/>
      <c r="R129" s="210"/>
    </row>
    <row r="130" ht="15.75" customHeight="1">
      <c r="A130" s="209"/>
      <c r="B130" s="112"/>
      <c r="C130" s="112"/>
      <c r="D130" s="112"/>
      <c r="E130" s="112"/>
      <c r="F130" s="112"/>
      <c r="G130" s="112"/>
      <c r="H130" s="112"/>
      <c r="I130" s="112"/>
      <c r="J130" s="210"/>
      <c r="K130" s="210"/>
      <c r="L130" s="198"/>
      <c r="P130" s="112"/>
      <c r="Q130" s="210"/>
      <c r="R130" s="210"/>
    </row>
    <row r="131" ht="15.75" customHeight="1">
      <c r="A131" s="209"/>
      <c r="B131" s="112"/>
      <c r="C131" s="112"/>
      <c r="D131" s="112"/>
      <c r="E131" s="112"/>
      <c r="F131" s="112"/>
      <c r="G131" s="112"/>
      <c r="H131" s="112"/>
      <c r="I131" s="112"/>
      <c r="J131" s="210"/>
      <c r="K131" s="210"/>
      <c r="L131" s="198"/>
      <c r="P131" s="112"/>
      <c r="Q131" s="210"/>
      <c r="R131" s="210"/>
    </row>
    <row r="132" ht="15.75" customHeight="1">
      <c r="A132" s="209"/>
      <c r="B132" s="112"/>
      <c r="C132" s="112"/>
      <c r="D132" s="112"/>
      <c r="E132" s="112"/>
      <c r="F132" s="112"/>
      <c r="G132" s="112"/>
      <c r="H132" s="112"/>
      <c r="I132" s="112"/>
      <c r="J132" s="210"/>
      <c r="K132" s="210"/>
      <c r="L132" s="198"/>
      <c r="P132" s="112"/>
      <c r="Q132" s="210"/>
      <c r="R132" s="210"/>
    </row>
    <row r="133" ht="15.75" customHeight="1">
      <c r="A133" s="209"/>
      <c r="B133" s="112"/>
      <c r="C133" s="112"/>
      <c r="D133" s="112"/>
      <c r="E133" s="112"/>
      <c r="F133" s="112"/>
      <c r="G133" s="112"/>
      <c r="H133" s="112"/>
      <c r="I133" s="112"/>
      <c r="J133" s="210"/>
      <c r="K133" s="210"/>
      <c r="L133" s="198"/>
      <c r="P133" s="112"/>
      <c r="Q133" s="210"/>
      <c r="R133" s="210"/>
    </row>
    <row r="134" ht="15.75" customHeight="1">
      <c r="A134" s="209"/>
      <c r="B134" s="112"/>
      <c r="C134" s="112"/>
      <c r="D134" s="112"/>
      <c r="E134" s="112"/>
      <c r="F134" s="112"/>
      <c r="G134" s="112"/>
      <c r="I134" s="112"/>
      <c r="J134" s="210"/>
      <c r="K134" s="210"/>
      <c r="L134" s="198"/>
      <c r="P134" s="112"/>
      <c r="Q134" s="210"/>
      <c r="R134" s="210"/>
    </row>
  </sheetData>
  <mergeCells count="3">
    <mergeCell ref="B1:K1"/>
    <mergeCell ref="A13:A16"/>
    <mergeCell ref="B18:F18"/>
  </mergeCells>
  <printOptions horizontalCentered="1"/>
  <pageMargins bottom="0.75" footer="0.0" header="0.0" left="0.7" right="0.7" top="0.75"/>
  <pageSetup fitToHeight="0" paperSize="9"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7.63"/>
    <col customWidth="1" min="2" max="5" width="18.5"/>
    <col customWidth="1" min="6" max="6" width="18.75"/>
    <col customWidth="1" min="7" max="8" width="18.0"/>
    <col customWidth="1" min="9" max="9" width="18.63"/>
    <col customWidth="1" min="10" max="10" width="17.88"/>
    <col customWidth="1" min="11" max="12" width="18.0"/>
    <col customWidth="1" min="13" max="13" width="18.38"/>
    <col customWidth="1" min="14" max="14" width="18.25"/>
    <col customWidth="1" min="15" max="15" width="18.75"/>
    <col customWidth="1" min="16" max="16" width="19.5"/>
    <col customWidth="1" min="17" max="17" width="18.63"/>
    <col customWidth="1" min="18" max="18" width="18.88"/>
    <col customWidth="1" min="19" max="21" width="17.63"/>
    <col customWidth="1" min="22" max="22" width="18.88"/>
    <col customWidth="1" min="23" max="23" width="19.13"/>
    <col customWidth="1" min="24" max="24" width="18.63"/>
    <col customWidth="1" min="25" max="26" width="18.0"/>
    <col customWidth="1" min="27" max="27" width="17.75"/>
    <col customWidth="1" min="28" max="28" width="8.5"/>
    <col customWidth="1" min="29" max="29" width="20.5"/>
  </cols>
  <sheetData>
    <row r="1" ht="51.0" customHeight="1">
      <c r="A1" s="211"/>
      <c r="B1" s="212" t="s">
        <v>331</v>
      </c>
      <c r="AB1" s="213"/>
    </row>
    <row r="2" ht="62.25" customHeight="1">
      <c r="A2" s="142" t="s">
        <v>1</v>
      </c>
      <c r="B2" s="5" t="s">
        <v>332</v>
      </c>
      <c r="C2" s="5" t="s">
        <v>333</v>
      </c>
      <c r="D2" s="5" t="s">
        <v>334</v>
      </c>
      <c r="E2" s="5" t="s">
        <v>335</v>
      </c>
      <c r="F2" s="5" t="s">
        <v>336</v>
      </c>
      <c r="G2" s="5" t="s">
        <v>337</v>
      </c>
      <c r="H2" s="5" t="s">
        <v>338</v>
      </c>
      <c r="I2" s="5" t="s">
        <v>339</v>
      </c>
      <c r="J2" s="5" t="s">
        <v>340</v>
      </c>
      <c r="K2" s="143" t="s">
        <v>341</v>
      </c>
      <c r="L2" s="143" t="s">
        <v>342</v>
      </c>
      <c r="M2" s="214" t="s">
        <v>343</v>
      </c>
      <c r="N2" s="214" t="s">
        <v>344</v>
      </c>
      <c r="O2" s="214" t="s">
        <v>345</v>
      </c>
      <c r="P2" s="215" t="s">
        <v>346</v>
      </c>
      <c r="Q2" s="215" t="s">
        <v>347</v>
      </c>
      <c r="R2" s="215" t="s">
        <v>348</v>
      </c>
      <c r="S2" s="149" t="s">
        <v>349</v>
      </c>
      <c r="T2" s="215" t="s">
        <v>350</v>
      </c>
      <c r="U2" s="149" t="s">
        <v>351</v>
      </c>
      <c r="V2" s="149" t="s">
        <v>352</v>
      </c>
      <c r="W2" s="149" t="s">
        <v>353</v>
      </c>
      <c r="X2" s="215" t="s">
        <v>354</v>
      </c>
      <c r="Y2" s="215" t="s">
        <v>355</v>
      </c>
      <c r="Z2" s="215" t="s">
        <v>356</v>
      </c>
      <c r="AA2" s="215" t="s">
        <v>357</v>
      </c>
      <c r="AB2" s="216" t="s">
        <v>203</v>
      </c>
    </row>
    <row r="3" ht="32.25" customHeight="1">
      <c r="A3" s="142" t="s">
        <v>20</v>
      </c>
      <c r="B3" s="5" t="s">
        <v>358</v>
      </c>
      <c r="C3" s="5" t="s">
        <v>359</v>
      </c>
      <c r="D3" s="5" t="s">
        <v>358</v>
      </c>
      <c r="E3" s="5" t="s">
        <v>360</v>
      </c>
      <c r="F3" s="5" t="s">
        <v>361</v>
      </c>
      <c r="G3" s="5" t="s">
        <v>362</v>
      </c>
      <c r="H3" s="12" t="s">
        <v>360</v>
      </c>
      <c r="I3" s="5" t="s">
        <v>359</v>
      </c>
      <c r="J3" s="12" t="s">
        <v>360</v>
      </c>
      <c r="K3" s="217" t="s">
        <v>363</v>
      </c>
      <c r="L3" s="217" t="s">
        <v>363</v>
      </c>
      <c r="M3" s="218" t="s">
        <v>363</v>
      </c>
      <c r="N3" s="218" t="s">
        <v>363</v>
      </c>
      <c r="O3" s="219" t="s">
        <v>364</v>
      </c>
      <c r="P3" s="220" t="s">
        <v>365</v>
      </c>
      <c r="Q3" s="149" t="s">
        <v>366</v>
      </c>
      <c r="R3" s="220" t="s">
        <v>367</v>
      </c>
      <c r="S3" s="220" t="s">
        <v>366</v>
      </c>
      <c r="T3" s="220" t="s">
        <v>366</v>
      </c>
      <c r="U3" s="220" t="s">
        <v>368</v>
      </c>
      <c r="V3" s="220" t="s">
        <v>366</v>
      </c>
      <c r="W3" s="220" t="s">
        <v>366</v>
      </c>
      <c r="X3" s="220" t="s">
        <v>365</v>
      </c>
      <c r="Y3" s="220" t="s">
        <v>365</v>
      </c>
      <c r="Z3" s="220" t="s">
        <v>365</v>
      </c>
      <c r="AA3" s="220" t="s">
        <v>365</v>
      </c>
      <c r="AB3" s="216" t="s">
        <v>203</v>
      </c>
      <c r="AC3" s="160"/>
    </row>
    <row r="4" ht="35.25" customHeight="1">
      <c r="A4" s="221" t="s">
        <v>31</v>
      </c>
      <c r="B4" s="222" t="s">
        <v>369</v>
      </c>
      <c r="C4" s="222" t="s">
        <v>370</v>
      </c>
      <c r="D4" s="222" t="s">
        <v>371</v>
      </c>
      <c r="E4" s="222" t="s">
        <v>372</v>
      </c>
      <c r="F4" s="222" t="s">
        <v>373</v>
      </c>
      <c r="G4" s="222" t="s">
        <v>374</v>
      </c>
      <c r="H4" s="15" t="s">
        <v>227</v>
      </c>
      <c r="I4" s="222" t="s">
        <v>375</v>
      </c>
      <c r="J4" s="15" t="s">
        <v>40</v>
      </c>
      <c r="K4" s="223" t="s">
        <v>35</v>
      </c>
      <c r="L4" s="223" t="s">
        <v>35</v>
      </c>
      <c r="M4" s="224" t="s">
        <v>376</v>
      </c>
      <c r="N4" s="225" t="s">
        <v>377</v>
      </c>
      <c r="O4" s="225" t="s">
        <v>378</v>
      </c>
      <c r="P4" s="16" t="s">
        <v>379</v>
      </c>
      <c r="Q4" s="226" t="s">
        <v>380</v>
      </c>
      <c r="R4" s="16" t="s">
        <v>229</v>
      </c>
      <c r="S4" s="16" t="s">
        <v>40</v>
      </c>
      <c r="T4" s="16" t="s">
        <v>369</v>
      </c>
      <c r="U4" s="16" t="s">
        <v>373</v>
      </c>
      <c r="V4" s="16" t="s">
        <v>225</v>
      </c>
      <c r="W4" s="16" t="s">
        <v>227</v>
      </c>
      <c r="X4" s="16" t="s">
        <v>381</v>
      </c>
      <c r="Y4" s="16" t="s">
        <v>377</v>
      </c>
      <c r="Z4" s="16" t="s">
        <v>382</v>
      </c>
      <c r="AA4" s="16" t="s">
        <v>230</v>
      </c>
      <c r="AB4" s="227"/>
      <c r="AC4" s="228"/>
      <c r="AD4" s="229"/>
      <c r="AE4" s="229"/>
      <c r="AF4" s="229"/>
      <c r="AG4" s="229"/>
      <c r="AH4" s="229"/>
    </row>
    <row r="5" ht="37.5" customHeight="1">
      <c r="A5" s="27">
        <v>1.0</v>
      </c>
      <c r="B5" s="18" t="s">
        <v>383</v>
      </c>
      <c r="C5" s="18" t="s">
        <v>384</v>
      </c>
      <c r="D5" s="18" t="s">
        <v>385</v>
      </c>
      <c r="E5" s="18" t="s">
        <v>386</v>
      </c>
      <c r="F5" s="38" t="s">
        <v>387</v>
      </c>
      <c r="G5" s="18" t="s">
        <v>388</v>
      </c>
      <c r="H5" s="22" t="s">
        <v>389</v>
      </c>
      <c r="I5" s="18" t="s">
        <v>390</v>
      </c>
      <c r="J5" s="18" t="s">
        <v>391</v>
      </c>
      <c r="K5" s="34" t="s">
        <v>392</v>
      </c>
      <c r="L5" s="119" t="s">
        <v>393</v>
      </c>
      <c r="M5" s="119" t="s">
        <v>394</v>
      </c>
      <c r="N5" s="18" t="s">
        <v>395</v>
      </c>
      <c r="O5" s="19" t="s">
        <v>396</v>
      </c>
      <c r="P5" s="230" t="s">
        <v>397</v>
      </c>
      <c r="Q5" s="231" t="s">
        <v>398</v>
      </c>
      <c r="R5" s="18" t="s">
        <v>399</v>
      </c>
      <c r="S5" s="19" t="s">
        <v>400</v>
      </c>
      <c r="T5" s="232" t="s">
        <v>401</v>
      </c>
      <c r="U5" s="34" t="s">
        <v>402</v>
      </c>
      <c r="V5" s="41" t="s">
        <v>403</v>
      </c>
      <c r="W5" s="119"/>
      <c r="X5" s="232" t="s">
        <v>404</v>
      </c>
      <c r="Y5" s="41" t="s">
        <v>405</v>
      </c>
      <c r="Z5" s="233" t="s">
        <v>406</v>
      </c>
      <c r="AA5" s="21" t="s">
        <v>407</v>
      </c>
      <c r="AC5" s="234"/>
      <c r="AD5" s="234"/>
    </row>
    <row r="6" ht="39.75" customHeight="1">
      <c r="A6" s="17">
        <v>2.0</v>
      </c>
      <c r="B6" s="18" t="s">
        <v>408</v>
      </c>
      <c r="C6" s="18" t="s">
        <v>409</v>
      </c>
      <c r="D6" s="18" t="s">
        <v>410</v>
      </c>
      <c r="E6" s="18" t="s">
        <v>411</v>
      </c>
      <c r="F6" s="18" t="s">
        <v>412</v>
      </c>
      <c r="G6" s="18" t="s">
        <v>413</v>
      </c>
      <c r="H6" s="22" t="s">
        <v>414</v>
      </c>
      <c r="I6" s="18" t="s">
        <v>415</v>
      </c>
      <c r="J6" s="47" t="s">
        <v>416</v>
      </c>
      <c r="K6" s="34" t="s">
        <v>417</v>
      </c>
      <c r="L6" s="29" t="s">
        <v>418</v>
      </c>
      <c r="M6" s="41" t="s">
        <v>419</v>
      </c>
      <c r="N6" s="119" t="s">
        <v>420</v>
      </c>
      <c r="O6" s="27" t="s">
        <v>421</v>
      </c>
      <c r="P6" s="235" t="s">
        <v>422</v>
      </c>
      <c r="Q6" s="157" t="s">
        <v>423</v>
      </c>
      <c r="R6" s="18" t="s">
        <v>424</v>
      </c>
      <c r="S6" s="19" t="s">
        <v>425</v>
      </c>
      <c r="T6" s="23" t="s">
        <v>426</v>
      </c>
      <c r="U6" s="23" t="s">
        <v>427</v>
      </c>
      <c r="V6" s="232" t="s">
        <v>428</v>
      </c>
      <c r="W6" s="236"/>
      <c r="X6" s="21" t="s">
        <v>429</v>
      </c>
      <c r="Y6" s="34" t="s">
        <v>430</v>
      </c>
      <c r="Z6" s="19" t="s">
        <v>431</v>
      </c>
      <c r="AA6" s="157" t="s">
        <v>432</v>
      </c>
      <c r="AC6" s="237"/>
      <c r="AD6" s="237"/>
    </row>
    <row r="7" ht="37.5" customHeight="1">
      <c r="A7" s="17">
        <v>3.0</v>
      </c>
      <c r="B7" s="238" t="s">
        <v>433</v>
      </c>
      <c r="C7" s="18" t="s">
        <v>434</v>
      </c>
      <c r="D7" s="18" t="s">
        <v>435</v>
      </c>
      <c r="E7" s="18" t="s">
        <v>436</v>
      </c>
      <c r="F7" s="18" t="s">
        <v>437</v>
      </c>
      <c r="G7" s="18" t="s">
        <v>438</v>
      </c>
      <c r="H7" s="23" t="s">
        <v>439</v>
      </c>
      <c r="I7" s="19" t="s">
        <v>440</v>
      </c>
      <c r="J7" s="19" t="s">
        <v>441</v>
      </c>
      <c r="K7" s="23" t="s">
        <v>442</v>
      </c>
      <c r="L7" s="29" t="s">
        <v>443</v>
      </c>
      <c r="M7" s="239" t="s">
        <v>444</v>
      </c>
      <c r="N7" s="18" t="s">
        <v>445</v>
      </c>
      <c r="O7" s="19" t="s">
        <v>446</v>
      </c>
      <c r="P7" s="230" t="s">
        <v>447</v>
      </c>
      <c r="Q7" s="232" t="s">
        <v>448</v>
      </c>
      <c r="R7" s="27" t="s">
        <v>449</v>
      </c>
      <c r="S7" s="19" t="s">
        <v>450</v>
      </c>
      <c r="T7" s="23" t="s">
        <v>451</v>
      </c>
      <c r="U7" s="42" t="s">
        <v>452</v>
      </c>
      <c r="V7" s="166" t="s">
        <v>453</v>
      </c>
      <c r="W7" s="236"/>
      <c r="X7" s="23" t="s">
        <v>454</v>
      </c>
      <c r="Y7" s="22" t="s">
        <v>455</v>
      </c>
      <c r="Z7" s="19" t="s">
        <v>456</v>
      </c>
      <c r="AA7" s="157" t="s">
        <v>457</v>
      </c>
      <c r="AC7" s="234"/>
      <c r="AD7" s="234"/>
    </row>
    <row r="8" ht="40.5" customHeight="1">
      <c r="A8" s="17">
        <v>4.0</v>
      </c>
      <c r="B8" s="240" t="s">
        <v>458</v>
      </c>
      <c r="C8" s="18" t="s">
        <v>459</v>
      </c>
      <c r="D8" s="28" t="s">
        <v>460</v>
      </c>
      <c r="E8" s="18" t="s">
        <v>461</v>
      </c>
      <c r="F8" s="28" t="s">
        <v>462</v>
      </c>
      <c r="G8" s="241" t="s">
        <v>463</v>
      </c>
      <c r="H8" s="23" t="s">
        <v>464</v>
      </c>
      <c r="I8" s="41" t="s">
        <v>465</v>
      </c>
      <c r="J8" s="19" t="s">
        <v>466</v>
      </c>
      <c r="K8" s="23" t="s">
        <v>467</v>
      </c>
      <c r="L8" s="23" t="s">
        <v>468</v>
      </c>
      <c r="M8" s="242" t="s">
        <v>469</v>
      </c>
      <c r="N8" s="23" t="s">
        <v>470</v>
      </c>
      <c r="O8" s="25" t="s">
        <v>471</v>
      </c>
      <c r="P8" s="230" t="s">
        <v>472</v>
      </c>
      <c r="Q8" s="243" t="s">
        <v>473</v>
      </c>
      <c r="R8" s="27" t="s">
        <v>474</v>
      </c>
      <c r="S8" s="19" t="s">
        <v>475</v>
      </c>
      <c r="T8" s="23" t="s">
        <v>476</v>
      </c>
      <c r="U8" s="23" t="s">
        <v>477</v>
      </c>
      <c r="V8" s="23" t="s">
        <v>478</v>
      </c>
      <c r="W8" s="244"/>
      <c r="X8" s="167" t="s">
        <v>479</v>
      </c>
      <c r="Y8" s="22" t="s">
        <v>480</v>
      </c>
      <c r="Z8" s="19" t="s">
        <v>481</v>
      </c>
      <c r="AA8" s="41" t="s">
        <v>482</v>
      </c>
      <c r="AC8" s="245"/>
      <c r="AD8" s="245"/>
    </row>
    <row r="9" ht="36.0" customHeight="1">
      <c r="A9" s="17">
        <v>5.0</v>
      </c>
      <c r="B9" s="246" t="s">
        <v>483</v>
      </c>
      <c r="C9" s="18" t="s">
        <v>484</v>
      </c>
      <c r="D9" s="28" t="s">
        <v>485</v>
      </c>
      <c r="E9" s="18" t="s">
        <v>486</v>
      </c>
      <c r="F9" s="19" t="s">
        <v>487</v>
      </c>
      <c r="G9" s="241" t="s">
        <v>488</v>
      </c>
      <c r="H9" s="23" t="s">
        <v>489</v>
      </c>
      <c r="I9" s="247" t="s">
        <v>490</v>
      </c>
      <c r="J9" s="19" t="s">
        <v>491</v>
      </c>
      <c r="K9" s="248" t="s">
        <v>492</v>
      </c>
      <c r="L9" s="23" t="s">
        <v>493</v>
      </c>
      <c r="M9" s="242" t="s">
        <v>494</v>
      </c>
      <c r="N9" s="170" t="s">
        <v>495</v>
      </c>
      <c r="O9" s="249" t="s">
        <v>496</v>
      </c>
      <c r="P9" s="230" t="s">
        <v>497</v>
      </c>
      <c r="Q9" s="23" t="s">
        <v>498</v>
      </c>
      <c r="R9" s="27" t="s">
        <v>499</v>
      </c>
      <c r="S9" s="19" t="s">
        <v>500</v>
      </c>
      <c r="T9" s="250" t="s">
        <v>501</v>
      </c>
      <c r="U9" s="19" t="s">
        <v>502</v>
      </c>
      <c r="V9" s="167" t="s">
        <v>503</v>
      </c>
      <c r="W9" s="244"/>
      <c r="X9" s="251" t="s">
        <v>504</v>
      </c>
      <c r="Y9" s="28" t="s">
        <v>505</v>
      </c>
      <c r="Z9" s="23" t="s">
        <v>506</v>
      </c>
      <c r="AA9" s="19" t="s">
        <v>507</v>
      </c>
      <c r="AC9" s="245"/>
      <c r="AD9" s="245"/>
    </row>
    <row r="10" ht="37.5" customHeight="1">
      <c r="A10" s="17">
        <v>6.0</v>
      </c>
      <c r="B10" s="28" t="s">
        <v>508</v>
      </c>
      <c r="C10" s="28" t="s">
        <v>509</v>
      </c>
      <c r="D10" s="156" t="s">
        <v>510</v>
      </c>
      <c r="E10" s="28" t="s">
        <v>511</v>
      </c>
      <c r="F10" s="23" t="s">
        <v>512</v>
      </c>
      <c r="G10" s="19" t="s">
        <v>513</v>
      </c>
      <c r="H10" s="23" t="s">
        <v>514</v>
      </c>
      <c r="I10" s="23" t="s">
        <v>515</v>
      </c>
      <c r="J10" s="252" t="s">
        <v>516</v>
      </c>
      <c r="K10" s="23" t="s">
        <v>517</v>
      </c>
      <c r="L10" s="23" t="s">
        <v>518</v>
      </c>
      <c r="M10" s="242" t="s">
        <v>519</v>
      </c>
      <c r="N10" s="19" t="s">
        <v>520</v>
      </c>
      <c r="O10" s="249" t="s">
        <v>521</v>
      </c>
      <c r="P10" s="230" t="s">
        <v>522</v>
      </c>
      <c r="Q10" s="252" t="s">
        <v>523</v>
      </c>
      <c r="R10" s="253" t="s">
        <v>524</v>
      </c>
      <c r="S10" s="19" t="s">
        <v>525</v>
      </c>
      <c r="T10" s="19" t="s">
        <v>526</v>
      </c>
      <c r="U10" s="170" t="s">
        <v>527</v>
      </c>
      <c r="V10" s="252" t="s">
        <v>528</v>
      </c>
      <c r="W10" s="244"/>
      <c r="X10" s="254" t="s">
        <v>529</v>
      </c>
      <c r="Y10" s="28" t="s">
        <v>530</v>
      </c>
      <c r="Z10" s="23" t="s">
        <v>531</v>
      </c>
      <c r="AA10" s="19"/>
      <c r="AD10" s="245"/>
    </row>
    <row r="11" ht="39.75" customHeight="1">
      <c r="A11" s="17">
        <v>7.0</v>
      </c>
      <c r="B11" s="25" t="s">
        <v>532</v>
      </c>
      <c r="C11" s="255" t="s">
        <v>533</v>
      </c>
      <c r="D11" s="256" t="s">
        <v>534</v>
      </c>
      <c r="E11" s="23" t="s">
        <v>535</v>
      </c>
      <c r="F11" s="23" t="s">
        <v>536</v>
      </c>
      <c r="G11" s="19" t="s">
        <v>537</v>
      </c>
      <c r="H11" s="257" t="s">
        <v>538</v>
      </c>
      <c r="I11" s="23" t="s">
        <v>539</v>
      </c>
      <c r="J11" s="23" t="s">
        <v>540</v>
      </c>
      <c r="K11" s="23" t="s">
        <v>541</v>
      </c>
      <c r="L11" s="19" t="s">
        <v>542</v>
      </c>
      <c r="M11" s="242" t="s">
        <v>543</v>
      </c>
      <c r="N11" s="19" t="s">
        <v>544</v>
      </c>
      <c r="O11" s="249" t="s">
        <v>545</v>
      </c>
      <c r="P11" s="230" t="s">
        <v>546</v>
      </c>
      <c r="Q11" s="258" t="s">
        <v>547</v>
      </c>
      <c r="R11" s="19" t="s">
        <v>548</v>
      </c>
      <c r="S11" s="250" t="s">
        <v>549</v>
      </c>
      <c r="T11" s="23" t="s">
        <v>550</v>
      </c>
      <c r="U11" s="259" t="s">
        <v>551</v>
      </c>
      <c r="V11" s="23" t="s">
        <v>552</v>
      </c>
      <c r="W11" s="244"/>
      <c r="X11" s="260" t="s">
        <v>553</v>
      </c>
      <c r="Y11" s="157" t="s">
        <v>554</v>
      </c>
      <c r="Z11" s="25" t="s">
        <v>555</v>
      </c>
      <c r="AA11" s="19"/>
      <c r="AD11" s="261"/>
    </row>
    <row r="12" ht="39.75" customHeight="1">
      <c r="A12" s="262">
        <v>8.0</v>
      </c>
      <c r="B12" s="66" t="s">
        <v>556</v>
      </c>
      <c r="C12" s="263" t="s">
        <v>557</v>
      </c>
      <c r="D12" s="264" t="s">
        <v>558</v>
      </c>
      <c r="E12" s="179" t="s">
        <v>559</v>
      </c>
      <c r="F12" s="265" t="s">
        <v>560</v>
      </c>
      <c r="G12" s="61" t="s">
        <v>561</v>
      </c>
      <c r="H12" s="61" t="s">
        <v>562</v>
      </c>
      <c r="I12" s="179" t="s">
        <v>563</v>
      </c>
      <c r="J12" s="266" t="s">
        <v>564</v>
      </c>
      <c r="K12" s="179" t="s">
        <v>565</v>
      </c>
      <c r="L12" s="179" t="s">
        <v>566</v>
      </c>
      <c r="M12" s="179" t="s">
        <v>567</v>
      </c>
      <c r="N12" s="267" t="s">
        <v>568</v>
      </c>
      <c r="O12" s="178"/>
      <c r="P12" s="268" t="s">
        <v>569</v>
      </c>
      <c r="Q12" s="61" t="s">
        <v>570</v>
      </c>
      <c r="R12" s="61" t="s">
        <v>571</v>
      </c>
      <c r="S12" s="269" t="s">
        <v>572</v>
      </c>
      <c r="T12" s="61"/>
      <c r="U12" s="61"/>
      <c r="V12" s="61"/>
      <c r="W12" s="61"/>
      <c r="X12" s="270" t="s">
        <v>573</v>
      </c>
      <c r="Y12" s="179" t="s">
        <v>574</v>
      </c>
      <c r="Z12" s="23" t="s">
        <v>575</v>
      </c>
      <c r="AA12" s="61"/>
      <c r="AD12" s="234"/>
    </row>
    <row r="13" ht="50.25" customHeight="1">
      <c r="A13" s="67" t="s">
        <v>306</v>
      </c>
      <c r="B13" s="183"/>
      <c r="C13" s="74" t="s">
        <v>576</v>
      </c>
      <c r="D13" s="75"/>
      <c r="E13" s="183"/>
      <c r="F13" s="271" t="s">
        <v>577</v>
      </c>
      <c r="G13" s="271"/>
      <c r="H13" s="183"/>
      <c r="I13" s="272"/>
      <c r="J13" s="271"/>
      <c r="K13" s="273"/>
      <c r="L13" s="190" t="s">
        <v>578</v>
      </c>
      <c r="M13" s="274" t="s">
        <v>393</v>
      </c>
      <c r="N13" s="275"/>
      <c r="O13" s="184"/>
      <c r="P13" s="276"/>
      <c r="Q13" s="277" t="s">
        <v>579</v>
      </c>
      <c r="R13" s="278" t="s">
        <v>580</v>
      </c>
      <c r="S13" s="278" t="s">
        <v>581</v>
      </c>
      <c r="T13" s="278"/>
      <c r="U13" s="279"/>
      <c r="V13" s="273"/>
      <c r="W13" s="278"/>
      <c r="X13" s="276"/>
      <c r="Y13" s="278" t="s">
        <v>582</v>
      </c>
      <c r="Z13" s="280"/>
      <c r="AA13" s="281"/>
      <c r="AB13" s="155"/>
      <c r="AC13" s="155"/>
      <c r="AD13" s="155"/>
      <c r="AE13" s="155"/>
      <c r="AF13" s="155"/>
      <c r="AG13" s="155"/>
      <c r="AH13" s="155"/>
    </row>
    <row r="14" ht="44.25" customHeight="1">
      <c r="A14" s="82"/>
      <c r="B14" s="183"/>
      <c r="C14" s="89" t="s">
        <v>583</v>
      </c>
      <c r="D14" s="87"/>
      <c r="E14" s="271"/>
      <c r="F14" s="87"/>
      <c r="G14" s="271"/>
      <c r="H14" s="271"/>
      <c r="I14" s="282"/>
      <c r="J14" s="282"/>
      <c r="K14" s="283"/>
      <c r="L14" s="283"/>
      <c r="M14" s="284" t="s">
        <v>443</v>
      </c>
      <c r="N14" s="190"/>
      <c r="O14" s="271"/>
      <c r="P14" s="271"/>
      <c r="Q14" s="276"/>
      <c r="R14" s="190" t="s">
        <v>584</v>
      </c>
      <c r="S14" s="190" t="s">
        <v>585</v>
      </c>
      <c r="T14" s="285"/>
      <c r="U14" s="190"/>
      <c r="V14" s="271"/>
      <c r="W14" s="271"/>
      <c r="X14" s="276"/>
      <c r="Y14" s="282"/>
      <c r="Z14" s="271"/>
      <c r="AA14" s="286"/>
      <c r="AB14" s="155"/>
      <c r="AC14" s="155"/>
      <c r="AD14" s="155"/>
      <c r="AE14" s="155"/>
      <c r="AF14" s="155"/>
      <c r="AG14" s="155"/>
      <c r="AH14" s="155"/>
    </row>
    <row r="15" ht="44.25" customHeight="1">
      <c r="A15" s="82"/>
      <c r="B15" s="89"/>
      <c r="C15" s="89"/>
      <c r="D15" s="89"/>
      <c r="E15" s="271"/>
      <c r="F15" s="283"/>
      <c r="G15" s="271"/>
      <c r="H15" s="271" t="s">
        <v>586</v>
      </c>
      <c r="I15" s="190"/>
      <c r="J15" s="271"/>
      <c r="K15" s="271"/>
      <c r="L15" s="271"/>
      <c r="M15" s="287" t="s">
        <v>493</v>
      </c>
      <c r="N15" s="276"/>
      <c r="O15" s="288"/>
      <c r="P15" s="288" t="s">
        <v>203</v>
      </c>
      <c r="Q15" s="276"/>
      <c r="R15" s="271" t="s">
        <v>587</v>
      </c>
      <c r="S15" s="288" t="s">
        <v>203</v>
      </c>
      <c r="T15" s="288"/>
      <c r="U15" s="289"/>
      <c r="V15" s="271"/>
      <c r="W15" s="271"/>
      <c r="X15" s="285"/>
      <c r="Y15" s="271"/>
      <c r="Z15" s="271"/>
      <c r="AA15" s="286"/>
      <c r="AB15" s="290"/>
      <c r="AC15" s="155"/>
      <c r="AD15" s="155"/>
      <c r="AE15" s="155"/>
      <c r="AF15" s="155"/>
      <c r="AG15" s="155"/>
      <c r="AH15" s="155"/>
    </row>
    <row r="16" ht="44.25" customHeight="1">
      <c r="A16" s="82"/>
      <c r="B16" s="89"/>
      <c r="C16" s="89"/>
      <c r="D16" s="89"/>
      <c r="E16" s="271"/>
      <c r="F16" s="271"/>
      <c r="G16" s="271"/>
      <c r="H16" s="271"/>
      <c r="I16" s="291"/>
      <c r="J16" s="271"/>
      <c r="K16" s="289"/>
      <c r="L16" s="289"/>
      <c r="M16" s="292" t="s">
        <v>588</v>
      </c>
      <c r="N16" s="293"/>
      <c r="O16" s="288"/>
      <c r="P16" s="288"/>
      <c r="Q16" s="276"/>
      <c r="R16" s="289"/>
      <c r="S16" s="289"/>
      <c r="T16" s="294"/>
      <c r="U16" s="283"/>
      <c r="V16" s="271"/>
      <c r="W16" s="271"/>
      <c r="X16" s="289"/>
      <c r="Y16" s="286"/>
      <c r="Z16" s="271"/>
      <c r="AA16" s="286"/>
      <c r="AB16" s="290"/>
      <c r="AC16" s="193" t="s">
        <v>314</v>
      </c>
      <c r="AD16" s="155"/>
      <c r="AE16" s="155"/>
      <c r="AF16" s="155"/>
      <c r="AG16" s="155"/>
      <c r="AH16" s="155"/>
    </row>
    <row r="17" ht="44.25" customHeight="1">
      <c r="A17" s="82"/>
      <c r="B17" s="95"/>
      <c r="C17" s="95"/>
      <c r="D17" s="95"/>
      <c r="E17" s="289"/>
      <c r="F17" s="289"/>
      <c r="G17" s="289"/>
      <c r="H17" s="289"/>
      <c r="I17" s="289"/>
      <c r="J17" s="289"/>
      <c r="K17" s="289"/>
      <c r="L17" s="289"/>
      <c r="M17" s="288"/>
      <c r="N17" s="288"/>
      <c r="O17" s="288"/>
      <c r="P17" s="288"/>
      <c r="Q17" s="295"/>
      <c r="R17" s="286"/>
      <c r="S17" s="286"/>
      <c r="T17" s="288"/>
      <c r="U17" s="286"/>
      <c r="V17" s="286"/>
      <c r="W17" s="286"/>
      <c r="X17" s="286"/>
      <c r="Y17" s="286"/>
      <c r="Z17" s="286"/>
      <c r="AA17" s="286"/>
      <c r="AB17" s="290"/>
      <c r="AC17" s="155"/>
      <c r="AD17" s="155"/>
      <c r="AE17" s="155"/>
      <c r="AF17" s="155"/>
      <c r="AG17" s="155"/>
      <c r="AH17" s="155"/>
    </row>
    <row r="18" ht="37.5" customHeight="1">
      <c r="A18" s="191" t="s">
        <v>182</v>
      </c>
      <c r="B18" s="296">
        <f>IFERROR(__xludf.DUMMYFUNCTION("COUNTUNIQUE(B5:B12)"),8.0)</f>
        <v>8</v>
      </c>
      <c r="C18" s="296">
        <f>IFERROR(__xludf.DUMMYFUNCTION("COUNTUNIQUE(C5:C12)"),8.0)</f>
        <v>8</v>
      </c>
      <c r="D18" s="296">
        <f>IFERROR(__xludf.DUMMYFUNCTION("COUNTUNIQUE(D5:D12)"),8.0)</f>
        <v>8</v>
      </c>
      <c r="E18" s="296">
        <f>IFERROR(__xludf.DUMMYFUNCTION("COUNTUNIQUE(E5:E12)"),8.0)</f>
        <v>8</v>
      </c>
      <c r="F18" s="296">
        <f>IFERROR(__xludf.DUMMYFUNCTION("COUNTUNIQUE(F5:F12)"),8.0)</f>
        <v>8</v>
      </c>
      <c r="G18" s="296">
        <f>IFERROR(__xludf.DUMMYFUNCTION("COUNTUNIQUE(G5:G12)"),8.0)</f>
        <v>8</v>
      </c>
      <c r="H18" s="296">
        <f>IFERROR(__xludf.DUMMYFUNCTION("COUNTUNIQUE(H5:H12)"),8.0)</f>
        <v>8</v>
      </c>
      <c r="I18" s="296">
        <f>IFERROR(__xludf.DUMMYFUNCTION("COUNTUNIQUE(I5:I12)"),8.0)</f>
        <v>8</v>
      </c>
      <c r="J18" s="296">
        <f>IFERROR(__xludf.DUMMYFUNCTION("COUNTUNIQUE(J5:J12)"),8.0)</f>
        <v>8</v>
      </c>
      <c r="K18" s="296"/>
      <c r="L18" s="296">
        <f>IFERROR(__xludf.DUMMYFUNCTION("COUNTUNIQUE(L5:L12)"),8.0)</f>
        <v>8</v>
      </c>
      <c r="M18" s="296">
        <f>IFERROR(__xludf.DUMMYFUNCTION("COUNTUNIQUE(M5:M12)"),8.0)</f>
        <v>8</v>
      </c>
      <c r="N18" s="296">
        <f>IFERROR(__xludf.DUMMYFUNCTION("COUNTUNIQUE(N5:N12)"),8.0)</f>
        <v>8</v>
      </c>
      <c r="O18" s="296">
        <f>IFERROR(__xludf.DUMMYFUNCTION("COUNTUNIQUE(O5:O12)"),7.0)</f>
        <v>7</v>
      </c>
      <c r="P18" s="296"/>
      <c r="Q18" s="296">
        <f>IFERROR(__xludf.DUMMYFUNCTION("COUNTUNIQUE(Q5:Q12)"),8.0)</f>
        <v>8</v>
      </c>
      <c r="R18" s="296">
        <f>IFERROR(__xludf.DUMMYFUNCTION("COUNTUNIQUE(R5:R12)"),8.0)</f>
        <v>8</v>
      </c>
      <c r="S18" s="296">
        <f>IFERROR(__xludf.DUMMYFUNCTION("COUNTUNIQUE(S5:S12)"),8.0)</f>
        <v>8</v>
      </c>
      <c r="T18" s="296">
        <f>IFERROR(__xludf.DUMMYFUNCTION("COUNTUNIQUE(T5:T12)"),7.0)</f>
        <v>7</v>
      </c>
      <c r="U18" s="296">
        <f>IFERROR(__xludf.DUMMYFUNCTION("COUNTUNIQUE(U5:U11)"),7.0)</f>
        <v>7</v>
      </c>
      <c r="V18" s="296">
        <f>IFERROR(__xludf.DUMMYFUNCTION("COUNTUNIQUE(V5:V12)"),7.0)</f>
        <v>7</v>
      </c>
      <c r="W18" s="296">
        <f>IFERROR(__xludf.DUMMYFUNCTION("COUNTUNIQUE(W5:W12)"),0.0)</f>
        <v>0</v>
      </c>
      <c r="X18" s="296">
        <f>IFERROR(__xludf.DUMMYFUNCTION("COUNTUNIQUE(X5:X12)"),8.0)</f>
        <v>8</v>
      </c>
      <c r="Y18" s="296">
        <f>IFERROR(__xludf.DUMMYFUNCTION("COUNTUNIQUE(Y5:Y12)"),8.0)</f>
        <v>8</v>
      </c>
      <c r="Z18" s="296">
        <f>IFERROR(__xludf.DUMMYFUNCTION("COUNTUNIQUE(Z5:Z12)"),8.0)</f>
        <v>8</v>
      </c>
      <c r="AA18" s="296">
        <f>IFERROR(__xludf.DUMMYFUNCTION("COUNTUNIQUE(AA5:AA12)"),5.0)</f>
        <v>5</v>
      </c>
      <c r="AB18" s="290"/>
      <c r="AC18" s="297">
        <f>SUM(B18:AA18)</f>
        <v>177</v>
      </c>
      <c r="AD18" s="155"/>
      <c r="AE18" s="155"/>
      <c r="AF18" s="155"/>
      <c r="AG18" s="155"/>
      <c r="AH18" s="155"/>
    </row>
    <row r="19" ht="37.5" customHeight="1">
      <c r="A19" s="298">
        <v>1.0</v>
      </c>
      <c r="B19" s="299" t="s">
        <v>589</v>
      </c>
      <c r="C19" s="99"/>
      <c r="D19" s="99"/>
      <c r="E19" s="99"/>
      <c r="F19" s="99"/>
      <c r="G19" s="99"/>
      <c r="H19" s="99"/>
      <c r="I19" s="99"/>
      <c r="J19" s="100"/>
      <c r="K19" s="300"/>
      <c r="L19" s="301"/>
      <c r="M19" s="302" t="s">
        <v>590</v>
      </c>
      <c r="N19" s="200" t="s">
        <v>591</v>
      </c>
      <c r="O19" s="199" t="s">
        <v>592</v>
      </c>
      <c r="P19" s="119" t="s">
        <v>593</v>
      </c>
      <c r="Q19" s="200" t="s">
        <v>445</v>
      </c>
      <c r="R19" s="201" t="s">
        <v>594</v>
      </c>
      <c r="S19" s="200" t="s">
        <v>419</v>
      </c>
      <c r="T19" s="303" t="s">
        <v>595</v>
      </c>
      <c r="U19" s="304"/>
      <c r="V19" s="305"/>
      <c r="W19" s="161"/>
      <c r="X19" s="306" t="s">
        <v>596</v>
      </c>
      <c r="Y19" s="305"/>
      <c r="Z19" s="119" t="s">
        <v>597</v>
      </c>
      <c r="AA19" s="18"/>
      <c r="AB19" s="307"/>
    </row>
    <row r="20" ht="37.5" customHeight="1">
      <c r="A20" s="110">
        <v>2.0</v>
      </c>
      <c r="B20" s="124"/>
      <c r="C20" s="124"/>
      <c r="D20" s="124"/>
      <c r="E20" s="124"/>
      <c r="F20" s="124"/>
      <c r="G20" s="124"/>
      <c r="H20" s="124"/>
      <c r="I20" s="124"/>
      <c r="J20" s="124"/>
      <c r="K20" s="21"/>
      <c r="L20" s="301"/>
      <c r="M20" s="161" t="s">
        <v>598</v>
      </c>
      <c r="N20" s="201" t="s">
        <v>599</v>
      </c>
      <c r="O20" s="119" t="s">
        <v>600</v>
      </c>
      <c r="P20" s="21"/>
      <c r="Q20" s="200" t="s">
        <v>396</v>
      </c>
      <c r="R20" s="201" t="s">
        <v>131</v>
      </c>
      <c r="S20" s="308" t="s">
        <v>444</v>
      </c>
      <c r="T20" s="309"/>
      <c r="U20" s="161"/>
      <c r="V20" s="310"/>
      <c r="W20" s="161"/>
      <c r="X20" s="299" t="s">
        <v>601</v>
      </c>
      <c r="Y20" s="100"/>
      <c r="Z20" s="119" t="s">
        <v>602</v>
      </c>
      <c r="AA20" s="18"/>
      <c r="AB20" s="155"/>
      <c r="AC20" s="155"/>
      <c r="AD20" s="155"/>
      <c r="AE20" s="155"/>
      <c r="AF20" s="155"/>
      <c r="AG20" s="155"/>
      <c r="AH20" s="155"/>
    </row>
    <row r="21" ht="37.5" customHeight="1">
      <c r="A21" s="110">
        <v>3.0</v>
      </c>
      <c r="B21" s="124"/>
      <c r="C21" s="124"/>
      <c r="D21" s="124"/>
      <c r="E21" s="124"/>
      <c r="F21" s="124"/>
      <c r="G21" s="124"/>
      <c r="H21" s="124"/>
      <c r="I21" s="124"/>
      <c r="J21" s="124"/>
      <c r="K21" s="21"/>
      <c r="L21" s="301"/>
      <c r="M21" s="21" t="s">
        <v>603</v>
      </c>
      <c r="N21" s="201" t="s">
        <v>604</v>
      </c>
      <c r="O21" s="201" t="s">
        <v>79</v>
      </c>
      <c r="P21" s="311"/>
      <c r="Q21" s="312" t="s">
        <v>605</v>
      </c>
      <c r="R21" s="119" t="s">
        <v>606</v>
      </c>
      <c r="S21" s="313" t="s">
        <v>473</v>
      </c>
      <c r="T21" s="309"/>
      <c r="U21" s="161"/>
      <c r="V21" s="310"/>
      <c r="W21" s="161"/>
      <c r="X21" s="200" t="s">
        <v>574</v>
      </c>
      <c r="Y21" s="244"/>
      <c r="Z21" s="119" t="s">
        <v>607</v>
      </c>
      <c r="AA21" s="18"/>
      <c r="AB21" s="155"/>
      <c r="AC21" s="155"/>
      <c r="AD21" s="155"/>
      <c r="AE21" s="155"/>
      <c r="AF21" s="155"/>
      <c r="AG21" s="155"/>
      <c r="AH21" s="155"/>
    </row>
    <row r="22" ht="36.0" customHeight="1">
      <c r="A22" s="110">
        <v>4.0</v>
      </c>
      <c r="B22" s="301"/>
      <c r="C22" s="301"/>
      <c r="D22" s="301"/>
      <c r="E22" s="301"/>
      <c r="F22" s="110"/>
      <c r="G22" s="110"/>
      <c r="H22" s="301"/>
      <c r="I22" s="301"/>
      <c r="J22" s="301"/>
      <c r="K22" s="21"/>
      <c r="L22" s="301"/>
      <c r="M22" s="314"/>
      <c r="N22" s="201" t="s">
        <v>448</v>
      </c>
      <c r="O22" s="311"/>
      <c r="P22" s="311"/>
      <c r="Q22" s="315"/>
      <c r="R22" s="316" t="s">
        <v>608</v>
      </c>
      <c r="S22" s="100"/>
      <c r="T22" s="309"/>
      <c r="U22" s="161"/>
      <c r="V22" s="310"/>
      <c r="W22" s="161"/>
      <c r="X22" s="299" t="s">
        <v>609</v>
      </c>
      <c r="Y22" s="100"/>
      <c r="Z22" s="119" t="s">
        <v>610</v>
      </c>
      <c r="AA22" s="18"/>
      <c r="AB22" s="155"/>
      <c r="AC22" s="155"/>
      <c r="AD22" s="155"/>
      <c r="AE22" s="155"/>
      <c r="AF22" s="155"/>
      <c r="AG22" s="155"/>
      <c r="AH22" s="155"/>
    </row>
    <row r="23" ht="36.0" customHeight="1">
      <c r="A23" s="110">
        <v>5.0</v>
      </c>
      <c r="B23" s="301"/>
      <c r="C23" s="301"/>
      <c r="D23" s="301"/>
      <c r="E23" s="301"/>
      <c r="F23" s="110"/>
      <c r="G23" s="110"/>
      <c r="H23" s="110"/>
      <c r="I23" s="301"/>
      <c r="J23" s="301"/>
      <c r="K23" s="21"/>
      <c r="L23" s="301"/>
      <c r="M23" s="314"/>
      <c r="N23" s="200" t="s">
        <v>611</v>
      </c>
      <c r="O23" s="317"/>
      <c r="P23" s="311"/>
      <c r="Q23" s="315"/>
      <c r="R23" s="318" t="s">
        <v>113</v>
      </c>
      <c r="S23" s="100"/>
      <c r="T23" s="309"/>
      <c r="U23" s="161"/>
      <c r="V23" s="310"/>
      <c r="W23" s="161"/>
      <c r="X23" s="318" t="s">
        <v>612</v>
      </c>
      <c r="Y23" s="100"/>
      <c r="Z23" s="244"/>
      <c r="AA23" s="18"/>
      <c r="AC23" s="155"/>
      <c r="AD23" s="155"/>
      <c r="AE23" s="155"/>
      <c r="AF23" s="155"/>
      <c r="AG23" s="155"/>
      <c r="AH23" s="155"/>
    </row>
    <row r="24" ht="36.0" customHeight="1">
      <c r="A24" s="110">
        <v>6.0</v>
      </c>
      <c r="B24" s="319"/>
      <c r="C24" s="319"/>
      <c r="D24" s="319"/>
      <c r="E24" s="319"/>
      <c r="F24" s="19"/>
      <c r="G24" s="19"/>
      <c r="H24" s="19"/>
      <c r="I24" s="319"/>
      <c r="J24" s="319"/>
      <c r="K24" s="21"/>
      <c r="L24" s="301"/>
      <c r="M24" s="314"/>
      <c r="N24" s="201" t="s">
        <v>613</v>
      </c>
      <c r="O24" s="317"/>
      <c r="P24" s="311"/>
      <c r="Q24" s="311"/>
      <c r="R24" s="309"/>
      <c r="S24" s="199" t="s">
        <v>95</v>
      </c>
      <c r="T24" s="309"/>
      <c r="U24" s="161"/>
      <c r="V24" s="310"/>
      <c r="W24" s="161"/>
      <c r="X24" s="161"/>
      <c r="Y24" s="244"/>
      <c r="Z24" s="244"/>
      <c r="AA24" s="195"/>
      <c r="AC24" s="155"/>
      <c r="AD24" s="155"/>
      <c r="AE24" s="155"/>
      <c r="AF24" s="155"/>
      <c r="AG24" s="155"/>
      <c r="AH24" s="155"/>
    </row>
    <row r="25" ht="37.5" customHeight="1">
      <c r="A25" s="110">
        <v>7.0</v>
      </c>
      <c r="B25" s="320"/>
      <c r="C25" s="320"/>
      <c r="D25" s="320"/>
      <c r="E25" s="320"/>
      <c r="F25" s="52"/>
      <c r="G25" s="52"/>
      <c r="H25" s="52"/>
      <c r="I25" s="320"/>
      <c r="J25" s="320"/>
      <c r="K25" s="21"/>
      <c r="L25" s="301"/>
      <c r="M25" s="314"/>
      <c r="N25" s="308" t="s">
        <v>614</v>
      </c>
      <c r="O25" s="317"/>
      <c r="P25" s="311"/>
      <c r="Q25" s="311"/>
      <c r="R25" s="309"/>
      <c r="S25" s="321" t="s">
        <v>615</v>
      </c>
      <c r="T25" s="309"/>
      <c r="U25" s="161"/>
      <c r="V25" s="310"/>
      <c r="W25" s="161"/>
      <c r="X25" s="161"/>
      <c r="Y25" s="244"/>
      <c r="Z25" s="244"/>
      <c r="AA25" s="322"/>
      <c r="AB25" s="210"/>
    </row>
    <row r="26" ht="37.5" customHeight="1">
      <c r="A26" s="110">
        <v>8.0</v>
      </c>
      <c r="B26" s="320"/>
      <c r="C26" s="320"/>
      <c r="D26" s="320"/>
      <c r="E26" s="320"/>
      <c r="F26" s="18"/>
      <c r="G26" s="18"/>
      <c r="H26" s="18"/>
      <c r="I26" s="320"/>
      <c r="J26" s="320"/>
      <c r="K26" s="124"/>
      <c r="L26" s="124"/>
      <c r="M26" s="317"/>
      <c r="N26" s="308" t="s">
        <v>616</v>
      </c>
      <c r="O26" s="317"/>
      <c r="P26" s="311"/>
      <c r="Q26" s="311"/>
      <c r="R26" s="309"/>
      <c r="S26" s="309"/>
      <c r="T26" s="309"/>
      <c r="U26" s="310"/>
      <c r="V26" s="310"/>
      <c r="W26" s="310"/>
      <c r="X26" s="161"/>
      <c r="Y26" s="244"/>
      <c r="Z26" s="244"/>
      <c r="AA26" s="323"/>
      <c r="AB26" s="210"/>
    </row>
    <row r="27" ht="37.5" customHeight="1">
      <c r="A27" s="110">
        <v>9.0</v>
      </c>
      <c r="B27" s="320"/>
      <c r="C27" s="320"/>
      <c r="D27" s="320"/>
      <c r="E27" s="320"/>
      <c r="F27" s="320"/>
      <c r="G27" s="320"/>
      <c r="H27" s="320"/>
      <c r="I27" s="320"/>
      <c r="J27" s="320"/>
      <c r="K27" s="124"/>
      <c r="L27" s="124"/>
      <c r="M27" s="317"/>
      <c r="N27" s="119" t="s">
        <v>617</v>
      </c>
      <c r="O27" s="317"/>
      <c r="P27" s="311"/>
      <c r="Q27" s="311"/>
      <c r="R27" s="309"/>
      <c r="S27" s="309"/>
      <c r="T27" s="309"/>
      <c r="U27" s="310"/>
      <c r="V27" s="310"/>
      <c r="W27" s="310"/>
      <c r="X27" s="161"/>
      <c r="Y27" s="244"/>
      <c r="Z27" s="244"/>
      <c r="AA27" s="111"/>
      <c r="AB27" s="210"/>
    </row>
    <row r="28" ht="37.5" customHeight="1">
      <c r="A28" s="110">
        <v>10.0</v>
      </c>
      <c r="B28" s="320"/>
      <c r="C28" s="320"/>
      <c r="D28" s="320"/>
      <c r="E28" s="320"/>
      <c r="F28" s="320"/>
      <c r="G28" s="320"/>
      <c r="H28" s="320"/>
      <c r="I28" s="320"/>
      <c r="J28" s="320"/>
      <c r="K28" s="124"/>
      <c r="L28" s="124"/>
      <c r="M28" s="317"/>
      <c r="N28" s="317"/>
      <c r="O28" s="317"/>
      <c r="P28" s="311"/>
      <c r="Q28" s="311"/>
      <c r="R28" s="317"/>
      <c r="S28" s="317"/>
      <c r="T28" s="317"/>
      <c r="U28" s="310"/>
      <c r="V28" s="317"/>
      <c r="W28" s="310"/>
      <c r="X28" s="310"/>
      <c r="Y28" s="311"/>
      <c r="Z28" s="311"/>
      <c r="AA28" s="111"/>
      <c r="AB28" s="210"/>
    </row>
    <row r="29" ht="37.5" customHeight="1">
      <c r="A29" s="110">
        <v>11.0</v>
      </c>
      <c r="B29" s="320"/>
      <c r="C29" s="320"/>
      <c r="D29" s="320"/>
      <c r="E29" s="320"/>
      <c r="F29" s="320"/>
      <c r="G29" s="320"/>
      <c r="H29" s="320"/>
      <c r="I29" s="320"/>
      <c r="J29" s="320"/>
      <c r="K29" s="124"/>
      <c r="L29" s="124"/>
      <c r="M29" s="317"/>
      <c r="N29" s="311"/>
      <c r="O29" s="311"/>
      <c r="P29" s="129"/>
      <c r="Q29" s="129"/>
      <c r="R29" s="317"/>
      <c r="S29" s="317"/>
      <c r="T29" s="309"/>
      <c r="U29" s="310"/>
      <c r="V29" s="310"/>
      <c r="W29" s="310"/>
      <c r="X29" s="310"/>
      <c r="Y29" s="311"/>
      <c r="Z29" s="311"/>
      <c r="AA29" s="164"/>
      <c r="AB29" s="210"/>
    </row>
    <row r="30" ht="37.5" customHeight="1">
      <c r="A30" s="110">
        <v>12.0</v>
      </c>
      <c r="B30" s="124"/>
      <c r="C30" s="124"/>
      <c r="D30" s="124"/>
      <c r="E30" s="124"/>
      <c r="F30" s="124"/>
      <c r="G30" s="124"/>
      <c r="H30" s="124"/>
      <c r="I30" s="124"/>
      <c r="J30" s="124"/>
      <c r="K30" s="124"/>
      <c r="L30" s="124"/>
      <c r="M30" s="314"/>
      <c r="N30" s="324"/>
      <c r="O30" s="129"/>
      <c r="P30" s="129"/>
      <c r="Q30" s="129"/>
      <c r="R30" s="129"/>
      <c r="S30" s="129"/>
      <c r="T30" s="129"/>
      <c r="U30" s="129"/>
      <c r="V30" s="129"/>
      <c r="W30" s="110"/>
      <c r="X30" s="320"/>
      <c r="Y30" s="129"/>
      <c r="Z30" s="129"/>
      <c r="AA30" s="111"/>
      <c r="AB30" s="210"/>
    </row>
    <row r="31" ht="37.5" customHeight="1">
      <c r="A31" s="110">
        <v>13.0</v>
      </c>
      <c r="B31" s="314"/>
      <c r="C31" s="314"/>
      <c r="D31" s="314"/>
      <c r="E31" s="314"/>
      <c r="F31" s="314"/>
      <c r="G31" s="314"/>
      <c r="H31" s="314"/>
      <c r="I31" s="314"/>
      <c r="J31" s="314"/>
      <c r="K31" s="118"/>
      <c r="L31" s="18"/>
      <c r="M31" s="314"/>
      <c r="N31" s="126"/>
      <c r="O31" s="118"/>
      <c r="P31" s="118"/>
      <c r="Q31" s="118"/>
      <c r="R31" s="118"/>
      <c r="S31" s="118"/>
      <c r="T31" s="118"/>
      <c r="U31" s="118"/>
      <c r="V31" s="118"/>
      <c r="W31" s="118"/>
      <c r="X31" s="325"/>
      <c r="Y31" s="326"/>
      <c r="Z31" s="326"/>
      <c r="AA31" s="111"/>
      <c r="AB31" s="210"/>
    </row>
    <row r="32" ht="37.5" customHeight="1">
      <c r="A32" s="110">
        <v>14.0</v>
      </c>
      <c r="B32" s="314"/>
      <c r="C32" s="314"/>
      <c r="D32" s="314"/>
      <c r="E32" s="314"/>
      <c r="F32" s="314"/>
      <c r="G32" s="314"/>
      <c r="H32" s="314"/>
      <c r="I32" s="314"/>
      <c r="J32" s="314"/>
      <c r="K32" s="118"/>
      <c r="L32" s="18"/>
      <c r="M32" s="314"/>
      <c r="N32" s="324"/>
      <c r="O32" s="118"/>
      <c r="P32" s="118"/>
      <c r="Q32" s="118"/>
      <c r="R32" s="118"/>
      <c r="S32" s="118"/>
      <c r="T32" s="118"/>
      <c r="U32" s="118"/>
      <c r="V32" s="118"/>
      <c r="W32" s="118"/>
      <c r="X32" s="325"/>
      <c r="Y32" s="111"/>
      <c r="Z32" s="111"/>
      <c r="AA32" s="111"/>
      <c r="AB32" s="210"/>
    </row>
    <row r="33" ht="37.5" customHeight="1">
      <c r="A33" s="110">
        <v>15.0</v>
      </c>
      <c r="B33" s="314"/>
      <c r="C33" s="314"/>
      <c r="D33" s="314"/>
      <c r="E33" s="314"/>
      <c r="F33" s="314"/>
      <c r="G33" s="314"/>
      <c r="H33" s="314"/>
      <c r="I33" s="314"/>
      <c r="J33" s="314"/>
      <c r="K33" s="118"/>
      <c r="L33" s="18"/>
      <c r="M33" s="314"/>
      <c r="N33" s="324"/>
      <c r="O33" s="126"/>
      <c r="P33" s="126"/>
      <c r="Q33" s="126"/>
      <c r="R33" s="126"/>
      <c r="S33" s="126"/>
      <c r="T33" s="126"/>
      <c r="U33" s="126"/>
      <c r="V33" s="126"/>
      <c r="W33" s="126"/>
      <c r="X33" s="111"/>
      <c r="Y33" s="111"/>
      <c r="Z33" s="111"/>
      <c r="AA33" s="111"/>
      <c r="AB33" s="210"/>
    </row>
    <row r="34" ht="37.5" customHeight="1">
      <c r="A34" s="110">
        <v>16.0</v>
      </c>
      <c r="B34" s="314"/>
      <c r="C34" s="314"/>
      <c r="D34" s="314"/>
      <c r="E34" s="314"/>
      <c r="F34" s="314"/>
      <c r="G34" s="314"/>
      <c r="H34" s="314"/>
      <c r="I34" s="314"/>
      <c r="J34" s="314"/>
      <c r="K34" s="118"/>
      <c r="L34" s="18"/>
      <c r="M34" s="314"/>
      <c r="N34" s="23"/>
      <c r="O34" s="126"/>
      <c r="P34" s="126"/>
      <c r="Q34" s="126"/>
      <c r="R34" s="126"/>
      <c r="S34" s="126"/>
      <c r="T34" s="126"/>
      <c r="U34" s="126"/>
      <c r="V34" s="126"/>
      <c r="W34" s="126"/>
      <c r="X34" s="111"/>
      <c r="Y34" s="111"/>
      <c r="Z34" s="111"/>
      <c r="AA34" s="111"/>
      <c r="AB34" s="210"/>
    </row>
    <row r="35" ht="37.5" customHeight="1">
      <c r="A35" s="110">
        <v>17.0</v>
      </c>
      <c r="B35" s="118"/>
      <c r="C35" s="118"/>
      <c r="D35" s="118"/>
      <c r="E35" s="52"/>
      <c r="F35" s="52"/>
      <c r="G35" s="52"/>
      <c r="H35" s="52"/>
      <c r="I35" s="52"/>
      <c r="J35" s="52"/>
      <c r="K35" s="52"/>
      <c r="L35" s="18"/>
      <c r="M35" s="23"/>
      <c r="N35" s="23"/>
      <c r="O35" s="111"/>
      <c r="P35" s="111"/>
      <c r="Q35" s="111"/>
      <c r="R35" s="111"/>
      <c r="S35" s="111"/>
      <c r="T35" s="111"/>
      <c r="U35" s="111"/>
      <c r="V35" s="111"/>
      <c r="W35" s="111"/>
      <c r="X35" s="111"/>
      <c r="Y35" s="111"/>
      <c r="Z35" s="111"/>
      <c r="AA35" s="111"/>
      <c r="AB35" s="210"/>
    </row>
    <row r="36" ht="37.5" customHeight="1">
      <c r="A36" s="110">
        <v>18.0</v>
      </c>
      <c r="B36" s="118"/>
      <c r="C36" s="118"/>
      <c r="D36" s="118"/>
      <c r="E36" s="52"/>
      <c r="F36" s="52"/>
      <c r="G36" s="52"/>
      <c r="H36" s="52"/>
      <c r="I36" s="52"/>
      <c r="J36" s="52"/>
      <c r="K36" s="52"/>
      <c r="L36" s="18"/>
      <c r="M36" s="23"/>
      <c r="N36" s="324"/>
      <c r="O36" s="111"/>
      <c r="P36" s="111"/>
      <c r="Q36" s="111"/>
      <c r="R36" s="111"/>
      <c r="S36" s="111"/>
      <c r="T36" s="111"/>
      <c r="U36" s="111"/>
      <c r="V36" s="111"/>
      <c r="W36" s="111"/>
      <c r="X36" s="111"/>
      <c r="Y36" s="111"/>
      <c r="Z36" s="111"/>
      <c r="AA36" s="111"/>
      <c r="AB36" s="210"/>
    </row>
    <row r="37" ht="37.5" customHeight="1">
      <c r="A37" s="110">
        <v>19.0</v>
      </c>
      <c r="B37" s="118"/>
      <c r="C37" s="118"/>
      <c r="D37" s="118"/>
      <c r="E37" s="52"/>
      <c r="F37" s="52"/>
      <c r="G37" s="52"/>
      <c r="H37" s="52"/>
      <c r="I37" s="52"/>
      <c r="J37" s="52"/>
      <c r="K37" s="52"/>
      <c r="L37" s="18"/>
      <c r="M37" s="23"/>
      <c r="N37" s="324"/>
      <c r="O37" s="111"/>
      <c r="P37" s="111"/>
      <c r="Q37" s="111"/>
      <c r="R37" s="111"/>
      <c r="S37" s="111"/>
      <c r="T37" s="111"/>
      <c r="U37" s="111"/>
      <c r="V37" s="111"/>
      <c r="W37" s="111"/>
      <c r="X37" s="111"/>
      <c r="Y37" s="111"/>
      <c r="Z37" s="111"/>
      <c r="AA37" s="111"/>
      <c r="AB37" s="210"/>
    </row>
    <row r="38" ht="37.5" customHeight="1">
      <c r="A38" s="110">
        <v>20.0</v>
      </c>
      <c r="B38" s="118"/>
      <c r="C38" s="118"/>
      <c r="D38" s="118"/>
      <c r="E38" s="52"/>
      <c r="F38" s="52"/>
      <c r="G38" s="52"/>
      <c r="H38" s="52"/>
      <c r="I38" s="52"/>
      <c r="J38" s="52"/>
      <c r="K38" s="52"/>
      <c r="L38" s="18"/>
      <c r="M38" s="23"/>
      <c r="N38" s="324"/>
      <c r="O38" s="111"/>
      <c r="P38" s="111"/>
      <c r="Q38" s="111"/>
      <c r="R38" s="111"/>
      <c r="S38" s="111"/>
      <c r="T38" s="111"/>
      <c r="U38" s="111"/>
      <c r="V38" s="111"/>
      <c r="W38" s="111"/>
      <c r="X38" s="111"/>
      <c r="Y38" s="111"/>
      <c r="Z38" s="111"/>
      <c r="AA38" s="111"/>
      <c r="AB38" s="210"/>
    </row>
    <row r="39" ht="37.5" customHeight="1">
      <c r="A39" s="110">
        <v>21.0</v>
      </c>
      <c r="B39" s="118"/>
      <c r="C39" s="118"/>
      <c r="D39" s="118"/>
      <c r="E39" s="52"/>
      <c r="F39" s="52"/>
      <c r="G39" s="52"/>
      <c r="H39" s="52"/>
      <c r="I39" s="52"/>
      <c r="J39" s="52"/>
      <c r="K39" s="52"/>
      <c r="L39" s="18"/>
      <c r="M39" s="23"/>
      <c r="N39" s="324"/>
      <c r="O39" s="111"/>
      <c r="P39" s="111"/>
      <c r="Q39" s="111"/>
      <c r="R39" s="111"/>
      <c r="S39" s="111"/>
      <c r="T39" s="111"/>
      <c r="U39" s="111"/>
      <c r="V39" s="111"/>
      <c r="W39" s="111"/>
      <c r="X39" s="111"/>
      <c r="Y39" s="111"/>
      <c r="Z39" s="111"/>
      <c r="AA39" s="111"/>
      <c r="AB39" s="210"/>
    </row>
    <row r="40" ht="37.5" customHeight="1">
      <c r="A40" s="110">
        <v>22.0</v>
      </c>
      <c r="B40" s="118"/>
      <c r="C40" s="118"/>
      <c r="D40" s="118"/>
      <c r="E40" s="52"/>
      <c r="F40" s="52"/>
      <c r="G40" s="52"/>
      <c r="H40" s="52"/>
      <c r="I40" s="52"/>
      <c r="J40" s="52"/>
      <c r="K40" s="52"/>
      <c r="L40" s="18"/>
      <c r="M40" s="23"/>
      <c r="N40" s="324"/>
      <c r="O40" s="111"/>
      <c r="P40" s="111"/>
      <c r="Q40" s="111"/>
      <c r="R40" s="111"/>
      <c r="S40" s="111"/>
      <c r="T40" s="111"/>
      <c r="U40" s="111"/>
      <c r="V40" s="111"/>
      <c r="W40" s="111"/>
      <c r="X40" s="111"/>
      <c r="Y40" s="111"/>
      <c r="Z40" s="111"/>
      <c r="AA40" s="111"/>
      <c r="AB40" s="210"/>
    </row>
    <row r="41" ht="37.5" customHeight="1">
      <c r="A41" s="110">
        <v>23.0</v>
      </c>
      <c r="B41" s="118"/>
      <c r="C41" s="118"/>
      <c r="D41" s="118"/>
      <c r="E41" s="52"/>
      <c r="F41" s="52"/>
      <c r="G41" s="52"/>
      <c r="H41" s="52"/>
      <c r="I41" s="52"/>
      <c r="J41" s="52"/>
      <c r="K41" s="52"/>
      <c r="L41" s="18"/>
      <c r="M41" s="23"/>
      <c r="N41" s="324"/>
      <c r="O41" s="111"/>
      <c r="P41" s="111"/>
      <c r="Q41" s="111"/>
      <c r="R41" s="111"/>
      <c r="S41" s="111"/>
      <c r="T41" s="111"/>
      <c r="U41" s="111"/>
      <c r="V41" s="111"/>
      <c r="W41" s="111"/>
      <c r="X41" s="111"/>
      <c r="Y41" s="111"/>
      <c r="Z41" s="111"/>
      <c r="AA41" s="111"/>
      <c r="AB41" s="210"/>
    </row>
    <row r="42" ht="37.5" customHeight="1">
      <c r="A42" s="110">
        <v>24.0</v>
      </c>
      <c r="B42" s="118"/>
      <c r="C42" s="118"/>
      <c r="D42" s="118"/>
      <c r="E42" s="52"/>
      <c r="F42" s="52"/>
      <c r="G42" s="52"/>
      <c r="H42" s="52"/>
      <c r="I42" s="52"/>
      <c r="J42" s="52"/>
      <c r="K42" s="52"/>
      <c r="L42" s="18"/>
      <c r="M42" s="23"/>
      <c r="N42" s="324"/>
      <c r="O42" s="111"/>
      <c r="P42" s="111"/>
      <c r="Q42" s="111"/>
      <c r="R42" s="111"/>
      <c r="S42" s="111"/>
      <c r="T42" s="111"/>
      <c r="U42" s="111"/>
      <c r="V42" s="111"/>
      <c r="W42" s="111"/>
      <c r="X42" s="111"/>
      <c r="Y42" s="111"/>
      <c r="Z42" s="111"/>
      <c r="AA42" s="111"/>
      <c r="AB42" s="210"/>
    </row>
    <row r="43" ht="37.5" customHeight="1">
      <c r="A43" s="110">
        <v>25.0</v>
      </c>
      <c r="B43" s="118"/>
      <c r="C43" s="118"/>
      <c r="D43" s="118"/>
      <c r="E43" s="52"/>
      <c r="F43" s="52"/>
      <c r="G43" s="52"/>
      <c r="H43" s="52"/>
      <c r="I43" s="52"/>
      <c r="J43" s="52"/>
      <c r="K43" s="52"/>
      <c r="L43" s="18"/>
      <c r="M43" s="23"/>
      <c r="N43" s="324"/>
      <c r="O43" s="111"/>
      <c r="P43" s="111"/>
      <c r="Q43" s="111"/>
      <c r="R43" s="111"/>
      <c r="S43" s="111"/>
      <c r="T43" s="111"/>
      <c r="U43" s="111"/>
      <c r="V43" s="111"/>
      <c r="W43" s="111"/>
      <c r="X43" s="111"/>
      <c r="Y43" s="111"/>
      <c r="Z43" s="111"/>
      <c r="AA43" s="111"/>
      <c r="AB43" s="210"/>
    </row>
    <row r="44" ht="37.5" customHeight="1">
      <c r="A44" s="110">
        <v>26.0</v>
      </c>
      <c r="B44" s="118"/>
      <c r="C44" s="118"/>
      <c r="D44" s="118"/>
      <c r="E44" s="52"/>
      <c r="F44" s="52"/>
      <c r="G44" s="52"/>
      <c r="H44" s="52"/>
      <c r="I44" s="52"/>
      <c r="J44" s="52"/>
      <c r="K44" s="52"/>
      <c r="L44" s="18"/>
      <c r="M44" s="23"/>
      <c r="N44" s="324"/>
      <c r="O44" s="111"/>
      <c r="P44" s="111"/>
      <c r="Q44" s="111"/>
      <c r="R44" s="111"/>
      <c r="S44" s="111"/>
      <c r="T44" s="111"/>
      <c r="U44" s="111"/>
      <c r="V44" s="111"/>
      <c r="W44" s="111"/>
      <c r="X44" s="111"/>
      <c r="Y44" s="111"/>
      <c r="Z44" s="111"/>
      <c r="AA44" s="111"/>
      <c r="AB44" s="210"/>
    </row>
    <row r="45" ht="37.5" customHeight="1">
      <c r="A45" s="110">
        <v>27.0</v>
      </c>
      <c r="B45" s="118"/>
      <c r="C45" s="118"/>
      <c r="D45" s="118"/>
      <c r="E45" s="52"/>
      <c r="F45" s="52"/>
      <c r="G45" s="52"/>
      <c r="H45" s="52"/>
      <c r="I45" s="52"/>
      <c r="J45" s="52"/>
      <c r="K45" s="52"/>
      <c r="L45" s="18"/>
      <c r="M45" s="23"/>
      <c r="N45" s="23"/>
      <c r="O45" s="111"/>
      <c r="P45" s="111"/>
      <c r="Q45" s="111"/>
      <c r="R45" s="111"/>
      <c r="S45" s="111"/>
      <c r="T45" s="111"/>
      <c r="U45" s="111"/>
      <c r="V45" s="111"/>
      <c r="W45" s="111"/>
      <c r="X45" s="111"/>
      <c r="Y45" s="111"/>
      <c r="Z45" s="111"/>
      <c r="AA45" s="111"/>
      <c r="AB45" s="210"/>
    </row>
    <row r="46" ht="37.5" customHeight="1">
      <c r="A46" s="110">
        <v>28.0</v>
      </c>
      <c r="B46" s="118"/>
      <c r="C46" s="118"/>
      <c r="D46" s="118"/>
      <c r="E46" s="52"/>
      <c r="F46" s="52"/>
      <c r="G46" s="52"/>
      <c r="H46" s="52"/>
      <c r="I46" s="52"/>
      <c r="J46" s="52"/>
      <c r="K46" s="327"/>
      <c r="L46" s="51"/>
      <c r="M46" s="23"/>
      <c r="N46" s="23"/>
      <c r="O46" s="111"/>
      <c r="P46" s="111"/>
      <c r="Q46" s="111"/>
      <c r="R46" s="111"/>
      <c r="S46" s="111"/>
      <c r="T46" s="111"/>
      <c r="U46" s="111"/>
      <c r="V46" s="111"/>
      <c r="W46" s="111"/>
      <c r="X46" s="111"/>
      <c r="Y46" s="111"/>
      <c r="Z46" s="111"/>
      <c r="AA46" s="111"/>
      <c r="AB46" s="210"/>
    </row>
    <row r="47" ht="37.5" customHeight="1">
      <c r="A47" s="110">
        <v>29.0</v>
      </c>
      <c r="B47" s="118"/>
      <c r="C47" s="118"/>
      <c r="D47" s="118"/>
      <c r="E47" s="52"/>
      <c r="F47" s="52"/>
      <c r="G47" s="52"/>
      <c r="H47" s="52"/>
      <c r="I47" s="52"/>
      <c r="J47" s="52"/>
      <c r="K47" s="328"/>
      <c r="L47" s="111"/>
      <c r="M47" s="23"/>
      <c r="N47" s="23"/>
      <c r="O47" s="111"/>
      <c r="P47" s="111"/>
      <c r="Q47" s="111"/>
      <c r="R47" s="329"/>
      <c r="S47" s="329"/>
      <c r="T47" s="329"/>
      <c r="U47" s="329"/>
      <c r="V47" s="329"/>
      <c r="W47" s="329"/>
      <c r="X47" s="329"/>
      <c r="Y47" s="111"/>
      <c r="Z47" s="111"/>
      <c r="AA47" s="111"/>
      <c r="AB47" s="210"/>
    </row>
    <row r="48" ht="37.5" customHeight="1">
      <c r="A48" s="110">
        <v>30.0</v>
      </c>
      <c r="B48" s="118"/>
      <c r="C48" s="118"/>
      <c r="D48" s="118"/>
      <c r="E48" s="52"/>
      <c r="F48" s="52"/>
      <c r="G48" s="52"/>
      <c r="H48" s="52"/>
      <c r="I48" s="52"/>
      <c r="J48" s="52"/>
      <c r="K48" s="328"/>
      <c r="L48" s="111"/>
      <c r="M48" s="23"/>
      <c r="N48" s="23"/>
      <c r="O48" s="329"/>
      <c r="P48" s="329"/>
      <c r="Q48" s="329"/>
      <c r="R48" s="329"/>
      <c r="S48" s="329"/>
      <c r="T48" s="329"/>
      <c r="U48" s="329"/>
      <c r="V48" s="329"/>
      <c r="W48" s="329"/>
      <c r="X48" s="329"/>
      <c r="Y48" s="111"/>
      <c r="Z48" s="111"/>
      <c r="AA48" s="111"/>
      <c r="AB48" s="210"/>
    </row>
    <row r="49" ht="37.5" customHeight="1">
      <c r="A49" s="110">
        <v>31.0</v>
      </c>
      <c r="B49" s="118"/>
      <c r="C49" s="118"/>
      <c r="D49" s="118"/>
      <c r="E49" s="52"/>
      <c r="F49" s="52"/>
      <c r="G49" s="52"/>
      <c r="H49" s="52"/>
      <c r="I49" s="52"/>
      <c r="J49" s="52"/>
      <c r="K49" s="309"/>
      <c r="L49" s="161"/>
      <c r="M49" s="23"/>
      <c r="N49" s="23"/>
      <c r="O49" s="19"/>
      <c r="P49" s="19"/>
      <c r="Q49" s="19"/>
      <c r="R49" s="111"/>
      <c r="S49" s="111"/>
      <c r="T49" s="111"/>
      <c r="U49" s="111"/>
      <c r="V49" s="111"/>
      <c r="W49" s="111"/>
      <c r="X49" s="111"/>
      <c r="Y49" s="111"/>
      <c r="Z49" s="111"/>
      <c r="AA49" s="111"/>
      <c r="AB49" s="210"/>
    </row>
    <row r="50" ht="48.0" customHeight="1">
      <c r="K50" s="330"/>
      <c r="L50" s="330"/>
      <c r="M50" s="330"/>
      <c r="N50" s="331"/>
      <c r="O50" s="332"/>
      <c r="P50" s="330"/>
      <c r="Q50" s="333" t="s">
        <v>618</v>
      </c>
      <c r="R50" s="41" t="s">
        <v>619</v>
      </c>
      <c r="V50" s="330"/>
      <c r="Z50" s="330"/>
      <c r="AA50" s="330"/>
    </row>
    <row r="51" ht="37.5" customHeight="1">
      <c r="A51" s="334"/>
      <c r="B51" s="330"/>
      <c r="C51" s="330"/>
      <c r="D51" s="330"/>
      <c r="E51" s="330"/>
      <c r="F51" s="330"/>
      <c r="G51" s="330"/>
      <c r="H51" s="330"/>
      <c r="I51" s="330"/>
      <c r="J51" s="330"/>
      <c r="K51" s="330"/>
      <c r="L51" s="330"/>
      <c r="M51" s="330"/>
      <c r="N51" s="331"/>
      <c r="O51" s="332"/>
      <c r="P51" s="330"/>
      <c r="Q51" s="330"/>
      <c r="V51" s="330"/>
    </row>
    <row r="52" ht="37.5" customHeight="1">
      <c r="A52" s="334"/>
      <c r="B52" s="330"/>
      <c r="C52" s="330"/>
      <c r="D52" s="330"/>
      <c r="E52" s="330"/>
      <c r="F52" s="330"/>
      <c r="G52" s="330"/>
      <c r="H52" s="330"/>
      <c r="I52" s="330"/>
      <c r="J52" s="330"/>
      <c r="K52" s="330"/>
      <c r="L52" s="330"/>
      <c r="M52" s="330"/>
      <c r="N52" s="331"/>
      <c r="O52" s="332"/>
      <c r="P52" s="330"/>
      <c r="Q52" s="330"/>
      <c r="V52" s="330"/>
    </row>
    <row r="53" ht="50.25" customHeight="1">
      <c r="A53" s="334"/>
      <c r="B53" s="330"/>
      <c r="C53" s="330"/>
      <c r="D53" s="330"/>
      <c r="E53" s="330"/>
      <c r="F53" s="330"/>
      <c r="G53" s="330"/>
      <c r="H53" s="330"/>
      <c r="I53" s="330"/>
      <c r="J53" s="330"/>
      <c r="K53" s="330"/>
      <c r="L53" s="330"/>
      <c r="M53" s="330"/>
      <c r="N53" s="331"/>
      <c r="O53" s="330"/>
      <c r="P53" s="330"/>
      <c r="Q53" s="330"/>
      <c r="V53" s="330"/>
    </row>
    <row r="54" ht="37.5" customHeight="1">
      <c r="A54" s="209"/>
      <c r="B54" s="330"/>
      <c r="C54" s="330"/>
      <c r="D54" s="330"/>
      <c r="E54" s="330"/>
      <c r="F54" s="330"/>
      <c r="G54" s="330"/>
      <c r="H54" s="330"/>
      <c r="I54" s="330"/>
      <c r="J54" s="330"/>
      <c r="K54" s="330"/>
      <c r="L54" s="330"/>
      <c r="M54" s="330"/>
      <c r="N54" s="330"/>
      <c r="O54" s="330"/>
      <c r="P54" s="330"/>
      <c r="Q54" s="330"/>
      <c r="V54" s="330"/>
    </row>
    <row r="55">
      <c r="A55" s="209"/>
      <c r="B55" s="330"/>
      <c r="C55" s="330"/>
      <c r="D55" s="330"/>
      <c r="E55" s="330"/>
      <c r="F55" s="330"/>
      <c r="G55" s="330"/>
      <c r="H55" s="330"/>
      <c r="I55" s="330"/>
      <c r="J55" s="330"/>
      <c r="K55" s="330"/>
      <c r="L55" s="330"/>
      <c r="M55" s="330"/>
      <c r="N55" s="330"/>
      <c r="O55" s="330"/>
      <c r="P55" s="330"/>
      <c r="Q55" s="330"/>
      <c r="V55" s="330"/>
    </row>
    <row r="56">
      <c r="A56" s="209"/>
      <c r="B56" s="330"/>
      <c r="C56" s="330"/>
      <c r="D56" s="330"/>
      <c r="E56" s="330"/>
      <c r="F56" s="330"/>
      <c r="G56" s="330"/>
      <c r="H56" s="330"/>
      <c r="I56" s="330"/>
      <c r="J56" s="330"/>
      <c r="K56" s="330"/>
      <c r="L56" s="330"/>
      <c r="M56" s="330"/>
      <c r="N56" s="330"/>
      <c r="O56" s="330"/>
      <c r="P56" s="330"/>
      <c r="Q56" s="330"/>
      <c r="R56" s="330"/>
      <c r="S56" s="330"/>
      <c r="T56" s="330"/>
      <c r="U56" s="330"/>
      <c r="V56" s="330"/>
      <c r="W56" s="330"/>
      <c r="X56" s="330"/>
      <c r="Y56" s="330"/>
      <c r="Z56" s="330"/>
      <c r="AA56" s="330"/>
      <c r="AB56" s="210"/>
    </row>
    <row r="57">
      <c r="A57" s="209"/>
      <c r="B57" s="330"/>
      <c r="C57" s="330"/>
      <c r="D57" s="330"/>
      <c r="E57" s="330"/>
      <c r="F57" s="330"/>
      <c r="G57" s="330"/>
      <c r="H57" s="330"/>
      <c r="I57" s="330"/>
      <c r="J57" s="330"/>
      <c r="K57" s="330"/>
      <c r="L57" s="330"/>
      <c r="M57" s="330"/>
      <c r="N57" s="330"/>
      <c r="O57" s="330"/>
      <c r="P57" s="330"/>
      <c r="Q57" s="330"/>
      <c r="R57" s="330"/>
      <c r="S57" s="330"/>
      <c r="T57" s="330"/>
      <c r="U57" s="330"/>
      <c r="V57" s="330"/>
      <c r="W57" s="330"/>
      <c r="X57" s="330"/>
      <c r="Y57" s="330"/>
      <c r="Z57" s="330"/>
      <c r="AA57" s="330"/>
      <c r="AB57" s="210"/>
    </row>
    <row r="58">
      <c r="A58" s="209"/>
      <c r="B58" s="330"/>
      <c r="C58" s="330"/>
      <c r="D58" s="330"/>
      <c r="E58" s="330"/>
      <c r="F58" s="330"/>
      <c r="G58" s="330"/>
      <c r="H58" s="330"/>
      <c r="I58" s="330"/>
      <c r="J58" s="330"/>
      <c r="K58" s="330"/>
      <c r="L58" s="330"/>
      <c r="M58" s="330"/>
      <c r="N58" s="330"/>
      <c r="O58" s="330"/>
      <c r="P58" s="330"/>
      <c r="Q58" s="330"/>
      <c r="R58" s="330"/>
      <c r="S58" s="330"/>
      <c r="T58" s="330"/>
      <c r="U58" s="330"/>
      <c r="V58" s="330"/>
      <c r="W58" s="330"/>
      <c r="X58" s="330"/>
      <c r="Y58" s="330"/>
      <c r="Z58" s="330"/>
      <c r="AA58" s="330"/>
      <c r="AB58" s="210"/>
    </row>
    <row r="59">
      <c r="A59" s="209"/>
      <c r="B59" s="330"/>
      <c r="C59" s="330"/>
      <c r="D59" s="330"/>
      <c r="E59" s="330"/>
      <c r="F59" s="330"/>
      <c r="G59" s="330"/>
      <c r="H59" s="330"/>
      <c r="I59" s="330"/>
      <c r="J59" s="330"/>
      <c r="K59" s="330"/>
      <c r="L59" s="330"/>
      <c r="M59" s="330"/>
      <c r="N59" s="330"/>
      <c r="O59" s="330"/>
      <c r="P59" s="330"/>
      <c r="Q59" s="330"/>
      <c r="R59" s="330"/>
      <c r="S59" s="330"/>
      <c r="T59" s="330"/>
      <c r="U59" s="330"/>
      <c r="V59" s="330"/>
      <c r="W59" s="330"/>
      <c r="X59" s="330"/>
      <c r="Y59" s="330"/>
      <c r="Z59" s="330"/>
      <c r="AA59" s="330"/>
      <c r="AB59" s="210"/>
    </row>
    <row r="60">
      <c r="A60" s="209"/>
      <c r="B60" s="330"/>
      <c r="C60" s="330"/>
      <c r="D60" s="330"/>
      <c r="E60" s="330"/>
      <c r="F60" s="330"/>
      <c r="G60" s="330"/>
      <c r="H60" s="330"/>
      <c r="I60" s="330"/>
      <c r="J60" s="330"/>
      <c r="K60" s="330"/>
      <c r="L60" s="330"/>
      <c r="M60" s="330"/>
      <c r="N60" s="330"/>
      <c r="O60" s="330"/>
      <c r="P60" s="330"/>
      <c r="Q60" s="330"/>
      <c r="R60" s="330"/>
      <c r="S60" s="330"/>
      <c r="T60" s="330"/>
      <c r="U60" s="330"/>
      <c r="V60" s="330"/>
      <c r="W60" s="330"/>
      <c r="X60" s="330"/>
      <c r="Y60" s="330"/>
      <c r="Z60" s="330"/>
      <c r="AA60" s="330"/>
      <c r="AB60" s="210"/>
    </row>
    <row r="61">
      <c r="A61" s="209"/>
      <c r="B61" s="330"/>
      <c r="C61" s="330"/>
      <c r="D61" s="330"/>
      <c r="E61" s="330"/>
      <c r="F61" s="330"/>
      <c r="G61" s="330"/>
      <c r="H61" s="330"/>
      <c r="I61" s="330"/>
      <c r="J61" s="330"/>
      <c r="K61" s="330"/>
      <c r="L61" s="330"/>
      <c r="M61" s="330"/>
      <c r="N61" s="330"/>
      <c r="O61" s="330"/>
      <c r="P61" s="330"/>
      <c r="Q61" s="330"/>
      <c r="R61" s="330"/>
      <c r="S61" s="330"/>
      <c r="T61" s="330"/>
      <c r="U61" s="330"/>
      <c r="V61" s="330"/>
      <c r="W61" s="330"/>
      <c r="X61" s="330"/>
      <c r="Y61" s="330"/>
      <c r="Z61" s="330"/>
      <c r="AA61" s="330"/>
      <c r="AB61" s="210"/>
    </row>
    <row r="62">
      <c r="A62" s="209"/>
      <c r="B62" s="330"/>
      <c r="C62" s="330"/>
      <c r="D62" s="330"/>
      <c r="E62" s="330"/>
      <c r="F62" s="330"/>
      <c r="G62" s="330"/>
      <c r="H62" s="330"/>
      <c r="I62" s="330"/>
      <c r="J62" s="330"/>
      <c r="K62" s="330"/>
      <c r="L62" s="330"/>
      <c r="M62" s="330"/>
      <c r="N62" s="330"/>
      <c r="O62" s="330"/>
      <c r="P62" s="330"/>
      <c r="Q62" s="330"/>
      <c r="R62" s="330"/>
      <c r="S62" s="330"/>
      <c r="T62" s="330"/>
      <c r="U62" s="330"/>
      <c r="V62" s="330"/>
      <c r="W62" s="330"/>
      <c r="X62" s="330"/>
      <c r="Y62" s="330"/>
      <c r="Z62" s="330"/>
      <c r="AA62" s="330"/>
      <c r="AB62" s="210"/>
    </row>
    <row r="63">
      <c r="A63" s="209"/>
      <c r="B63" s="330"/>
      <c r="C63" s="330"/>
      <c r="D63" s="330"/>
      <c r="E63" s="330"/>
      <c r="F63" s="330"/>
      <c r="G63" s="330"/>
      <c r="H63" s="330"/>
      <c r="I63" s="330"/>
      <c r="J63" s="330"/>
      <c r="K63" s="330"/>
      <c r="L63" s="330"/>
      <c r="M63" s="330"/>
      <c r="N63" s="330"/>
      <c r="O63" s="330"/>
      <c r="P63" s="330"/>
      <c r="Q63" s="330"/>
      <c r="R63" s="330"/>
      <c r="S63" s="330"/>
      <c r="T63" s="330"/>
      <c r="U63" s="330"/>
      <c r="V63" s="330"/>
      <c r="W63" s="330"/>
      <c r="X63" s="330"/>
      <c r="Y63" s="330"/>
      <c r="Z63" s="330"/>
      <c r="AA63" s="330"/>
      <c r="AB63" s="210"/>
    </row>
    <row r="64">
      <c r="A64" s="209"/>
      <c r="B64" s="330"/>
      <c r="C64" s="330"/>
      <c r="D64" s="330"/>
      <c r="E64" s="330"/>
      <c r="F64" s="330"/>
      <c r="G64" s="330"/>
      <c r="H64" s="330"/>
      <c r="I64" s="330"/>
      <c r="J64" s="330"/>
      <c r="K64" s="330"/>
      <c r="L64" s="330"/>
      <c r="M64" s="330"/>
      <c r="N64" s="330"/>
      <c r="O64" s="330"/>
      <c r="P64" s="330"/>
      <c r="Q64" s="330"/>
      <c r="R64" s="330"/>
      <c r="S64" s="330"/>
      <c r="T64" s="330"/>
      <c r="U64" s="330"/>
      <c r="V64" s="330"/>
      <c r="W64" s="330"/>
      <c r="X64" s="330"/>
      <c r="Y64" s="330"/>
      <c r="Z64" s="330"/>
      <c r="AA64" s="330"/>
      <c r="AB64" s="210"/>
    </row>
    <row r="65">
      <c r="A65" s="209"/>
      <c r="B65" s="330"/>
      <c r="C65" s="330"/>
      <c r="D65" s="330"/>
      <c r="E65" s="330"/>
      <c r="F65" s="330"/>
      <c r="G65" s="330"/>
      <c r="H65" s="330"/>
      <c r="I65" s="330"/>
      <c r="J65" s="330"/>
      <c r="K65" s="330"/>
      <c r="L65" s="330"/>
      <c r="M65" s="330"/>
      <c r="N65" s="330"/>
      <c r="O65" s="330"/>
      <c r="P65" s="330"/>
      <c r="Q65" s="330"/>
      <c r="R65" s="330"/>
      <c r="S65" s="330"/>
      <c r="T65" s="330"/>
      <c r="U65" s="330"/>
      <c r="V65" s="330"/>
      <c r="W65" s="330"/>
      <c r="X65" s="330"/>
      <c r="Y65" s="330"/>
      <c r="Z65" s="330"/>
      <c r="AA65" s="330"/>
      <c r="AB65" s="210"/>
    </row>
    <row r="66">
      <c r="A66" s="209"/>
      <c r="B66" s="330"/>
      <c r="C66" s="330"/>
      <c r="D66" s="330"/>
      <c r="E66" s="330"/>
      <c r="F66" s="330"/>
      <c r="G66" s="330"/>
      <c r="H66" s="330"/>
      <c r="I66" s="330"/>
      <c r="J66" s="330"/>
      <c r="K66" s="330"/>
      <c r="L66" s="330"/>
      <c r="M66" s="330"/>
      <c r="N66" s="330"/>
      <c r="O66" s="330"/>
      <c r="P66" s="330"/>
      <c r="Q66" s="330"/>
      <c r="R66" s="330"/>
      <c r="S66" s="330"/>
      <c r="T66" s="330"/>
      <c r="U66" s="330"/>
      <c r="V66" s="330"/>
      <c r="W66" s="330"/>
      <c r="X66" s="330"/>
      <c r="Y66" s="330"/>
      <c r="Z66" s="330"/>
      <c r="AA66" s="330"/>
      <c r="AB66" s="210"/>
    </row>
    <row r="67">
      <c r="A67" s="209"/>
      <c r="B67" s="330"/>
      <c r="C67" s="330"/>
      <c r="D67" s="330"/>
      <c r="E67" s="330"/>
      <c r="F67" s="330"/>
      <c r="G67" s="330"/>
      <c r="H67" s="330"/>
      <c r="I67" s="330"/>
      <c r="J67" s="330"/>
      <c r="K67" s="330"/>
      <c r="L67" s="330"/>
      <c r="M67" s="330"/>
      <c r="N67" s="330"/>
      <c r="O67" s="330"/>
      <c r="P67" s="330"/>
      <c r="Q67" s="330"/>
      <c r="R67" s="330"/>
      <c r="S67" s="330"/>
      <c r="T67" s="330"/>
      <c r="U67" s="330"/>
      <c r="V67" s="330"/>
      <c r="W67" s="330"/>
      <c r="X67" s="330"/>
      <c r="Y67" s="330"/>
      <c r="Z67" s="330"/>
      <c r="AA67" s="330"/>
      <c r="AB67" s="210"/>
    </row>
    <row r="68">
      <c r="A68" s="209"/>
      <c r="B68" s="330"/>
      <c r="C68" s="330"/>
      <c r="D68" s="330"/>
      <c r="E68" s="330"/>
      <c r="F68" s="330"/>
      <c r="G68" s="330"/>
      <c r="H68" s="330"/>
      <c r="I68" s="330"/>
      <c r="J68" s="330"/>
      <c r="K68" s="330"/>
      <c r="L68" s="330"/>
      <c r="M68" s="330"/>
      <c r="N68" s="330"/>
      <c r="O68" s="330"/>
      <c r="P68" s="330"/>
      <c r="Q68" s="330"/>
      <c r="R68" s="330"/>
      <c r="S68" s="330"/>
      <c r="T68" s="330"/>
      <c r="U68" s="330"/>
      <c r="V68" s="330"/>
      <c r="W68" s="330"/>
      <c r="X68" s="330"/>
      <c r="Y68" s="330"/>
      <c r="Z68" s="330"/>
      <c r="AA68" s="330"/>
      <c r="AB68" s="210"/>
    </row>
    <row r="69">
      <c r="A69" s="209"/>
      <c r="B69" s="330"/>
      <c r="C69" s="330"/>
      <c r="D69" s="330"/>
      <c r="E69" s="330"/>
      <c r="F69" s="330"/>
      <c r="G69" s="330"/>
      <c r="H69" s="330"/>
      <c r="I69" s="330"/>
      <c r="J69" s="330"/>
      <c r="K69" s="330"/>
      <c r="L69" s="330"/>
      <c r="M69" s="330"/>
      <c r="N69" s="330"/>
      <c r="O69" s="330"/>
      <c r="P69" s="330"/>
      <c r="Q69" s="330"/>
      <c r="R69" s="330"/>
      <c r="S69" s="330"/>
      <c r="T69" s="330"/>
      <c r="U69" s="330"/>
      <c r="V69" s="330"/>
      <c r="W69" s="330"/>
      <c r="X69" s="330"/>
      <c r="Y69" s="330"/>
      <c r="Z69" s="330"/>
      <c r="AA69" s="330"/>
      <c r="AB69" s="210"/>
    </row>
    <row r="70">
      <c r="A70" s="209"/>
      <c r="B70" s="330"/>
      <c r="C70" s="330"/>
      <c r="D70" s="330"/>
      <c r="E70" s="330"/>
      <c r="F70" s="330"/>
      <c r="G70" s="330"/>
      <c r="H70" s="330"/>
      <c r="I70" s="330"/>
      <c r="J70" s="330"/>
      <c r="K70" s="330"/>
      <c r="L70" s="330"/>
      <c r="M70" s="330"/>
      <c r="N70" s="330"/>
      <c r="O70" s="330"/>
      <c r="P70" s="330"/>
      <c r="Q70" s="330"/>
      <c r="R70" s="330"/>
      <c r="S70" s="330"/>
      <c r="T70" s="330"/>
      <c r="U70" s="330"/>
      <c r="V70" s="330"/>
      <c r="W70" s="330"/>
      <c r="X70" s="330"/>
      <c r="Y70" s="330"/>
      <c r="Z70" s="330"/>
      <c r="AA70" s="330"/>
      <c r="AB70" s="210"/>
    </row>
    <row r="71">
      <c r="A71" s="209"/>
      <c r="B71" s="330"/>
      <c r="C71" s="330"/>
      <c r="D71" s="330"/>
      <c r="E71" s="330"/>
      <c r="F71" s="330"/>
      <c r="G71" s="330"/>
      <c r="H71" s="330"/>
      <c r="I71" s="330"/>
      <c r="J71" s="330"/>
      <c r="K71" s="330"/>
      <c r="L71" s="330"/>
      <c r="M71" s="330"/>
      <c r="N71" s="330"/>
      <c r="O71" s="330"/>
      <c r="P71" s="330"/>
      <c r="Q71" s="330"/>
      <c r="R71" s="330"/>
      <c r="S71" s="330"/>
      <c r="T71" s="330"/>
      <c r="U71" s="330"/>
      <c r="V71" s="330"/>
      <c r="W71" s="330"/>
      <c r="X71" s="330"/>
      <c r="Y71" s="330"/>
      <c r="Z71" s="330"/>
      <c r="AA71" s="330"/>
      <c r="AB71" s="210"/>
    </row>
    <row r="72">
      <c r="A72" s="209"/>
      <c r="B72" s="330"/>
      <c r="C72" s="330"/>
      <c r="D72" s="330"/>
      <c r="E72" s="330"/>
      <c r="F72" s="330"/>
      <c r="G72" s="330"/>
      <c r="H72" s="330"/>
      <c r="I72" s="330"/>
      <c r="J72" s="330"/>
      <c r="K72" s="330"/>
      <c r="L72" s="330"/>
      <c r="M72" s="330"/>
      <c r="N72" s="330"/>
      <c r="O72" s="330"/>
      <c r="P72" s="330"/>
      <c r="Q72" s="330"/>
      <c r="R72" s="330"/>
      <c r="S72" s="330"/>
      <c r="T72" s="330"/>
      <c r="U72" s="330"/>
      <c r="V72" s="330"/>
      <c r="W72" s="330"/>
      <c r="X72" s="330"/>
      <c r="Y72" s="330"/>
      <c r="Z72" s="330"/>
      <c r="AA72" s="330"/>
      <c r="AB72" s="210"/>
    </row>
    <row r="73">
      <c r="A73" s="209"/>
      <c r="B73" s="330"/>
      <c r="C73" s="330"/>
      <c r="D73" s="330"/>
      <c r="E73" s="330"/>
      <c r="F73" s="330"/>
      <c r="G73" s="330"/>
      <c r="H73" s="330"/>
      <c r="I73" s="330"/>
      <c r="J73" s="330"/>
      <c r="K73" s="330"/>
      <c r="L73" s="330"/>
      <c r="M73" s="330"/>
      <c r="N73" s="330"/>
      <c r="O73" s="330"/>
      <c r="P73" s="330"/>
      <c r="Q73" s="330"/>
      <c r="R73" s="330"/>
      <c r="S73" s="330"/>
      <c r="T73" s="330"/>
      <c r="U73" s="330"/>
      <c r="V73" s="330"/>
      <c r="W73" s="330"/>
      <c r="X73" s="330"/>
      <c r="Y73" s="330"/>
      <c r="Z73" s="330"/>
      <c r="AA73" s="330"/>
      <c r="AB73" s="210"/>
    </row>
    <row r="74">
      <c r="A74" s="209"/>
      <c r="B74" s="330"/>
      <c r="C74" s="330"/>
      <c r="D74" s="330"/>
      <c r="E74" s="330"/>
      <c r="F74" s="330"/>
      <c r="G74" s="330"/>
      <c r="H74" s="330"/>
      <c r="I74" s="330"/>
      <c r="J74" s="330"/>
      <c r="K74" s="330"/>
      <c r="L74" s="330"/>
      <c r="M74" s="330"/>
      <c r="N74" s="330"/>
      <c r="O74" s="330"/>
      <c r="P74" s="330"/>
      <c r="Q74" s="330"/>
      <c r="R74" s="330"/>
      <c r="S74" s="330"/>
      <c r="T74" s="330"/>
      <c r="U74" s="330"/>
      <c r="V74" s="330"/>
      <c r="W74" s="330"/>
      <c r="X74" s="330"/>
      <c r="Y74" s="330"/>
      <c r="Z74" s="330"/>
      <c r="AA74" s="330"/>
      <c r="AB74" s="210"/>
    </row>
    <row r="75">
      <c r="A75" s="209"/>
      <c r="B75" s="330"/>
      <c r="C75" s="330"/>
      <c r="D75" s="330"/>
      <c r="E75" s="330"/>
      <c r="F75" s="330"/>
      <c r="G75" s="330"/>
      <c r="H75" s="330"/>
      <c r="I75" s="330"/>
      <c r="J75" s="330"/>
      <c r="K75" s="330"/>
      <c r="L75" s="330"/>
      <c r="M75" s="330"/>
      <c r="N75" s="330"/>
      <c r="O75" s="330"/>
      <c r="P75" s="330"/>
      <c r="Q75" s="330"/>
      <c r="R75" s="330"/>
      <c r="S75" s="330"/>
      <c r="T75" s="330"/>
      <c r="U75" s="330"/>
      <c r="V75" s="330"/>
      <c r="W75" s="330"/>
      <c r="X75" s="330"/>
      <c r="Y75" s="330"/>
      <c r="Z75" s="330"/>
      <c r="AA75" s="330"/>
      <c r="AB75" s="210"/>
    </row>
    <row r="76">
      <c r="A76" s="209"/>
      <c r="B76" s="330"/>
      <c r="C76" s="330"/>
      <c r="D76" s="330"/>
      <c r="E76" s="330"/>
      <c r="F76" s="330"/>
      <c r="G76" s="330"/>
      <c r="H76" s="330"/>
      <c r="I76" s="330"/>
      <c r="J76" s="330"/>
      <c r="K76" s="330"/>
      <c r="L76" s="330"/>
      <c r="M76" s="330"/>
      <c r="N76" s="330"/>
      <c r="O76" s="330"/>
      <c r="P76" s="330"/>
      <c r="Q76" s="330"/>
      <c r="R76" s="330"/>
      <c r="S76" s="330"/>
      <c r="T76" s="330"/>
      <c r="U76" s="330"/>
      <c r="V76" s="330"/>
      <c r="W76" s="330"/>
      <c r="X76" s="330"/>
      <c r="Y76" s="330"/>
      <c r="Z76" s="330"/>
      <c r="AA76" s="330"/>
      <c r="AB76" s="210"/>
    </row>
    <row r="77">
      <c r="A77" s="209"/>
      <c r="B77" s="330"/>
      <c r="C77" s="330"/>
      <c r="D77" s="330"/>
      <c r="E77" s="330"/>
      <c r="F77" s="330"/>
      <c r="G77" s="330"/>
      <c r="H77" s="330"/>
      <c r="I77" s="330"/>
      <c r="J77" s="330"/>
      <c r="K77" s="330"/>
      <c r="L77" s="330"/>
      <c r="M77" s="330"/>
      <c r="N77" s="330"/>
      <c r="O77" s="330"/>
      <c r="P77" s="330"/>
      <c r="Q77" s="330"/>
      <c r="R77" s="330"/>
      <c r="S77" s="330"/>
      <c r="T77" s="330"/>
      <c r="U77" s="330"/>
      <c r="V77" s="330"/>
      <c r="W77" s="330"/>
      <c r="X77" s="330"/>
      <c r="Y77" s="330"/>
      <c r="Z77" s="330"/>
      <c r="AA77" s="330"/>
      <c r="AB77" s="210"/>
    </row>
    <row r="78">
      <c r="A78" s="209"/>
      <c r="B78" s="330"/>
      <c r="C78" s="330"/>
      <c r="D78" s="330"/>
      <c r="E78" s="330"/>
      <c r="F78" s="330"/>
      <c r="G78" s="330"/>
      <c r="H78" s="330"/>
      <c r="I78" s="330"/>
      <c r="J78" s="330"/>
      <c r="K78" s="330"/>
      <c r="L78" s="330"/>
      <c r="M78" s="330"/>
      <c r="N78" s="330"/>
      <c r="O78" s="330"/>
      <c r="P78" s="330"/>
      <c r="Q78" s="330"/>
      <c r="R78" s="330"/>
      <c r="S78" s="330"/>
      <c r="T78" s="330"/>
      <c r="U78" s="330"/>
      <c r="V78" s="330"/>
      <c r="W78" s="330"/>
      <c r="X78" s="330"/>
      <c r="Y78" s="330"/>
      <c r="Z78" s="330"/>
      <c r="AA78" s="330"/>
      <c r="AB78" s="210"/>
    </row>
    <row r="79">
      <c r="A79" s="209"/>
      <c r="B79" s="330"/>
      <c r="C79" s="330"/>
      <c r="D79" s="330"/>
      <c r="E79" s="330"/>
      <c r="F79" s="330"/>
      <c r="G79" s="330"/>
      <c r="H79" s="330"/>
      <c r="I79" s="330"/>
      <c r="J79" s="330"/>
      <c r="K79" s="330"/>
      <c r="L79" s="330"/>
      <c r="M79" s="330"/>
      <c r="N79" s="330"/>
      <c r="O79" s="330"/>
      <c r="P79" s="330"/>
      <c r="Q79" s="330"/>
      <c r="R79" s="330"/>
      <c r="S79" s="330"/>
      <c r="T79" s="330"/>
      <c r="U79" s="330"/>
      <c r="V79" s="330"/>
      <c r="W79" s="330"/>
      <c r="X79" s="330"/>
      <c r="Y79" s="330"/>
      <c r="Z79" s="330"/>
      <c r="AA79" s="330"/>
      <c r="AB79" s="210"/>
    </row>
    <row r="80">
      <c r="A80" s="209"/>
      <c r="B80" s="330"/>
      <c r="C80" s="330"/>
      <c r="D80" s="330"/>
      <c r="E80" s="330"/>
      <c r="F80" s="330"/>
      <c r="G80" s="330"/>
      <c r="H80" s="330"/>
      <c r="I80" s="330"/>
      <c r="J80" s="330"/>
      <c r="K80" s="330"/>
      <c r="L80" s="330"/>
      <c r="M80" s="330"/>
      <c r="N80" s="330"/>
      <c r="O80" s="330"/>
      <c r="P80" s="330"/>
      <c r="Q80" s="330"/>
      <c r="R80" s="330"/>
      <c r="S80" s="330"/>
      <c r="T80" s="330"/>
      <c r="U80" s="330"/>
      <c r="V80" s="330"/>
      <c r="W80" s="330"/>
      <c r="X80" s="330"/>
      <c r="Y80" s="330"/>
      <c r="Z80" s="330"/>
      <c r="AA80" s="330"/>
      <c r="AB80" s="210"/>
    </row>
    <row r="81">
      <c r="A81" s="209"/>
      <c r="B81" s="330"/>
      <c r="C81" s="330"/>
      <c r="D81" s="330"/>
      <c r="E81" s="330"/>
      <c r="F81" s="330"/>
      <c r="G81" s="330"/>
      <c r="H81" s="330"/>
      <c r="I81" s="330"/>
      <c r="J81" s="330"/>
      <c r="K81" s="330"/>
      <c r="L81" s="330"/>
      <c r="M81" s="330"/>
      <c r="N81" s="330"/>
      <c r="O81" s="330"/>
      <c r="P81" s="330"/>
      <c r="Q81" s="330"/>
      <c r="R81" s="330"/>
      <c r="S81" s="330"/>
      <c r="T81" s="330"/>
      <c r="U81" s="330"/>
      <c r="V81" s="330"/>
      <c r="W81" s="330"/>
      <c r="X81" s="330"/>
      <c r="Y81" s="330"/>
      <c r="Z81" s="330"/>
      <c r="AA81" s="330"/>
      <c r="AB81" s="210"/>
    </row>
    <row r="82">
      <c r="A82" s="209"/>
      <c r="B82" s="330"/>
      <c r="C82" s="330"/>
      <c r="D82" s="330"/>
      <c r="E82" s="330"/>
      <c r="F82" s="330"/>
      <c r="G82" s="330"/>
      <c r="H82" s="330"/>
      <c r="I82" s="330"/>
      <c r="J82" s="330"/>
      <c r="K82" s="330"/>
      <c r="L82" s="330"/>
      <c r="M82" s="330"/>
      <c r="N82" s="330"/>
      <c r="O82" s="330"/>
      <c r="P82" s="330"/>
      <c r="Q82" s="330"/>
      <c r="R82" s="330"/>
      <c r="S82" s="330"/>
      <c r="T82" s="330"/>
      <c r="U82" s="330"/>
      <c r="V82" s="330"/>
      <c r="W82" s="330"/>
      <c r="X82" s="330"/>
      <c r="Y82" s="330"/>
      <c r="Z82" s="330"/>
      <c r="AA82" s="330"/>
      <c r="AB82" s="210"/>
    </row>
    <row r="83">
      <c r="A83" s="209"/>
      <c r="B83" s="330"/>
      <c r="C83" s="330"/>
      <c r="D83" s="330"/>
      <c r="E83" s="330"/>
      <c r="F83" s="330"/>
      <c r="G83" s="330"/>
      <c r="H83" s="330"/>
      <c r="I83" s="330"/>
      <c r="J83" s="330"/>
      <c r="K83" s="330"/>
      <c r="L83" s="330"/>
      <c r="M83" s="330"/>
      <c r="N83" s="330"/>
      <c r="O83" s="330"/>
      <c r="P83" s="330"/>
      <c r="Q83" s="330"/>
      <c r="R83" s="330"/>
      <c r="S83" s="330"/>
      <c r="T83" s="330"/>
      <c r="U83" s="330"/>
      <c r="V83" s="330"/>
      <c r="W83" s="330"/>
      <c r="X83" s="330"/>
      <c r="Y83" s="330"/>
      <c r="Z83" s="330"/>
      <c r="AA83" s="330"/>
      <c r="AB83" s="210"/>
    </row>
    <row r="84">
      <c r="A84" s="209"/>
      <c r="B84" s="330"/>
      <c r="C84" s="330"/>
      <c r="D84" s="330"/>
      <c r="E84" s="330"/>
      <c r="F84" s="330"/>
      <c r="G84" s="330"/>
      <c r="H84" s="330"/>
      <c r="I84" s="330"/>
      <c r="J84" s="330"/>
      <c r="K84" s="330"/>
      <c r="L84" s="330"/>
      <c r="M84" s="330"/>
      <c r="N84" s="330"/>
      <c r="O84" s="330"/>
      <c r="P84" s="330"/>
      <c r="Q84" s="330"/>
      <c r="R84" s="330"/>
      <c r="S84" s="330"/>
      <c r="T84" s="330"/>
      <c r="U84" s="330"/>
      <c r="V84" s="330"/>
      <c r="W84" s="330"/>
      <c r="X84" s="330"/>
      <c r="Y84" s="330"/>
      <c r="Z84" s="330"/>
      <c r="AA84" s="330"/>
      <c r="AB84" s="210"/>
    </row>
    <row r="85">
      <c r="A85" s="209"/>
      <c r="B85" s="330"/>
      <c r="C85" s="330"/>
      <c r="D85" s="330"/>
      <c r="E85" s="330"/>
      <c r="F85" s="330"/>
      <c r="G85" s="330"/>
      <c r="H85" s="330"/>
      <c r="I85" s="330"/>
      <c r="J85" s="330"/>
      <c r="K85" s="330"/>
      <c r="L85" s="330"/>
      <c r="M85" s="330"/>
      <c r="N85" s="330"/>
      <c r="O85" s="330"/>
      <c r="P85" s="330"/>
      <c r="Q85" s="330"/>
      <c r="R85" s="330"/>
      <c r="S85" s="330"/>
      <c r="T85" s="330"/>
      <c r="U85" s="330"/>
      <c r="V85" s="330"/>
      <c r="W85" s="330"/>
      <c r="X85" s="330"/>
      <c r="Y85" s="330"/>
      <c r="Z85" s="330"/>
      <c r="AA85" s="330"/>
      <c r="AB85" s="210"/>
    </row>
    <row r="86">
      <c r="A86" s="209"/>
      <c r="B86" s="330"/>
      <c r="C86" s="330"/>
      <c r="D86" s="330"/>
      <c r="E86" s="330"/>
      <c r="F86" s="330"/>
      <c r="G86" s="330"/>
      <c r="H86" s="330"/>
      <c r="I86" s="330"/>
      <c r="J86" s="330"/>
      <c r="K86" s="330"/>
      <c r="L86" s="330"/>
      <c r="M86" s="330"/>
      <c r="N86" s="330"/>
      <c r="O86" s="330"/>
      <c r="P86" s="330"/>
      <c r="Q86" s="330"/>
      <c r="R86" s="330"/>
      <c r="S86" s="330"/>
      <c r="T86" s="330"/>
      <c r="U86" s="330"/>
      <c r="V86" s="330"/>
      <c r="W86" s="330"/>
      <c r="X86" s="330"/>
      <c r="Y86" s="330"/>
      <c r="Z86" s="330"/>
      <c r="AA86" s="330"/>
      <c r="AB86" s="210"/>
    </row>
    <row r="87">
      <c r="A87" s="209"/>
      <c r="B87" s="330"/>
      <c r="C87" s="330"/>
      <c r="D87" s="330"/>
      <c r="E87" s="330"/>
      <c r="F87" s="330"/>
      <c r="G87" s="330"/>
      <c r="H87" s="330"/>
      <c r="I87" s="330"/>
      <c r="J87" s="330"/>
      <c r="K87" s="330"/>
      <c r="L87" s="330"/>
      <c r="M87" s="330"/>
      <c r="N87" s="330"/>
      <c r="O87" s="330"/>
      <c r="P87" s="330"/>
      <c r="Q87" s="330"/>
      <c r="R87" s="330"/>
      <c r="S87" s="330"/>
      <c r="T87" s="330"/>
      <c r="U87" s="330"/>
      <c r="V87" s="330"/>
      <c r="W87" s="330"/>
      <c r="X87" s="330"/>
      <c r="Y87" s="330"/>
      <c r="Z87" s="330"/>
      <c r="AA87" s="330"/>
      <c r="AB87" s="210"/>
    </row>
    <row r="88">
      <c r="A88" s="209"/>
      <c r="B88" s="330"/>
      <c r="C88" s="330"/>
      <c r="D88" s="330"/>
      <c r="E88" s="330"/>
      <c r="F88" s="330"/>
      <c r="G88" s="330"/>
      <c r="H88" s="330"/>
      <c r="I88" s="330"/>
      <c r="J88" s="330"/>
      <c r="K88" s="330"/>
      <c r="L88" s="330"/>
      <c r="M88" s="330"/>
      <c r="N88" s="330"/>
      <c r="O88" s="330"/>
      <c r="P88" s="330"/>
      <c r="Q88" s="330"/>
      <c r="R88" s="330"/>
      <c r="S88" s="330"/>
      <c r="T88" s="330"/>
      <c r="U88" s="330"/>
      <c r="V88" s="330"/>
      <c r="W88" s="330"/>
      <c r="X88" s="330"/>
      <c r="Y88" s="330"/>
      <c r="Z88" s="330"/>
      <c r="AA88" s="330"/>
      <c r="AB88" s="210"/>
    </row>
    <row r="89">
      <c r="A89" s="209"/>
      <c r="B89" s="330"/>
      <c r="C89" s="330"/>
      <c r="D89" s="330"/>
      <c r="E89" s="330"/>
      <c r="F89" s="330"/>
      <c r="G89" s="330"/>
      <c r="H89" s="330"/>
      <c r="I89" s="330"/>
      <c r="J89" s="330"/>
      <c r="K89" s="330"/>
      <c r="L89" s="330"/>
      <c r="M89" s="330"/>
      <c r="N89" s="330"/>
      <c r="O89" s="330"/>
      <c r="P89" s="330"/>
      <c r="Q89" s="330"/>
      <c r="R89" s="330"/>
      <c r="S89" s="330"/>
      <c r="T89" s="330"/>
      <c r="U89" s="330"/>
      <c r="V89" s="330"/>
      <c r="W89" s="330"/>
      <c r="X89" s="330"/>
      <c r="Y89" s="330"/>
      <c r="Z89" s="330"/>
      <c r="AA89" s="330"/>
      <c r="AB89" s="210"/>
    </row>
    <row r="90">
      <c r="A90" s="209"/>
      <c r="B90" s="330"/>
      <c r="C90" s="330"/>
      <c r="D90" s="330"/>
      <c r="E90" s="330"/>
      <c r="F90" s="330"/>
      <c r="G90" s="330"/>
      <c r="H90" s="330"/>
      <c r="I90" s="330"/>
      <c r="J90" s="330"/>
      <c r="K90" s="330"/>
      <c r="L90" s="330"/>
      <c r="M90" s="330"/>
      <c r="N90" s="330"/>
      <c r="O90" s="330"/>
      <c r="P90" s="330"/>
      <c r="Q90" s="330"/>
      <c r="R90" s="330"/>
      <c r="S90" s="330"/>
      <c r="T90" s="330"/>
      <c r="U90" s="330"/>
      <c r="V90" s="330"/>
      <c r="W90" s="330"/>
      <c r="X90" s="330"/>
      <c r="Y90" s="330"/>
      <c r="Z90" s="330"/>
      <c r="AA90" s="330"/>
      <c r="AB90" s="210"/>
    </row>
    <row r="91">
      <c r="A91" s="209"/>
      <c r="B91" s="330"/>
      <c r="C91" s="330"/>
      <c r="D91" s="330"/>
      <c r="E91" s="330"/>
      <c r="F91" s="330"/>
      <c r="G91" s="330"/>
      <c r="H91" s="330"/>
      <c r="I91" s="330"/>
      <c r="J91" s="330"/>
      <c r="K91" s="330"/>
      <c r="L91" s="330"/>
      <c r="M91" s="330"/>
      <c r="N91" s="330"/>
      <c r="O91" s="330"/>
      <c r="P91" s="330"/>
      <c r="Q91" s="330"/>
      <c r="R91" s="330"/>
      <c r="S91" s="330"/>
      <c r="T91" s="330"/>
      <c r="U91" s="330"/>
      <c r="V91" s="330"/>
      <c r="W91" s="330"/>
      <c r="X91" s="330"/>
      <c r="Y91" s="330"/>
      <c r="Z91" s="330"/>
      <c r="AA91" s="330"/>
      <c r="AB91" s="210"/>
    </row>
    <row r="92">
      <c r="A92" s="209"/>
      <c r="B92" s="330"/>
      <c r="C92" s="330"/>
      <c r="D92" s="330"/>
      <c r="E92" s="330"/>
      <c r="F92" s="330"/>
      <c r="G92" s="330"/>
      <c r="H92" s="330"/>
      <c r="I92" s="330"/>
      <c r="J92" s="330"/>
      <c r="K92" s="330"/>
      <c r="L92" s="330"/>
      <c r="M92" s="330"/>
      <c r="N92" s="330"/>
      <c r="O92" s="330"/>
      <c r="P92" s="330"/>
      <c r="Q92" s="330"/>
      <c r="R92" s="330"/>
      <c r="S92" s="330"/>
      <c r="T92" s="330"/>
      <c r="U92" s="330"/>
      <c r="V92" s="330"/>
      <c r="W92" s="330"/>
      <c r="X92" s="330"/>
      <c r="Y92" s="330"/>
      <c r="Z92" s="330"/>
      <c r="AA92" s="330"/>
      <c r="AB92" s="210"/>
    </row>
    <row r="93">
      <c r="A93" s="209"/>
      <c r="B93" s="330"/>
      <c r="C93" s="330"/>
      <c r="D93" s="330"/>
      <c r="E93" s="330"/>
      <c r="F93" s="330"/>
      <c r="G93" s="330"/>
      <c r="H93" s="330"/>
      <c r="I93" s="330"/>
      <c r="J93" s="330"/>
      <c r="K93" s="330"/>
      <c r="L93" s="330"/>
      <c r="M93" s="330"/>
      <c r="N93" s="330"/>
      <c r="O93" s="330"/>
      <c r="P93" s="330"/>
      <c r="Q93" s="330"/>
      <c r="R93" s="330"/>
      <c r="S93" s="330"/>
      <c r="T93" s="330"/>
      <c r="U93" s="330"/>
      <c r="V93" s="330"/>
      <c r="W93" s="330"/>
      <c r="X93" s="330"/>
      <c r="Y93" s="330"/>
      <c r="Z93" s="330"/>
      <c r="AA93" s="330"/>
      <c r="AB93" s="210"/>
    </row>
    <row r="94">
      <c r="A94" s="209"/>
      <c r="B94" s="330"/>
      <c r="C94" s="330"/>
      <c r="D94" s="330"/>
      <c r="E94" s="330"/>
      <c r="F94" s="330"/>
      <c r="G94" s="330"/>
      <c r="H94" s="330"/>
      <c r="I94" s="330"/>
      <c r="J94" s="330"/>
      <c r="K94" s="330"/>
      <c r="L94" s="330"/>
      <c r="M94" s="330"/>
      <c r="N94" s="330"/>
      <c r="O94" s="330"/>
      <c r="P94" s="330"/>
      <c r="Q94" s="330"/>
      <c r="R94" s="330"/>
      <c r="S94" s="330"/>
      <c r="T94" s="330"/>
      <c r="U94" s="330"/>
      <c r="V94" s="330"/>
      <c r="W94" s="330"/>
      <c r="X94" s="330"/>
      <c r="Y94" s="330"/>
      <c r="Z94" s="330"/>
      <c r="AA94" s="330"/>
      <c r="AB94" s="210"/>
    </row>
    <row r="95">
      <c r="A95" s="209"/>
      <c r="B95" s="330"/>
      <c r="C95" s="330"/>
      <c r="D95" s="330"/>
      <c r="E95" s="330"/>
      <c r="F95" s="330"/>
      <c r="G95" s="330"/>
      <c r="H95" s="330"/>
      <c r="I95" s="330"/>
      <c r="J95" s="330"/>
      <c r="K95" s="330"/>
      <c r="L95" s="330"/>
      <c r="M95" s="330"/>
      <c r="N95" s="330"/>
      <c r="O95" s="330"/>
      <c r="P95" s="330"/>
      <c r="Q95" s="330"/>
      <c r="R95" s="330"/>
      <c r="S95" s="330"/>
      <c r="T95" s="330"/>
      <c r="U95" s="330"/>
      <c r="V95" s="330"/>
      <c r="W95" s="330"/>
      <c r="X95" s="330"/>
      <c r="Y95" s="330"/>
      <c r="Z95" s="330"/>
      <c r="AA95" s="330"/>
      <c r="AB95" s="210"/>
    </row>
    <row r="96">
      <c r="A96" s="209"/>
      <c r="B96" s="330"/>
      <c r="C96" s="330"/>
      <c r="D96" s="330"/>
      <c r="E96" s="330"/>
      <c r="F96" s="330"/>
      <c r="G96" s="330"/>
      <c r="H96" s="330"/>
      <c r="I96" s="330"/>
      <c r="J96" s="330"/>
      <c r="K96" s="330"/>
      <c r="L96" s="330"/>
      <c r="M96" s="330"/>
      <c r="N96" s="330"/>
      <c r="O96" s="330"/>
      <c r="P96" s="330"/>
      <c r="Q96" s="330"/>
      <c r="R96" s="330"/>
      <c r="S96" s="330"/>
      <c r="T96" s="330"/>
      <c r="U96" s="330"/>
      <c r="V96" s="330"/>
      <c r="W96" s="330"/>
      <c r="X96" s="330"/>
      <c r="Y96" s="330"/>
      <c r="Z96" s="330"/>
      <c r="AA96" s="330"/>
      <c r="AB96" s="210"/>
    </row>
    <row r="97">
      <c r="A97" s="209"/>
      <c r="B97" s="330"/>
      <c r="C97" s="330"/>
      <c r="D97" s="330"/>
      <c r="E97" s="330"/>
      <c r="F97" s="330"/>
      <c r="G97" s="330"/>
      <c r="H97" s="330"/>
      <c r="I97" s="330"/>
      <c r="J97" s="330"/>
      <c r="K97" s="330"/>
      <c r="L97" s="330"/>
      <c r="M97" s="330"/>
      <c r="N97" s="330"/>
      <c r="O97" s="330"/>
      <c r="P97" s="330"/>
      <c r="Q97" s="330"/>
      <c r="R97" s="330"/>
      <c r="S97" s="330"/>
      <c r="T97" s="330"/>
      <c r="U97" s="330"/>
      <c r="V97" s="330"/>
      <c r="W97" s="330"/>
      <c r="X97" s="330"/>
      <c r="Y97" s="330"/>
      <c r="Z97" s="330"/>
      <c r="AA97" s="330"/>
      <c r="AB97" s="210"/>
    </row>
    <row r="98">
      <c r="A98" s="209"/>
      <c r="B98" s="330"/>
      <c r="C98" s="330"/>
      <c r="D98" s="330"/>
      <c r="E98" s="330"/>
      <c r="F98" s="330"/>
      <c r="G98" s="330"/>
      <c r="H98" s="330"/>
      <c r="I98" s="330"/>
      <c r="J98" s="330"/>
      <c r="K98" s="330"/>
      <c r="L98" s="330"/>
      <c r="M98" s="330"/>
      <c r="N98" s="330"/>
      <c r="O98" s="330"/>
      <c r="P98" s="330"/>
      <c r="Q98" s="330"/>
      <c r="R98" s="330"/>
      <c r="S98" s="330"/>
      <c r="T98" s="330"/>
      <c r="U98" s="330"/>
      <c r="V98" s="330"/>
      <c r="W98" s="330"/>
      <c r="X98" s="330"/>
      <c r="Y98" s="330"/>
      <c r="Z98" s="330"/>
      <c r="AA98" s="330"/>
      <c r="AB98" s="210"/>
    </row>
    <row r="99">
      <c r="A99" s="209"/>
      <c r="B99" s="330"/>
      <c r="C99" s="330"/>
      <c r="D99" s="330"/>
      <c r="E99" s="330"/>
      <c r="F99" s="330"/>
      <c r="G99" s="330"/>
      <c r="H99" s="330"/>
      <c r="I99" s="330"/>
      <c r="J99" s="330"/>
      <c r="K99" s="330"/>
      <c r="L99" s="330"/>
      <c r="M99" s="330"/>
      <c r="N99" s="330"/>
      <c r="O99" s="330"/>
      <c r="P99" s="330"/>
      <c r="Q99" s="330"/>
      <c r="R99" s="330"/>
      <c r="S99" s="330"/>
      <c r="T99" s="330"/>
      <c r="U99" s="330"/>
      <c r="V99" s="330"/>
      <c r="W99" s="330"/>
      <c r="X99" s="330"/>
      <c r="Y99" s="330"/>
      <c r="Z99" s="330"/>
      <c r="AA99" s="330"/>
      <c r="AB99" s="210"/>
    </row>
    <row r="100">
      <c r="A100" s="209"/>
      <c r="B100" s="330"/>
      <c r="C100" s="330"/>
      <c r="D100" s="330"/>
      <c r="E100" s="330"/>
      <c r="F100" s="330"/>
      <c r="G100" s="330"/>
      <c r="H100" s="330"/>
      <c r="I100" s="330"/>
      <c r="J100" s="330"/>
      <c r="K100" s="330"/>
      <c r="L100" s="330"/>
      <c r="M100" s="330"/>
      <c r="N100" s="330"/>
      <c r="O100" s="330"/>
      <c r="P100" s="330"/>
      <c r="Q100" s="330"/>
      <c r="R100" s="330"/>
      <c r="S100" s="330"/>
      <c r="T100" s="330"/>
      <c r="U100" s="330"/>
      <c r="V100" s="330"/>
      <c r="W100" s="330"/>
      <c r="X100" s="330"/>
      <c r="Y100" s="330"/>
      <c r="Z100" s="330"/>
      <c r="AA100" s="330"/>
      <c r="AB100" s="210"/>
    </row>
    <row r="101">
      <c r="A101" s="209"/>
      <c r="B101" s="330"/>
      <c r="C101" s="330"/>
      <c r="D101" s="330"/>
      <c r="E101" s="330"/>
      <c r="F101" s="330"/>
      <c r="G101" s="330"/>
      <c r="H101" s="330"/>
      <c r="I101" s="330"/>
      <c r="J101" s="330"/>
      <c r="K101" s="330"/>
      <c r="L101" s="330"/>
      <c r="M101" s="330"/>
      <c r="N101" s="330"/>
      <c r="O101" s="330"/>
      <c r="P101" s="330"/>
      <c r="Q101" s="330"/>
      <c r="R101" s="330"/>
      <c r="S101" s="330"/>
      <c r="T101" s="330"/>
      <c r="U101" s="330"/>
      <c r="V101" s="330"/>
      <c r="W101" s="330"/>
      <c r="X101" s="330"/>
      <c r="Y101" s="330"/>
      <c r="Z101" s="330"/>
      <c r="AA101" s="330"/>
      <c r="AB101" s="210"/>
    </row>
    <row r="102">
      <c r="A102" s="209"/>
      <c r="B102" s="330"/>
      <c r="C102" s="330"/>
      <c r="D102" s="330"/>
      <c r="E102" s="330"/>
      <c r="F102" s="330"/>
      <c r="G102" s="330"/>
      <c r="H102" s="330"/>
      <c r="I102" s="330"/>
      <c r="J102" s="330"/>
      <c r="K102" s="330"/>
      <c r="L102" s="330"/>
      <c r="M102" s="330"/>
      <c r="N102" s="330"/>
      <c r="O102" s="330"/>
      <c r="P102" s="330"/>
      <c r="Q102" s="330"/>
      <c r="R102" s="330"/>
      <c r="S102" s="330"/>
      <c r="T102" s="330"/>
      <c r="U102" s="330"/>
      <c r="V102" s="330"/>
      <c r="W102" s="330"/>
      <c r="X102" s="330"/>
      <c r="Y102" s="330"/>
      <c r="Z102" s="330"/>
      <c r="AA102" s="330"/>
      <c r="AB102" s="210"/>
    </row>
    <row r="103">
      <c r="A103" s="209"/>
      <c r="B103" s="330"/>
      <c r="C103" s="330"/>
      <c r="D103" s="330"/>
      <c r="E103" s="330"/>
      <c r="F103" s="330"/>
      <c r="G103" s="330"/>
      <c r="H103" s="330"/>
      <c r="I103" s="330"/>
      <c r="J103" s="330"/>
      <c r="K103" s="330"/>
      <c r="L103" s="330"/>
      <c r="M103" s="330"/>
      <c r="N103" s="330"/>
      <c r="O103" s="330"/>
      <c r="P103" s="330"/>
      <c r="Q103" s="330"/>
      <c r="R103" s="330"/>
      <c r="S103" s="330"/>
      <c r="T103" s="330"/>
      <c r="U103" s="330"/>
      <c r="V103" s="330"/>
      <c r="W103" s="330"/>
      <c r="X103" s="330"/>
      <c r="Y103" s="330"/>
      <c r="Z103" s="330"/>
      <c r="AA103" s="330"/>
      <c r="AB103" s="210"/>
    </row>
    <row r="104">
      <c r="A104" s="209"/>
      <c r="B104" s="330"/>
      <c r="C104" s="330"/>
      <c r="D104" s="330"/>
      <c r="E104" s="330"/>
      <c r="F104" s="330"/>
      <c r="G104" s="330"/>
      <c r="H104" s="330"/>
      <c r="I104" s="330"/>
      <c r="J104" s="330"/>
      <c r="K104" s="330"/>
      <c r="L104" s="330"/>
      <c r="M104" s="330"/>
      <c r="N104" s="330"/>
      <c r="O104" s="330"/>
      <c r="P104" s="330"/>
      <c r="Q104" s="330"/>
      <c r="R104" s="330"/>
      <c r="S104" s="330"/>
      <c r="T104" s="330"/>
      <c r="U104" s="330"/>
      <c r="V104" s="330"/>
      <c r="W104" s="330"/>
      <c r="X104" s="330"/>
      <c r="Y104" s="330"/>
      <c r="Z104" s="330"/>
      <c r="AA104" s="330"/>
      <c r="AB104" s="210"/>
    </row>
    <row r="105">
      <c r="A105" s="209"/>
      <c r="B105" s="330"/>
      <c r="C105" s="330"/>
      <c r="D105" s="330"/>
      <c r="E105" s="330"/>
      <c r="F105" s="330"/>
      <c r="G105" s="330"/>
      <c r="H105" s="330"/>
      <c r="I105" s="330"/>
      <c r="J105" s="330"/>
      <c r="K105" s="330"/>
      <c r="L105" s="330"/>
      <c r="M105" s="330"/>
      <c r="N105" s="330"/>
      <c r="O105" s="330"/>
      <c r="P105" s="330"/>
      <c r="Q105" s="330"/>
      <c r="R105" s="330"/>
      <c r="S105" s="330"/>
      <c r="T105" s="330"/>
      <c r="U105" s="330"/>
      <c r="V105" s="330"/>
      <c r="W105" s="330"/>
      <c r="X105" s="330"/>
      <c r="Y105" s="330"/>
      <c r="Z105" s="330"/>
      <c r="AA105" s="330"/>
      <c r="AB105" s="210"/>
    </row>
    <row r="106">
      <c r="A106" s="209"/>
      <c r="B106" s="330"/>
      <c r="C106" s="330"/>
      <c r="D106" s="330"/>
      <c r="E106" s="330"/>
      <c r="F106" s="330"/>
      <c r="G106" s="330"/>
      <c r="H106" s="330"/>
      <c r="I106" s="330"/>
      <c r="J106" s="330"/>
      <c r="K106" s="330"/>
      <c r="L106" s="330"/>
      <c r="M106" s="330"/>
      <c r="N106" s="330"/>
      <c r="O106" s="330"/>
      <c r="P106" s="330"/>
      <c r="Q106" s="330"/>
      <c r="R106" s="330"/>
      <c r="S106" s="330"/>
      <c r="T106" s="330"/>
      <c r="U106" s="330"/>
      <c r="V106" s="330"/>
      <c r="W106" s="330"/>
      <c r="X106" s="330"/>
      <c r="Y106" s="330"/>
      <c r="Z106" s="330"/>
      <c r="AA106" s="330"/>
      <c r="AB106" s="210"/>
    </row>
    <row r="107">
      <c r="A107" s="209"/>
      <c r="B107" s="330"/>
      <c r="C107" s="330"/>
      <c r="D107" s="330"/>
      <c r="E107" s="330"/>
      <c r="F107" s="330"/>
      <c r="G107" s="330"/>
      <c r="H107" s="330"/>
      <c r="I107" s="330"/>
      <c r="J107" s="330"/>
      <c r="K107" s="330"/>
      <c r="L107" s="330"/>
      <c r="M107" s="330"/>
      <c r="N107" s="330"/>
      <c r="O107" s="330"/>
      <c r="P107" s="330"/>
      <c r="Q107" s="330"/>
      <c r="R107" s="330"/>
      <c r="S107" s="330"/>
      <c r="T107" s="330"/>
      <c r="U107" s="330"/>
      <c r="V107" s="330"/>
      <c r="W107" s="330"/>
      <c r="X107" s="330"/>
      <c r="Y107" s="330"/>
      <c r="Z107" s="330"/>
      <c r="AA107" s="330"/>
      <c r="AB107" s="210"/>
    </row>
    <row r="108">
      <c r="A108" s="209"/>
      <c r="B108" s="330"/>
      <c r="C108" s="330"/>
      <c r="D108" s="330"/>
      <c r="E108" s="330"/>
      <c r="F108" s="330"/>
      <c r="G108" s="330"/>
      <c r="H108" s="330"/>
      <c r="I108" s="330"/>
      <c r="J108" s="330"/>
      <c r="K108" s="330"/>
      <c r="L108" s="330"/>
      <c r="M108" s="330"/>
      <c r="N108" s="330"/>
      <c r="O108" s="330"/>
      <c r="P108" s="330"/>
      <c r="Q108" s="330"/>
      <c r="R108" s="330"/>
      <c r="S108" s="330"/>
      <c r="T108" s="330"/>
      <c r="U108" s="330"/>
      <c r="V108" s="330"/>
      <c r="W108" s="330"/>
      <c r="X108" s="330"/>
      <c r="Y108" s="330"/>
      <c r="Z108" s="330"/>
      <c r="AA108" s="330"/>
      <c r="AB108" s="210"/>
    </row>
    <row r="109">
      <c r="A109" s="209"/>
      <c r="B109" s="330"/>
      <c r="C109" s="330"/>
      <c r="D109" s="330"/>
      <c r="E109" s="330"/>
      <c r="F109" s="330"/>
      <c r="G109" s="330"/>
      <c r="H109" s="330"/>
      <c r="I109" s="330"/>
      <c r="J109" s="330"/>
      <c r="K109" s="330"/>
      <c r="L109" s="330"/>
      <c r="M109" s="330"/>
      <c r="N109" s="330"/>
      <c r="O109" s="330"/>
      <c r="P109" s="330"/>
      <c r="Q109" s="330"/>
      <c r="R109" s="330"/>
      <c r="S109" s="330"/>
      <c r="T109" s="330"/>
      <c r="U109" s="330"/>
      <c r="V109" s="330"/>
      <c r="W109" s="330"/>
      <c r="X109" s="330"/>
      <c r="Y109" s="330"/>
      <c r="Z109" s="330"/>
      <c r="AA109" s="330"/>
      <c r="AB109" s="210"/>
    </row>
    <row r="110">
      <c r="A110" s="209"/>
      <c r="B110" s="330"/>
      <c r="C110" s="330"/>
      <c r="D110" s="330"/>
      <c r="E110" s="330"/>
      <c r="F110" s="330"/>
      <c r="G110" s="330"/>
      <c r="H110" s="330"/>
      <c r="I110" s="330"/>
      <c r="J110" s="330"/>
      <c r="K110" s="330"/>
      <c r="L110" s="330"/>
      <c r="M110" s="330"/>
      <c r="N110" s="330"/>
      <c r="O110" s="330"/>
      <c r="P110" s="330"/>
      <c r="Q110" s="330"/>
      <c r="R110" s="330"/>
      <c r="S110" s="330"/>
      <c r="T110" s="330"/>
      <c r="U110" s="330"/>
      <c r="V110" s="330"/>
      <c r="W110" s="330"/>
      <c r="X110" s="330"/>
      <c r="Y110" s="330"/>
      <c r="Z110" s="330"/>
      <c r="AA110" s="330"/>
      <c r="AB110" s="210"/>
    </row>
    <row r="111">
      <c r="A111" s="209"/>
      <c r="B111" s="330"/>
      <c r="C111" s="330"/>
      <c r="D111" s="330"/>
      <c r="E111" s="330"/>
      <c r="F111" s="330"/>
      <c r="G111" s="330"/>
      <c r="H111" s="330"/>
      <c r="I111" s="330"/>
      <c r="J111" s="330"/>
      <c r="K111" s="330"/>
      <c r="L111" s="330"/>
      <c r="M111" s="330"/>
      <c r="N111" s="330"/>
      <c r="O111" s="330"/>
      <c r="P111" s="330"/>
      <c r="Q111" s="330"/>
      <c r="R111" s="330"/>
      <c r="S111" s="330"/>
      <c r="T111" s="330"/>
      <c r="U111" s="330"/>
      <c r="V111" s="330"/>
      <c r="W111" s="330"/>
      <c r="X111" s="330"/>
      <c r="Y111" s="330"/>
      <c r="Z111" s="330"/>
      <c r="AA111" s="330"/>
      <c r="AB111" s="210"/>
    </row>
    <row r="112">
      <c r="A112" s="209"/>
      <c r="B112" s="330"/>
      <c r="C112" s="330"/>
      <c r="D112" s="330"/>
      <c r="E112" s="330"/>
      <c r="F112" s="330"/>
      <c r="G112" s="330"/>
      <c r="H112" s="330"/>
      <c r="I112" s="330"/>
      <c r="J112" s="330"/>
      <c r="K112" s="330"/>
      <c r="L112" s="330"/>
      <c r="M112" s="330"/>
      <c r="N112" s="330"/>
      <c r="O112" s="330"/>
      <c r="P112" s="330"/>
      <c r="Q112" s="330"/>
      <c r="R112" s="330"/>
      <c r="S112" s="330"/>
      <c r="T112" s="330"/>
      <c r="U112" s="330"/>
      <c r="V112" s="330"/>
      <c r="W112" s="330"/>
      <c r="X112" s="330"/>
      <c r="Y112" s="330"/>
      <c r="Z112" s="330"/>
      <c r="AA112" s="330"/>
      <c r="AB112" s="210"/>
    </row>
    <row r="113">
      <c r="A113" s="209"/>
      <c r="B113" s="330"/>
      <c r="C113" s="330"/>
      <c r="D113" s="330"/>
      <c r="E113" s="330"/>
      <c r="F113" s="330"/>
      <c r="G113" s="330"/>
      <c r="H113" s="330"/>
      <c r="I113" s="330"/>
      <c r="J113" s="330"/>
      <c r="K113" s="330"/>
      <c r="L113" s="330"/>
      <c r="M113" s="330"/>
      <c r="N113" s="330"/>
      <c r="O113" s="330"/>
      <c r="P113" s="330"/>
      <c r="Q113" s="330"/>
      <c r="R113" s="330"/>
      <c r="S113" s="330"/>
      <c r="T113" s="330"/>
      <c r="U113" s="330"/>
      <c r="V113" s="330"/>
      <c r="W113" s="330"/>
      <c r="X113" s="330"/>
      <c r="Y113" s="330"/>
      <c r="Z113" s="330"/>
      <c r="AA113" s="330"/>
      <c r="AB113" s="210"/>
    </row>
    <row r="114">
      <c r="A114" s="209"/>
      <c r="B114" s="330"/>
      <c r="C114" s="330"/>
      <c r="D114" s="330"/>
      <c r="E114" s="330"/>
      <c r="F114" s="330"/>
      <c r="G114" s="330"/>
      <c r="H114" s="330"/>
      <c r="I114" s="330"/>
      <c r="J114" s="330"/>
      <c r="K114" s="330"/>
      <c r="L114" s="330"/>
      <c r="M114" s="330"/>
      <c r="N114" s="330"/>
      <c r="O114" s="330"/>
      <c r="P114" s="330"/>
      <c r="Q114" s="330"/>
      <c r="R114" s="330"/>
      <c r="S114" s="330"/>
      <c r="T114" s="330"/>
      <c r="U114" s="330"/>
      <c r="V114" s="330"/>
      <c r="W114" s="330"/>
      <c r="X114" s="330"/>
      <c r="Y114" s="330"/>
      <c r="Z114" s="330"/>
      <c r="AA114" s="330"/>
      <c r="AB114" s="210"/>
    </row>
    <row r="115">
      <c r="A115" s="209"/>
      <c r="B115" s="330"/>
      <c r="C115" s="330"/>
      <c r="D115" s="330"/>
      <c r="E115" s="330"/>
      <c r="F115" s="330"/>
      <c r="G115" s="330"/>
      <c r="H115" s="330"/>
      <c r="I115" s="330"/>
      <c r="J115" s="330"/>
      <c r="K115" s="330"/>
      <c r="L115" s="330"/>
      <c r="M115" s="330"/>
      <c r="N115" s="330"/>
      <c r="O115" s="330"/>
      <c r="P115" s="330"/>
      <c r="Q115" s="330"/>
      <c r="R115" s="330"/>
      <c r="S115" s="330"/>
      <c r="T115" s="330"/>
      <c r="U115" s="330"/>
      <c r="V115" s="330"/>
      <c r="W115" s="330"/>
      <c r="X115" s="330"/>
      <c r="Y115" s="330"/>
      <c r="Z115" s="330"/>
      <c r="AA115" s="330"/>
      <c r="AB115" s="210"/>
    </row>
    <row r="116">
      <c r="A116" s="209"/>
      <c r="B116" s="330"/>
      <c r="C116" s="330"/>
      <c r="D116" s="330"/>
      <c r="E116" s="330"/>
      <c r="F116" s="330"/>
      <c r="G116" s="330"/>
      <c r="H116" s="330"/>
      <c r="I116" s="330"/>
      <c r="J116" s="330"/>
      <c r="K116" s="330"/>
      <c r="L116" s="330"/>
      <c r="M116" s="330"/>
      <c r="N116" s="330"/>
      <c r="O116" s="330"/>
      <c r="P116" s="330"/>
      <c r="Q116" s="330"/>
      <c r="R116" s="330"/>
      <c r="S116" s="330"/>
      <c r="T116" s="330"/>
      <c r="U116" s="330"/>
      <c r="V116" s="330"/>
      <c r="W116" s="330"/>
      <c r="X116" s="330"/>
      <c r="Y116" s="330"/>
      <c r="Z116" s="330"/>
      <c r="AA116" s="330"/>
      <c r="AB116" s="210"/>
    </row>
    <row r="117">
      <c r="A117" s="209"/>
      <c r="B117" s="330"/>
      <c r="C117" s="330"/>
      <c r="D117" s="330"/>
      <c r="E117" s="330"/>
      <c r="F117" s="330"/>
      <c r="G117" s="330"/>
      <c r="H117" s="330"/>
      <c r="I117" s="330"/>
      <c r="J117" s="330"/>
      <c r="K117" s="330"/>
      <c r="L117" s="330"/>
      <c r="M117" s="330"/>
      <c r="N117" s="330"/>
      <c r="O117" s="330"/>
      <c r="P117" s="330"/>
      <c r="Q117" s="330"/>
      <c r="R117" s="330"/>
      <c r="S117" s="330"/>
      <c r="T117" s="330"/>
      <c r="U117" s="330"/>
      <c r="V117" s="330"/>
      <c r="W117" s="330"/>
      <c r="X117" s="330"/>
      <c r="Y117" s="330"/>
      <c r="Z117" s="330"/>
      <c r="AA117" s="330"/>
      <c r="AB117" s="210"/>
    </row>
    <row r="118">
      <c r="A118" s="209"/>
      <c r="B118" s="330"/>
      <c r="C118" s="330"/>
      <c r="D118" s="330"/>
      <c r="E118" s="330"/>
      <c r="F118" s="330"/>
      <c r="G118" s="330"/>
      <c r="H118" s="330"/>
      <c r="I118" s="330"/>
      <c r="J118" s="330"/>
      <c r="K118" s="330"/>
      <c r="L118" s="330"/>
      <c r="M118" s="330"/>
      <c r="N118" s="330"/>
      <c r="O118" s="330"/>
      <c r="P118" s="330"/>
      <c r="Q118" s="330"/>
      <c r="R118" s="330"/>
      <c r="S118" s="330"/>
      <c r="T118" s="330"/>
      <c r="U118" s="330"/>
      <c r="V118" s="330"/>
      <c r="W118" s="330"/>
      <c r="X118" s="330"/>
      <c r="Y118" s="330"/>
      <c r="Z118" s="330"/>
      <c r="AA118" s="330"/>
      <c r="AB118" s="210"/>
    </row>
    <row r="119">
      <c r="A119" s="209"/>
      <c r="B119" s="330"/>
      <c r="C119" s="330"/>
      <c r="D119" s="330"/>
      <c r="E119" s="330"/>
      <c r="F119" s="330"/>
      <c r="G119" s="330"/>
      <c r="H119" s="330"/>
      <c r="I119" s="330"/>
      <c r="J119" s="330"/>
      <c r="K119" s="330"/>
      <c r="L119" s="330"/>
      <c r="M119" s="330"/>
      <c r="N119" s="330"/>
      <c r="O119" s="330"/>
      <c r="P119" s="330"/>
      <c r="Q119" s="330"/>
      <c r="R119" s="330"/>
      <c r="S119" s="330"/>
      <c r="T119" s="330"/>
      <c r="U119" s="330"/>
      <c r="V119" s="330"/>
      <c r="W119" s="330"/>
      <c r="X119" s="330"/>
      <c r="Y119" s="330"/>
      <c r="Z119" s="330"/>
      <c r="AA119" s="330"/>
      <c r="AB119" s="210"/>
    </row>
    <row r="120">
      <c r="A120" s="209"/>
      <c r="B120" s="330"/>
      <c r="C120" s="330"/>
      <c r="D120" s="330"/>
      <c r="E120" s="330"/>
      <c r="F120" s="330"/>
      <c r="G120" s="330"/>
      <c r="H120" s="330"/>
      <c r="I120" s="330"/>
      <c r="J120" s="330"/>
      <c r="K120" s="330"/>
      <c r="L120" s="330"/>
      <c r="M120" s="330"/>
      <c r="N120" s="330"/>
      <c r="O120" s="330"/>
      <c r="P120" s="330"/>
      <c r="Q120" s="330"/>
      <c r="R120" s="330"/>
      <c r="S120" s="330"/>
      <c r="T120" s="330"/>
      <c r="U120" s="330"/>
      <c r="V120" s="330"/>
      <c r="W120" s="330"/>
      <c r="X120" s="330"/>
      <c r="Y120" s="330"/>
      <c r="Z120" s="330"/>
      <c r="AA120" s="330"/>
      <c r="AB120" s="210"/>
    </row>
    <row r="121">
      <c r="A121" s="209"/>
      <c r="B121" s="330"/>
      <c r="C121" s="330"/>
      <c r="D121" s="330"/>
      <c r="E121" s="330"/>
      <c r="F121" s="330"/>
      <c r="G121" s="330"/>
      <c r="H121" s="330"/>
      <c r="I121" s="330"/>
      <c r="J121" s="330"/>
      <c r="K121" s="330"/>
      <c r="L121" s="330"/>
      <c r="M121" s="330"/>
      <c r="N121" s="330"/>
      <c r="O121" s="330"/>
      <c r="P121" s="330"/>
      <c r="Q121" s="330"/>
      <c r="R121" s="330"/>
      <c r="S121" s="330"/>
      <c r="T121" s="330"/>
      <c r="U121" s="330"/>
      <c r="V121" s="330"/>
      <c r="W121" s="330"/>
      <c r="X121" s="330"/>
      <c r="Y121" s="330"/>
      <c r="Z121" s="330"/>
      <c r="AA121" s="330"/>
      <c r="AB121" s="210"/>
    </row>
    <row r="122">
      <c r="A122" s="209"/>
      <c r="B122" s="330"/>
      <c r="C122" s="330"/>
      <c r="D122" s="330"/>
      <c r="E122" s="330"/>
      <c r="F122" s="330"/>
      <c r="G122" s="330"/>
      <c r="H122" s="330"/>
      <c r="I122" s="330"/>
      <c r="J122" s="330"/>
      <c r="K122" s="330"/>
      <c r="L122" s="330"/>
      <c r="M122" s="330"/>
      <c r="N122" s="330"/>
      <c r="O122" s="330"/>
      <c r="P122" s="330"/>
      <c r="Q122" s="330"/>
      <c r="R122" s="330"/>
      <c r="S122" s="330"/>
      <c r="T122" s="330"/>
      <c r="U122" s="330"/>
      <c r="V122" s="330"/>
      <c r="W122" s="330"/>
      <c r="X122" s="330"/>
      <c r="Y122" s="330"/>
      <c r="Z122" s="330"/>
      <c r="AA122" s="330"/>
      <c r="AB122" s="210"/>
    </row>
    <row r="123">
      <c r="A123" s="209"/>
      <c r="B123" s="330"/>
      <c r="C123" s="330"/>
      <c r="D123" s="330"/>
      <c r="E123" s="330"/>
      <c r="F123" s="330"/>
      <c r="G123" s="330"/>
      <c r="H123" s="330"/>
      <c r="I123" s="330"/>
      <c r="J123" s="330"/>
      <c r="K123" s="330"/>
      <c r="L123" s="330"/>
      <c r="M123" s="330"/>
      <c r="N123" s="330"/>
      <c r="O123" s="330"/>
      <c r="P123" s="330"/>
      <c r="Q123" s="330"/>
      <c r="R123" s="330"/>
      <c r="S123" s="330"/>
      <c r="T123" s="330"/>
      <c r="U123" s="330"/>
      <c r="V123" s="330"/>
      <c r="W123" s="330"/>
      <c r="X123" s="330"/>
      <c r="Y123" s="330"/>
      <c r="Z123" s="330"/>
      <c r="AA123" s="330"/>
      <c r="AB123" s="210"/>
    </row>
    <row r="124">
      <c r="A124" s="209"/>
      <c r="B124" s="330"/>
      <c r="C124" s="330"/>
      <c r="D124" s="330"/>
      <c r="E124" s="330"/>
      <c r="F124" s="330"/>
      <c r="G124" s="330"/>
      <c r="H124" s="330"/>
      <c r="I124" s="330"/>
      <c r="J124" s="330"/>
      <c r="K124" s="330"/>
      <c r="L124" s="330"/>
      <c r="M124" s="330"/>
      <c r="N124" s="330"/>
      <c r="O124" s="330"/>
      <c r="P124" s="330"/>
      <c r="Q124" s="330"/>
      <c r="R124" s="330"/>
      <c r="S124" s="330"/>
      <c r="T124" s="330"/>
      <c r="U124" s="330"/>
      <c r="V124" s="330"/>
      <c r="W124" s="330"/>
      <c r="X124" s="330"/>
      <c r="Y124" s="330"/>
      <c r="Z124" s="330"/>
      <c r="AA124" s="330"/>
      <c r="AB124" s="210"/>
    </row>
    <row r="125">
      <c r="A125" s="209"/>
      <c r="B125" s="330"/>
      <c r="C125" s="330"/>
      <c r="D125" s="330"/>
      <c r="E125" s="330"/>
      <c r="F125" s="330"/>
      <c r="G125" s="330"/>
      <c r="H125" s="330"/>
      <c r="I125" s="330"/>
      <c r="J125" s="330"/>
      <c r="K125" s="330"/>
      <c r="L125" s="330"/>
      <c r="M125" s="330"/>
      <c r="N125" s="330"/>
      <c r="O125" s="330"/>
      <c r="P125" s="330"/>
      <c r="Q125" s="330"/>
      <c r="R125" s="330"/>
      <c r="S125" s="330"/>
      <c r="T125" s="330"/>
      <c r="U125" s="330"/>
      <c r="V125" s="330"/>
      <c r="W125" s="330"/>
      <c r="X125" s="330"/>
      <c r="Y125" s="330"/>
      <c r="Z125" s="330"/>
      <c r="AA125" s="330"/>
      <c r="AB125" s="210"/>
    </row>
    <row r="126">
      <c r="A126" s="209"/>
      <c r="B126" s="330"/>
      <c r="C126" s="330"/>
      <c r="D126" s="330"/>
      <c r="E126" s="330"/>
      <c r="F126" s="330"/>
      <c r="G126" s="330"/>
      <c r="H126" s="330"/>
      <c r="I126" s="330"/>
      <c r="J126" s="330"/>
      <c r="K126" s="330"/>
      <c r="L126" s="330"/>
      <c r="M126" s="330"/>
      <c r="N126" s="330"/>
      <c r="O126" s="330"/>
      <c r="P126" s="330"/>
      <c r="Q126" s="330"/>
      <c r="R126" s="330"/>
      <c r="S126" s="330"/>
      <c r="T126" s="330"/>
      <c r="U126" s="330"/>
      <c r="V126" s="330"/>
      <c r="W126" s="330"/>
      <c r="X126" s="330"/>
      <c r="Y126" s="330"/>
      <c r="Z126" s="330"/>
      <c r="AA126" s="330"/>
      <c r="AB126" s="210"/>
    </row>
    <row r="127">
      <c r="A127" s="209"/>
      <c r="B127" s="330"/>
      <c r="C127" s="330"/>
      <c r="D127" s="330"/>
      <c r="E127" s="330"/>
      <c r="F127" s="330"/>
      <c r="G127" s="330"/>
      <c r="H127" s="330"/>
      <c r="I127" s="330"/>
      <c r="J127" s="330"/>
      <c r="K127" s="330"/>
      <c r="L127" s="330"/>
      <c r="M127" s="330"/>
      <c r="N127" s="330"/>
      <c r="O127" s="330"/>
      <c r="P127" s="330"/>
      <c r="Q127" s="330"/>
      <c r="R127" s="330"/>
      <c r="S127" s="330"/>
      <c r="T127" s="330"/>
      <c r="U127" s="330"/>
      <c r="V127" s="330"/>
      <c r="W127" s="330"/>
      <c r="X127" s="330"/>
      <c r="Y127" s="330"/>
      <c r="Z127" s="330"/>
      <c r="AA127" s="330"/>
      <c r="AB127" s="210"/>
    </row>
    <row r="128">
      <c r="A128" s="209"/>
      <c r="B128" s="330"/>
      <c r="C128" s="330"/>
      <c r="D128" s="330"/>
      <c r="E128" s="330"/>
      <c r="F128" s="330"/>
      <c r="G128" s="330"/>
      <c r="H128" s="330"/>
      <c r="I128" s="330"/>
      <c r="J128" s="330"/>
      <c r="K128" s="330"/>
      <c r="L128" s="330"/>
      <c r="M128" s="330"/>
      <c r="N128" s="330"/>
      <c r="O128" s="330"/>
      <c r="P128" s="330"/>
      <c r="Q128" s="330"/>
      <c r="R128" s="330"/>
      <c r="S128" s="330"/>
      <c r="T128" s="330"/>
      <c r="U128" s="330"/>
      <c r="V128" s="330"/>
      <c r="W128" s="330"/>
      <c r="X128" s="330"/>
      <c r="Y128" s="330"/>
      <c r="Z128" s="330"/>
      <c r="AA128" s="330"/>
      <c r="AB128" s="210"/>
    </row>
    <row r="129">
      <c r="A129" s="209"/>
      <c r="B129" s="330"/>
      <c r="C129" s="330"/>
      <c r="D129" s="330"/>
      <c r="E129" s="330"/>
      <c r="F129" s="330"/>
      <c r="G129" s="330"/>
      <c r="H129" s="330"/>
      <c r="I129" s="330"/>
      <c r="J129" s="330"/>
      <c r="K129" s="330"/>
      <c r="L129" s="330"/>
      <c r="M129" s="330"/>
      <c r="N129" s="330"/>
      <c r="O129" s="330"/>
      <c r="P129" s="330"/>
      <c r="Q129" s="330"/>
      <c r="R129" s="330"/>
      <c r="S129" s="330"/>
      <c r="T129" s="330"/>
      <c r="U129" s="330"/>
      <c r="V129" s="330"/>
      <c r="W129" s="330"/>
      <c r="X129" s="330"/>
      <c r="Y129" s="330"/>
      <c r="Z129" s="330"/>
      <c r="AA129" s="330"/>
      <c r="AB129" s="210"/>
    </row>
    <row r="130">
      <c r="A130" s="209"/>
      <c r="B130" s="330"/>
      <c r="C130" s="330"/>
      <c r="D130" s="330"/>
      <c r="E130" s="330"/>
      <c r="F130" s="330"/>
      <c r="G130" s="330"/>
      <c r="H130" s="330"/>
      <c r="I130" s="330"/>
      <c r="J130" s="330"/>
      <c r="K130" s="330"/>
      <c r="L130" s="330"/>
      <c r="M130" s="330"/>
      <c r="N130" s="330"/>
      <c r="O130" s="330"/>
      <c r="P130" s="330"/>
      <c r="Q130" s="330"/>
      <c r="R130" s="330"/>
      <c r="S130" s="330"/>
      <c r="T130" s="330"/>
      <c r="U130" s="330"/>
      <c r="V130" s="330"/>
      <c r="W130" s="330"/>
      <c r="X130" s="330"/>
      <c r="Y130" s="330"/>
      <c r="Z130" s="330"/>
      <c r="AA130" s="330"/>
      <c r="AB130" s="210"/>
    </row>
    <row r="131">
      <c r="A131" s="209"/>
      <c r="B131" s="330"/>
      <c r="C131" s="330"/>
      <c r="D131" s="330"/>
      <c r="E131" s="330"/>
      <c r="F131" s="330"/>
      <c r="G131" s="330"/>
      <c r="H131" s="330"/>
      <c r="I131" s="330"/>
      <c r="J131" s="330"/>
      <c r="K131" s="330"/>
      <c r="L131" s="330"/>
      <c r="M131" s="330"/>
      <c r="N131" s="330"/>
      <c r="O131" s="330"/>
      <c r="P131" s="330"/>
      <c r="Q131" s="330"/>
      <c r="R131" s="330"/>
      <c r="S131" s="330"/>
      <c r="T131" s="330"/>
      <c r="U131" s="330"/>
      <c r="V131" s="330"/>
      <c r="W131" s="330"/>
      <c r="X131" s="330"/>
      <c r="Y131" s="330"/>
      <c r="Z131" s="330"/>
      <c r="AA131" s="330"/>
      <c r="AB131" s="210"/>
    </row>
    <row r="132">
      <c r="A132" s="209"/>
      <c r="B132" s="330"/>
      <c r="C132" s="330"/>
      <c r="D132" s="330"/>
      <c r="E132" s="330"/>
      <c r="F132" s="330"/>
      <c r="G132" s="330"/>
      <c r="H132" s="330"/>
      <c r="I132" s="330"/>
      <c r="J132" s="330"/>
      <c r="K132" s="330"/>
      <c r="L132" s="330"/>
      <c r="M132" s="330"/>
      <c r="N132" s="330"/>
      <c r="O132" s="330"/>
      <c r="P132" s="330"/>
      <c r="Q132" s="330"/>
      <c r="R132" s="330"/>
      <c r="S132" s="330"/>
      <c r="T132" s="330"/>
      <c r="U132" s="330"/>
      <c r="V132" s="330"/>
      <c r="W132" s="330"/>
      <c r="X132" s="330"/>
      <c r="Y132" s="330"/>
      <c r="Z132" s="330"/>
      <c r="AA132" s="330"/>
      <c r="AB132" s="210"/>
    </row>
    <row r="133">
      <c r="A133" s="209"/>
      <c r="B133" s="330"/>
      <c r="C133" s="330"/>
      <c r="D133" s="330"/>
      <c r="E133" s="330"/>
      <c r="F133" s="330"/>
      <c r="G133" s="330"/>
      <c r="H133" s="330"/>
      <c r="I133" s="330"/>
      <c r="J133" s="330"/>
      <c r="K133" s="330"/>
      <c r="L133" s="330"/>
      <c r="M133" s="330"/>
      <c r="N133" s="330"/>
      <c r="O133" s="330"/>
      <c r="P133" s="330"/>
      <c r="Q133" s="330"/>
      <c r="R133" s="330"/>
      <c r="S133" s="330"/>
      <c r="T133" s="330"/>
      <c r="U133" s="330"/>
      <c r="V133" s="330"/>
      <c r="W133" s="330"/>
      <c r="X133" s="330"/>
      <c r="Y133" s="330"/>
      <c r="Z133" s="330"/>
      <c r="AA133" s="330"/>
      <c r="AB133" s="210"/>
    </row>
    <row r="134">
      <c r="A134" s="209"/>
      <c r="B134" s="330"/>
      <c r="C134" s="330"/>
      <c r="D134" s="330"/>
      <c r="E134" s="330"/>
      <c r="F134" s="330"/>
      <c r="G134" s="330"/>
      <c r="H134" s="330"/>
      <c r="I134" s="330"/>
      <c r="J134" s="330"/>
      <c r="K134" s="330"/>
      <c r="L134" s="330"/>
      <c r="M134" s="330"/>
      <c r="N134" s="330"/>
      <c r="O134" s="330"/>
      <c r="P134" s="330"/>
      <c r="Q134" s="330"/>
      <c r="R134" s="330"/>
      <c r="S134" s="330"/>
      <c r="T134" s="330"/>
      <c r="U134" s="330"/>
      <c r="V134" s="330"/>
      <c r="W134" s="330"/>
      <c r="X134" s="330"/>
      <c r="Y134" s="330"/>
      <c r="Z134" s="330"/>
      <c r="AA134" s="330"/>
      <c r="AB134" s="210"/>
    </row>
    <row r="135">
      <c r="A135" s="209"/>
      <c r="B135" s="330"/>
      <c r="C135" s="330"/>
      <c r="D135" s="330"/>
      <c r="E135" s="330"/>
      <c r="F135" s="330"/>
      <c r="G135" s="330"/>
      <c r="H135" s="330"/>
      <c r="I135" s="330"/>
      <c r="J135" s="330"/>
      <c r="K135" s="330"/>
      <c r="L135" s="330"/>
      <c r="M135" s="330"/>
      <c r="N135" s="330"/>
      <c r="O135" s="330"/>
      <c r="P135" s="330"/>
      <c r="Q135" s="330"/>
      <c r="R135" s="330"/>
      <c r="S135" s="330"/>
      <c r="T135" s="330"/>
      <c r="U135" s="330"/>
      <c r="V135" s="330"/>
      <c r="W135" s="330"/>
      <c r="X135" s="330"/>
      <c r="Y135" s="330"/>
      <c r="Z135" s="330"/>
      <c r="AA135" s="330"/>
      <c r="AB135" s="210"/>
    </row>
    <row r="136">
      <c r="A136" s="209"/>
      <c r="B136" s="330"/>
      <c r="C136" s="330"/>
      <c r="D136" s="330"/>
      <c r="E136" s="330"/>
      <c r="F136" s="330"/>
      <c r="G136" s="330"/>
      <c r="H136" s="330"/>
      <c r="I136" s="330"/>
      <c r="J136" s="330"/>
      <c r="K136" s="330"/>
      <c r="L136" s="330"/>
      <c r="M136" s="330"/>
      <c r="N136" s="330"/>
      <c r="O136" s="330"/>
      <c r="P136" s="330"/>
      <c r="Q136" s="330"/>
      <c r="R136" s="330"/>
      <c r="S136" s="330"/>
      <c r="T136" s="330"/>
      <c r="U136" s="330"/>
      <c r="V136" s="330"/>
      <c r="W136" s="330"/>
      <c r="X136" s="330"/>
      <c r="Y136" s="330"/>
      <c r="Z136" s="330"/>
      <c r="AA136" s="330"/>
      <c r="AB136" s="210"/>
    </row>
    <row r="137">
      <c r="A137" s="209"/>
      <c r="B137" s="330"/>
      <c r="C137" s="330"/>
      <c r="D137" s="330"/>
      <c r="E137" s="330"/>
      <c r="F137" s="330"/>
      <c r="G137" s="330"/>
      <c r="H137" s="330"/>
      <c r="I137" s="330"/>
      <c r="J137" s="330"/>
      <c r="K137" s="330"/>
      <c r="L137" s="330"/>
      <c r="M137" s="330"/>
      <c r="N137" s="330"/>
      <c r="O137" s="330"/>
      <c r="P137" s="330"/>
      <c r="Q137" s="330"/>
      <c r="R137" s="330"/>
      <c r="S137" s="330"/>
      <c r="T137" s="330"/>
      <c r="U137" s="330"/>
      <c r="V137" s="330"/>
      <c r="W137" s="330"/>
      <c r="X137" s="330"/>
      <c r="Y137" s="330"/>
      <c r="Z137" s="330"/>
      <c r="AA137" s="330"/>
      <c r="AB137" s="210"/>
    </row>
    <row r="138">
      <c r="A138" s="209"/>
      <c r="B138" s="330"/>
      <c r="C138" s="330"/>
      <c r="D138" s="330"/>
      <c r="E138" s="330"/>
      <c r="F138" s="330"/>
      <c r="G138" s="330"/>
      <c r="H138" s="330"/>
      <c r="I138" s="330"/>
      <c r="J138" s="330"/>
      <c r="K138" s="330"/>
      <c r="L138" s="330"/>
      <c r="M138" s="330"/>
      <c r="N138" s="330"/>
      <c r="O138" s="330"/>
      <c r="P138" s="330"/>
      <c r="Q138" s="330"/>
      <c r="R138" s="330"/>
      <c r="S138" s="330"/>
      <c r="T138" s="330"/>
      <c r="U138" s="330"/>
      <c r="V138" s="330"/>
      <c r="W138" s="330"/>
      <c r="X138" s="330"/>
      <c r="Y138" s="330"/>
      <c r="Z138" s="330"/>
      <c r="AA138" s="330"/>
      <c r="AB138" s="210"/>
    </row>
    <row r="139">
      <c r="A139" s="209"/>
      <c r="B139" s="330"/>
      <c r="C139" s="330"/>
      <c r="D139" s="330"/>
      <c r="E139" s="330"/>
      <c r="F139" s="330"/>
      <c r="G139" s="330"/>
      <c r="H139" s="330"/>
      <c r="I139" s="330"/>
      <c r="J139" s="330"/>
      <c r="K139" s="330"/>
      <c r="L139" s="330"/>
      <c r="M139" s="330"/>
      <c r="N139" s="330"/>
      <c r="O139" s="330"/>
      <c r="P139" s="330"/>
      <c r="Q139" s="330"/>
      <c r="R139" s="330"/>
      <c r="S139" s="330"/>
      <c r="T139" s="330"/>
      <c r="U139" s="330"/>
      <c r="V139" s="330"/>
      <c r="W139" s="330"/>
      <c r="X139" s="330"/>
      <c r="Y139" s="330"/>
      <c r="Z139" s="330"/>
      <c r="AA139" s="330"/>
      <c r="AB139" s="210"/>
    </row>
    <row r="140">
      <c r="A140" s="209"/>
      <c r="B140" s="330"/>
      <c r="C140" s="330"/>
      <c r="D140" s="330"/>
      <c r="E140" s="330"/>
      <c r="F140" s="330"/>
      <c r="G140" s="330"/>
      <c r="H140" s="330"/>
      <c r="I140" s="330"/>
      <c r="J140" s="330"/>
      <c r="K140" s="330"/>
      <c r="L140" s="330"/>
      <c r="M140" s="330"/>
      <c r="N140" s="330"/>
      <c r="O140" s="330"/>
      <c r="P140" s="330"/>
      <c r="Q140" s="330"/>
      <c r="R140" s="330"/>
      <c r="S140" s="330"/>
      <c r="T140" s="330"/>
      <c r="U140" s="330"/>
      <c r="V140" s="330"/>
      <c r="W140" s="330"/>
      <c r="X140" s="330"/>
      <c r="Y140" s="330"/>
      <c r="Z140" s="330"/>
      <c r="AA140" s="330"/>
      <c r="AB140" s="210"/>
    </row>
    <row r="141">
      <c r="A141" s="209"/>
      <c r="B141" s="330"/>
      <c r="C141" s="330"/>
      <c r="D141" s="330"/>
      <c r="E141" s="330"/>
      <c r="F141" s="330"/>
      <c r="G141" s="330"/>
      <c r="H141" s="330"/>
      <c r="I141" s="330"/>
      <c r="J141" s="330"/>
      <c r="K141" s="330"/>
      <c r="L141" s="330"/>
      <c r="M141" s="330"/>
      <c r="N141" s="330"/>
      <c r="O141" s="330"/>
      <c r="P141" s="330"/>
      <c r="Q141" s="330"/>
      <c r="R141" s="330"/>
      <c r="S141" s="330"/>
      <c r="T141" s="330"/>
      <c r="U141" s="330"/>
      <c r="V141" s="330"/>
      <c r="W141" s="330"/>
      <c r="X141" s="330"/>
      <c r="Y141" s="330"/>
      <c r="Z141" s="330"/>
      <c r="AA141" s="330"/>
      <c r="AB141" s="210"/>
    </row>
    <row r="142">
      <c r="A142" s="209"/>
      <c r="B142" s="330"/>
      <c r="C142" s="330"/>
      <c r="D142" s="330"/>
      <c r="E142" s="330"/>
      <c r="F142" s="330"/>
      <c r="G142" s="330"/>
      <c r="H142" s="330"/>
      <c r="I142" s="330"/>
      <c r="J142" s="330"/>
      <c r="K142" s="330"/>
      <c r="L142" s="330"/>
      <c r="M142" s="330"/>
      <c r="N142" s="330"/>
      <c r="O142" s="330"/>
      <c r="P142" s="330"/>
      <c r="Q142" s="330"/>
      <c r="R142" s="330"/>
      <c r="S142" s="330"/>
      <c r="T142" s="330"/>
      <c r="U142" s="330"/>
      <c r="V142" s="330"/>
      <c r="W142" s="330"/>
      <c r="X142" s="330"/>
      <c r="Y142" s="330"/>
      <c r="Z142" s="330"/>
      <c r="AA142" s="330"/>
      <c r="AB142" s="210"/>
    </row>
    <row r="143">
      <c r="A143" s="209"/>
      <c r="B143" s="330"/>
      <c r="C143" s="330"/>
      <c r="D143" s="330"/>
      <c r="E143" s="330"/>
      <c r="F143" s="330"/>
      <c r="G143" s="330"/>
      <c r="H143" s="330"/>
      <c r="I143" s="330"/>
      <c r="J143" s="330"/>
      <c r="K143" s="330"/>
      <c r="L143" s="330"/>
      <c r="M143" s="330"/>
      <c r="N143" s="330"/>
      <c r="O143" s="330"/>
      <c r="P143" s="330"/>
      <c r="Q143" s="330"/>
      <c r="R143" s="330"/>
      <c r="S143" s="330"/>
      <c r="T143" s="330"/>
      <c r="U143" s="330"/>
      <c r="V143" s="330"/>
      <c r="W143" s="330"/>
      <c r="X143" s="330"/>
      <c r="Y143" s="330"/>
      <c r="Z143" s="330"/>
      <c r="AA143" s="330"/>
      <c r="AB143" s="210"/>
    </row>
    <row r="144">
      <c r="A144" s="209"/>
      <c r="B144" s="330"/>
      <c r="C144" s="330"/>
      <c r="D144" s="330"/>
      <c r="E144" s="330"/>
      <c r="F144" s="330"/>
      <c r="G144" s="330"/>
      <c r="H144" s="330"/>
      <c r="I144" s="330"/>
      <c r="J144" s="330"/>
      <c r="K144" s="330"/>
      <c r="L144" s="330"/>
      <c r="M144" s="330"/>
      <c r="N144" s="330"/>
      <c r="O144" s="330"/>
      <c r="P144" s="330"/>
      <c r="Q144" s="330"/>
      <c r="R144" s="330"/>
      <c r="S144" s="330"/>
      <c r="T144" s="330"/>
      <c r="U144" s="330"/>
      <c r="V144" s="330"/>
      <c r="W144" s="330"/>
      <c r="X144" s="330"/>
      <c r="Y144" s="330"/>
      <c r="Z144" s="330"/>
      <c r="AA144" s="330"/>
      <c r="AB144" s="210"/>
    </row>
    <row r="145">
      <c r="A145" s="209"/>
      <c r="B145" s="330"/>
      <c r="C145" s="330"/>
      <c r="D145" s="330"/>
      <c r="E145" s="330"/>
      <c r="F145" s="330"/>
      <c r="G145" s="330"/>
      <c r="H145" s="330"/>
      <c r="I145" s="330"/>
      <c r="J145" s="330"/>
      <c r="K145" s="330"/>
      <c r="L145" s="330"/>
      <c r="M145" s="330"/>
      <c r="N145" s="330"/>
      <c r="O145" s="330"/>
      <c r="P145" s="330"/>
      <c r="Q145" s="330"/>
      <c r="R145" s="330"/>
      <c r="S145" s="330"/>
      <c r="T145" s="330"/>
      <c r="U145" s="330"/>
      <c r="V145" s="330"/>
      <c r="W145" s="330"/>
      <c r="X145" s="330"/>
      <c r="Y145" s="330"/>
      <c r="Z145" s="330"/>
      <c r="AA145" s="330"/>
      <c r="AB145" s="210"/>
    </row>
    <row r="146">
      <c r="A146" s="209"/>
      <c r="B146" s="330"/>
      <c r="C146" s="330"/>
      <c r="D146" s="330"/>
      <c r="E146" s="330"/>
      <c r="F146" s="330"/>
      <c r="G146" s="330"/>
      <c r="H146" s="330"/>
      <c r="I146" s="330"/>
      <c r="J146" s="330"/>
      <c r="K146" s="330"/>
      <c r="L146" s="330"/>
      <c r="M146" s="330"/>
      <c r="N146" s="330"/>
      <c r="O146" s="330"/>
      <c r="P146" s="330"/>
      <c r="Q146" s="330"/>
      <c r="R146" s="330"/>
      <c r="S146" s="330"/>
      <c r="T146" s="330"/>
      <c r="U146" s="330"/>
      <c r="V146" s="330"/>
      <c r="W146" s="330"/>
      <c r="X146" s="330"/>
      <c r="Y146" s="330"/>
      <c r="Z146" s="330"/>
      <c r="AA146" s="330"/>
      <c r="AB146" s="210"/>
    </row>
    <row r="147">
      <c r="A147" s="209"/>
      <c r="B147" s="330"/>
      <c r="C147" s="330"/>
      <c r="D147" s="330"/>
      <c r="E147" s="330"/>
      <c r="F147" s="330"/>
      <c r="G147" s="330"/>
      <c r="H147" s="330"/>
      <c r="I147" s="330"/>
      <c r="J147" s="330"/>
      <c r="K147" s="330"/>
      <c r="L147" s="330"/>
      <c r="M147" s="330"/>
      <c r="N147" s="330"/>
      <c r="O147" s="330"/>
      <c r="P147" s="330"/>
      <c r="Q147" s="330"/>
      <c r="R147" s="330"/>
      <c r="S147" s="330"/>
      <c r="T147" s="330"/>
      <c r="U147" s="330"/>
      <c r="V147" s="330"/>
      <c r="W147" s="330"/>
      <c r="X147" s="330"/>
      <c r="Y147" s="330"/>
      <c r="Z147" s="330"/>
      <c r="AA147" s="330"/>
      <c r="AB147" s="210"/>
    </row>
    <row r="148">
      <c r="A148" s="209"/>
      <c r="B148" s="330"/>
      <c r="C148" s="330"/>
      <c r="D148" s="330"/>
      <c r="E148" s="330"/>
      <c r="F148" s="330"/>
      <c r="G148" s="330"/>
      <c r="H148" s="330"/>
      <c r="I148" s="330"/>
      <c r="J148" s="330"/>
      <c r="K148" s="330"/>
      <c r="L148" s="330"/>
      <c r="M148" s="330"/>
      <c r="N148" s="330"/>
      <c r="O148" s="330"/>
      <c r="P148" s="330"/>
      <c r="Q148" s="330"/>
      <c r="R148" s="330"/>
      <c r="S148" s="330"/>
      <c r="T148" s="330"/>
      <c r="U148" s="330"/>
      <c r="V148" s="330"/>
      <c r="W148" s="330"/>
      <c r="X148" s="330"/>
      <c r="Y148" s="330"/>
      <c r="Z148" s="330"/>
      <c r="AA148" s="330"/>
      <c r="AB148" s="210"/>
    </row>
    <row r="149">
      <c r="A149" s="209"/>
      <c r="B149" s="330"/>
      <c r="C149" s="330"/>
      <c r="D149" s="330"/>
      <c r="E149" s="330"/>
      <c r="F149" s="330"/>
      <c r="G149" s="330"/>
      <c r="H149" s="330"/>
      <c r="I149" s="330"/>
      <c r="J149" s="330"/>
      <c r="K149" s="330"/>
      <c r="L149" s="330"/>
      <c r="M149" s="330"/>
      <c r="N149" s="330"/>
      <c r="O149" s="330"/>
      <c r="P149" s="330"/>
      <c r="Q149" s="330"/>
      <c r="R149" s="330"/>
      <c r="S149" s="330"/>
      <c r="T149" s="330"/>
      <c r="U149" s="330"/>
      <c r="V149" s="330"/>
      <c r="W149" s="330"/>
      <c r="X149" s="330"/>
      <c r="Y149" s="330"/>
      <c r="Z149" s="330"/>
      <c r="AA149" s="330"/>
      <c r="AB149" s="210"/>
    </row>
    <row r="150">
      <c r="A150" s="209"/>
      <c r="B150" s="330"/>
      <c r="C150" s="330"/>
      <c r="D150" s="330"/>
      <c r="E150" s="330"/>
      <c r="F150" s="330"/>
      <c r="G150" s="330"/>
      <c r="H150" s="330"/>
      <c r="I150" s="330"/>
      <c r="J150" s="330"/>
      <c r="M150" s="330"/>
      <c r="N150" s="330"/>
      <c r="O150" s="330"/>
      <c r="P150" s="330"/>
      <c r="Q150" s="330"/>
      <c r="R150" s="330"/>
      <c r="S150" s="330"/>
      <c r="T150" s="330"/>
      <c r="U150" s="330"/>
      <c r="V150" s="330"/>
      <c r="W150" s="330"/>
      <c r="X150" s="330"/>
      <c r="Y150" s="330"/>
      <c r="Z150" s="330"/>
      <c r="AA150" s="330"/>
      <c r="AB150" s="210"/>
    </row>
    <row r="151">
      <c r="A151" s="209"/>
      <c r="B151" s="330"/>
      <c r="C151" s="330"/>
      <c r="D151" s="330"/>
      <c r="E151" s="330"/>
      <c r="F151" s="330"/>
      <c r="G151" s="330"/>
      <c r="H151" s="330"/>
      <c r="I151" s="330"/>
      <c r="J151" s="330"/>
      <c r="M151" s="330"/>
      <c r="N151" s="330"/>
      <c r="O151" s="330"/>
      <c r="P151" s="330"/>
      <c r="Q151" s="330"/>
      <c r="R151" s="330"/>
      <c r="S151" s="330"/>
      <c r="T151" s="330"/>
      <c r="U151" s="330"/>
      <c r="V151" s="330"/>
      <c r="W151" s="330"/>
      <c r="X151" s="330"/>
      <c r="Y151" s="330"/>
      <c r="Z151" s="330"/>
      <c r="AA151" s="330"/>
      <c r="AB151" s="210"/>
    </row>
    <row r="152">
      <c r="A152" s="209"/>
      <c r="B152" s="330"/>
      <c r="C152" s="330"/>
      <c r="D152" s="330"/>
      <c r="E152" s="330"/>
      <c r="F152" s="330"/>
      <c r="G152" s="330"/>
      <c r="H152" s="330"/>
      <c r="I152" s="330"/>
      <c r="J152" s="330"/>
      <c r="M152" s="330"/>
      <c r="N152" s="330"/>
      <c r="O152" s="330"/>
      <c r="P152" s="330"/>
      <c r="Q152" s="330"/>
      <c r="R152" s="330"/>
      <c r="S152" s="330"/>
      <c r="T152" s="330"/>
      <c r="U152" s="330"/>
      <c r="V152" s="330"/>
      <c r="W152" s="330"/>
      <c r="X152" s="330"/>
      <c r="Y152" s="330"/>
      <c r="Z152" s="330"/>
      <c r="AA152" s="330"/>
      <c r="AB152" s="210"/>
    </row>
    <row r="153">
      <c r="A153" s="209"/>
      <c r="B153" s="330"/>
      <c r="C153" s="330"/>
      <c r="D153" s="330"/>
      <c r="E153" s="330"/>
      <c r="F153" s="330"/>
      <c r="G153" s="330"/>
      <c r="H153" s="330"/>
      <c r="I153" s="330"/>
      <c r="J153" s="330"/>
      <c r="M153" s="330"/>
      <c r="N153" s="330"/>
      <c r="O153" s="330"/>
      <c r="P153" s="330"/>
      <c r="Q153" s="330"/>
      <c r="R153" s="330"/>
      <c r="S153" s="330"/>
      <c r="T153" s="330"/>
      <c r="U153" s="330"/>
      <c r="V153" s="330"/>
      <c r="W153" s="330"/>
      <c r="X153" s="330"/>
      <c r="Y153" s="330"/>
      <c r="Z153" s="330"/>
      <c r="AA153" s="330"/>
      <c r="AB153" s="210"/>
    </row>
  </sheetData>
  <mergeCells count="10">
    <mergeCell ref="R22:S22"/>
    <mergeCell ref="R23:S23"/>
    <mergeCell ref="X23:Y23"/>
    <mergeCell ref="B1:AA1"/>
    <mergeCell ref="A13:A17"/>
    <mergeCell ref="B19:J19"/>
    <mergeCell ref="T19:V19"/>
    <mergeCell ref="X19:Y19"/>
    <mergeCell ref="X20:Y20"/>
    <mergeCell ref="X22:Y22"/>
  </mergeCells>
  <printOptions horizontalCentered="1"/>
  <pageMargins bottom="0.75" footer="0.0" header="0.0" left="0.7" right="0.7" top="0.75"/>
  <pageSetup paperSize="9" orientation="landscape" pageOrder="overThenDown"/>
  <drawing r:id="rId2"/>
  <legacyDrawing r:id="rId3"/>
  <tableParts count="4">
    <tablePart r:id="rId8"/>
    <tablePart r:id="rId9"/>
    <tablePart r:id="rId10"/>
    <tablePart r:id="rId1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pageSetUpPr fitToPage="1"/>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8.13"/>
    <col customWidth="1" min="2" max="10" width="19.13"/>
    <col customWidth="1" min="11" max="11" width="9.0"/>
    <col customWidth="1" min="12" max="12" width="9.38"/>
    <col customWidth="1" min="13" max="13" width="8.5"/>
    <col customWidth="1" min="14" max="14" width="8.25"/>
    <col customWidth="1" min="15" max="17" width="18.38"/>
  </cols>
  <sheetData>
    <row r="1" ht="51.0" customHeight="1">
      <c r="A1" s="140" t="s">
        <v>620</v>
      </c>
      <c r="B1" s="335" t="s">
        <v>621</v>
      </c>
      <c r="K1" s="336"/>
      <c r="L1" s="336"/>
      <c r="M1" s="336"/>
      <c r="N1" s="164"/>
      <c r="O1" s="164"/>
      <c r="P1" s="164"/>
      <c r="Q1" s="164"/>
      <c r="R1" s="164"/>
      <c r="S1" s="164"/>
      <c r="T1" s="164"/>
      <c r="U1" s="164"/>
      <c r="V1" s="164"/>
    </row>
    <row r="2" ht="54.0" customHeight="1">
      <c r="A2" s="142" t="s">
        <v>1</v>
      </c>
      <c r="B2" s="5" t="s">
        <v>622</v>
      </c>
      <c r="C2" s="5" t="s">
        <v>623</v>
      </c>
      <c r="D2" s="5" t="s">
        <v>624</v>
      </c>
      <c r="E2" s="5" t="s">
        <v>625</v>
      </c>
      <c r="F2" s="214" t="s">
        <v>626</v>
      </c>
      <c r="G2" s="214" t="s">
        <v>627</v>
      </c>
      <c r="H2" s="337" t="s">
        <v>628</v>
      </c>
      <c r="I2" s="215" t="s">
        <v>629</v>
      </c>
      <c r="J2" s="215" t="s">
        <v>630</v>
      </c>
      <c r="K2" s="338"/>
      <c r="L2" s="339"/>
      <c r="M2" s="339" t="s">
        <v>203</v>
      </c>
      <c r="N2" s="164"/>
      <c r="O2" s="164"/>
      <c r="P2" s="164"/>
      <c r="Q2" s="164"/>
      <c r="R2" s="164"/>
      <c r="S2" s="164"/>
      <c r="T2" s="164"/>
      <c r="U2" s="164"/>
      <c r="V2" s="164"/>
    </row>
    <row r="3" ht="32.25" customHeight="1">
      <c r="A3" s="142" t="s">
        <v>20</v>
      </c>
      <c r="B3" s="340" t="s">
        <v>631</v>
      </c>
      <c r="C3" s="341" t="s">
        <v>632</v>
      </c>
      <c r="D3" s="340" t="s">
        <v>632</v>
      </c>
      <c r="E3" s="12" t="s">
        <v>633</v>
      </c>
      <c r="F3" s="218" t="s">
        <v>632</v>
      </c>
      <c r="G3" s="218" t="s">
        <v>632</v>
      </c>
      <c r="H3" s="342" t="s">
        <v>634</v>
      </c>
      <c r="I3" s="149" t="s">
        <v>634</v>
      </c>
      <c r="J3" s="149" t="s">
        <v>635</v>
      </c>
      <c r="K3" s="343"/>
      <c r="L3" s="344"/>
      <c r="M3" s="339" t="s">
        <v>203</v>
      </c>
      <c r="N3" s="164"/>
      <c r="O3" s="164"/>
      <c r="P3" s="164"/>
      <c r="Q3" s="164"/>
      <c r="R3" s="164"/>
      <c r="S3" s="164"/>
      <c r="T3" s="164"/>
      <c r="U3" s="164"/>
      <c r="V3" s="164"/>
    </row>
    <row r="4" ht="35.25" customHeight="1">
      <c r="A4" s="151" t="s">
        <v>31</v>
      </c>
      <c r="B4" s="222" t="s">
        <v>636</v>
      </c>
      <c r="C4" s="15" t="s">
        <v>637</v>
      </c>
      <c r="D4" s="222" t="s">
        <v>226</v>
      </c>
      <c r="E4" s="15" t="s">
        <v>227</v>
      </c>
      <c r="F4" s="224" t="s">
        <v>638</v>
      </c>
      <c r="G4" s="224" t="s">
        <v>639</v>
      </c>
      <c r="H4" s="345" t="s">
        <v>640</v>
      </c>
      <c r="I4" s="226" t="s">
        <v>641</v>
      </c>
      <c r="J4" s="226" t="s">
        <v>642</v>
      </c>
      <c r="K4" s="338"/>
      <c r="L4" s="344"/>
      <c r="M4" s="339"/>
      <c r="N4" s="164"/>
      <c r="O4" s="164"/>
      <c r="P4" s="164"/>
      <c r="Q4" s="164"/>
      <c r="R4" s="164"/>
      <c r="S4" s="164"/>
      <c r="T4" s="164"/>
      <c r="U4" s="164"/>
      <c r="V4" s="164"/>
    </row>
    <row r="5" ht="36.75" customHeight="1">
      <c r="A5" s="17">
        <v>1.0</v>
      </c>
      <c r="B5" s="40" t="s">
        <v>643</v>
      </c>
      <c r="C5" s="18" t="s">
        <v>644</v>
      </c>
      <c r="D5" s="18" t="s">
        <v>645</v>
      </c>
      <c r="E5" s="110" t="s">
        <v>646</v>
      </c>
      <c r="F5" s="233" t="s">
        <v>647</v>
      </c>
      <c r="G5" s="22" t="s">
        <v>648</v>
      </c>
      <c r="H5" s="23" t="s">
        <v>649</v>
      </c>
      <c r="I5" s="34" t="s">
        <v>650</v>
      </c>
      <c r="J5" s="41" t="s">
        <v>651</v>
      </c>
      <c r="K5" s="343"/>
      <c r="L5" s="344"/>
      <c r="M5" s="164"/>
      <c r="N5" s="164"/>
      <c r="O5" s="164"/>
      <c r="P5" s="164"/>
      <c r="Q5" s="164"/>
      <c r="R5" s="164"/>
      <c r="S5" s="164"/>
      <c r="T5" s="164"/>
      <c r="U5" s="164"/>
      <c r="V5" s="164"/>
    </row>
    <row r="6" ht="36.75" customHeight="1">
      <c r="A6" s="19">
        <v>2.0</v>
      </c>
      <c r="B6" s="18" t="s">
        <v>652</v>
      </c>
      <c r="C6" s="27" t="s">
        <v>653</v>
      </c>
      <c r="D6" s="18" t="s">
        <v>539</v>
      </c>
      <c r="E6" s="346" t="s">
        <v>654</v>
      </c>
      <c r="F6" s="22" t="s">
        <v>655</v>
      </c>
      <c r="G6" s="25" t="s">
        <v>656</v>
      </c>
      <c r="H6" s="163" t="s">
        <v>616</v>
      </c>
      <c r="I6" s="41" t="s">
        <v>657</v>
      </c>
      <c r="J6" s="34" t="s">
        <v>658</v>
      </c>
      <c r="K6" s="347"/>
      <c r="L6" s="348"/>
      <c r="M6" s="164"/>
      <c r="N6" s="164"/>
      <c r="O6" s="159"/>
      <c r="P6" s="164"/>
      <c r="Q6" s="164"/>
      <c r="R6" s="164"/>
      <c r="S6" s="164"/>
      <c r="T6" s="164"/>
      <c r="U6" s="164"/>
      <c r="V6" s="164"/>
    </row>
    <row r="7" ht="33.75" customHeight="1">
      <c r="A7" s="27">
        <v>3.0</v>
      </c>
      <c r="B7" s="18" t="s">
        <v>659</v>
      </c>
      <c r="C7" s="19" t="s">
        <v>660</v>
      </c>
      <c r="D7" s="18" t="s">
        <v>661</v>
      </c>
      <c r="E7" s="19" t="s">
        <v>662</v>
      </c>
      <c r="F7" s="22" t="s">
        <v>663</v>
      </c>
      <c r="G7" s="349" t="s">
        <v>664</v>
      </c>
      <c r="H7" s="23" t="s">
        <v>604</v>
      </c>
      <c r="I7" s="247" t="s">
        <v>665</v>
      </c>
      <c r="J7" s="157" t="s">
        <v>666</v>
      </c>
      <c r="K7" s="343"/>
      <c r="L7" s="344"/>
      <c r="M7" s="164"/>
      <c r="N7" s="164"/>
      <c r="O7" s="164"/>
      <c r="P7" s="164"/>
      <c r="Q7" s="164"/>
      <c r="R7" s="164"/>
      <c r="S7" s="164"/>
      <c r="T7" s="164"/>
      <c r="U7" s="164"/>
      <c r="V7" s="164"/>
    </row>
    <row r="8" ht="36.75" customHeight="1">
      <c r="A8" s="17">
        <v>4.0</v>
      </c>
      <c r="B8" s="18" t="s">
        <v>667</v>
      </c>
      <c r="C8" s="19" t="s">
        <v>668</v>
      </c>
      <c r="D8" s="18" t="s">
        <v>669</v>
      </c>
      <c r="E8" s="19" t="s">
        <v>670</v>
      </c>
      <c r="F8" s="23" t="s">
        <v>671</v>
      </c>
      <c r="G8" s="249" t="s">
        <v>672</v>
      </c>
      <c r="H8" s="23" t="s">
        <v>673</v>
      </c>
      <c r="I8" s="41" t="s">
        <v>674</v>
      </c>
      <c r="J8" s="235" t="s">
        <v>675</v>
      </c>
      <c r="K8" s="347"/>
      <c r="L8" s="348"/>
      <c r="M8" s="350"/>
      <c r="N8" s="164"/>
      <c r="O8" s="164"/>
      <c r="P8" s="164"/>
      <c r="Q8" s="164"/>
      <c r="R8" s="164"/>
      <c r="S8" s="164"/>
      <c r="T8" s="164"/>
      <c r="U8" s="164"/>
      <c r="V8" s="164"/>
    </row>
    <row r="9" ht="38.25" customHeight="1">
      <c r="A9" s="17">
        <v>5.0</v>
      </c>
      <c r="B9" s="255" t="s">
        <v>676</v>
      </c>
      <c r="C9" s="19" t="s">
        <v>677</v>
      </c>
      <c r="D9" s="18" t="s">
        <v>678</v>
      </c>
      <c r="E9" s="23" t="s">
        <v>679</v>
      </c>
      <c r="F9" s="23" t="s">
        <v>680</v>
      </c>
      <c r="G9" s="23" t="s">
        <v>681</v>
      </c>
      <c r="H9" s="23" t="s">
        <v>682</v>
      </c>
      <c r="I9" s="23" t="s">
        <v>683</v>
      </c>
      <c r="J9" s="23" t="s">
        <v>684</v>
      </c>
      <c r="K9" s="351"/>
      <c r="L9" s="352"/>
      <c r="M9" s="164"/>
      <c r="N9" s="164"/>
      <c r="O9" s="164"/>
      <c r="P9" s="164"/>
      <c r="Q9" s="164"/>
      <c r="R9" s="164"/>
      <c r="S9" s="164"/>
      <c r="T9" s="164"/>
      <c r="U9" s="164"/>
      <c r="V9" s="164"/>
    </row>
    <row r="10" ht="38.25" customHeight="1">
      <c r="A10" s="17">
        <v>6.0</v>
      </c>
      <c r="B10" s="19" t="s">
        <v>685</v>
      </c>
      <c r="C10" s="19" t="s">
        <v>686</v>
      </c>
      <c r="D10" s="19" t="s">
        <v>687</v>
      </c>
      <c r="E10" s="19" t="s">
        <v>688</v>
      </c>
      <c r="F10" s="23" t="s">
        <v>689</v>
      </c>
      <c r="G10" s="23" t="s">
        <v>690</v>
      </c>
      <c r="H10" s="23" t="s">
        <v>691</v>
      </c>
      <c r="I10" s="353"/>
      <c r="J10" s="23" t="s">
        <v>692</v>
      </c>
      <c r="K10" s="354"/>
      <c r="L10" s="344"/>
      <c r="M10" s="164"/>
      <c r="N10" s="164"/>
      <c r="O10" s="164"/>
      <c r="P10" s="164"/>
      <c r="Q10" s="164"/>
      <c r="R10" s="164"/>
      <c r="S10" s="164"/>
      <c r="T10" s="164"/>
      <c r="U10" s="164"/>
      <c r="V10" s="164"/>
    </row>
    <row r="11" ht="36.75" customHeight="1">
      <c r="A11" s="17">
        <v>7.0</v>
      </c>
      <c r="B11" s="355" t="s">
        <v>693</v>
      </c>
      <c r="C11" s="19" t="s">
        <v>694</v>
      </c>
      <c r="D11" s="19" t="s">
        <v>695</v>
      </c>
      <c r="E11" s="19" t="s">
        <v>696</v>
      </c>
      <c r="F11" s="23" t="s">
        <v>697</v>
      </c>
      <c r="G11" s="252" t="s">
        <v>698</v>
      </c>
      <c r="H11" s="42" t="s">
        <v>699</v>
      </c>
      <c r="I11" s="353"/>
      <c r="J11" s="23" t="s">
        <v>700</v>
      </c>
      <c r="K11" s="343"/>
      <c r="L11" s="344"/>
      <c r="M11" s="164"/>
      <c r="N11" s="164"/>
      <c r="O11" s="164"/>
      <c r="P11" s="164"/>
      <c r="Q11" s="164"/>
      <c r="R11" s="164"/>
      <c r="S11" s="164"/>
      <c r="T11" s="164"/>
      <c r="U11" s="164"/>
      <c r="V11" s="164"/>
    </row>
    <row r="12" ht="39.0" customHeight="1">
      <c r="A12" s="17">
        <v>8.0</v>
      </c>
      <c r="B12" s="179"/>
      <c r="C12" s="61" t="s">
        <v>701</v>
      </c>
      <c r="D12" s="170" t="s">
        <v>702</v>
      </c>
      <c r="E12" s="19" t="s">
        <v>703</v>
      </c>
      <c r="F12" s="179"/>
      <c r="G12" s="179" t="s">
        <v>704</v>
      </c>
      <c r="H12" s="179" t="s">
        <v>705</v>
      </c>
      <c r="I12" s="356"/>
      <c r="J12" s="179" t="s">
        <v>706</v>
      </c>
      <c r="K12" s="357" t="s">
        <v>707</v>
      </c>
      <c r="L12" s="352"/>
      <c r="M12" s="164"/>
      <c r="N12" s="164"/>
      <c r="O12" s="164"/>
      <c r="P12" s="164"/>
      <c r="Q12" s="164"/>
      <c r="R12" s="164"/>
      <c r="S12" s="164"/>
      <c r="T12" s="159" t="s">
        <v>203</v>
      </c>
      <c r="U12" s="164"/>
      <c r="V12" s="164"/>
    </row>
    <row r="13" ht="56.25" customHeight="1">
      <c r="A13" s="67" t="s">
        <v>306</v>
      </c>
      <c r="B13" s="89"/>
      <c r="C13" s="358" t="s">
        <v>708</v>
      </c>
      <c r="D13" s="76" t="s">
        <v>709</v>
      </c>
      <c r="E13" s="182"/>
      <c r="F13" s="359" t="s">
        <v>710</v>
      </c>
      <c r="G13" s="358"/>
      <c r="H13" s="190"/>
      <c r="I13" s="271"/>
      <c r="J13" s="278"/>
      <c r="K13" s="360"/>
      <c r="L13" s="360"/>
      <c r="M13" s="361"/>
      <c r="N13" s="350"/>
      <c r="O13" s="362"/>
      <c r="P13" s="363"/>
      <c r="Q13" s="362"/>
      <c r="R13" s="362"/>
      <c r="S13" s="362"/>
      <c r="T13" s="362"/>
      <c r="U13" s="362"/>
      <c r="V13" s="362"/>
    </row>
    <row r="14" ht="60.75" customHeight="1">
      <c r="A14" s="82"/>
      <c r="B14" s="87"/>
      <c r="C14" s="89"/>
      <c r="D14" s="87"/>
      <c r="E14" s="190"/>
      <c r="F14" s="190"/>
      <c r="G14" s="276"/>
      <c r="H14" s="271"/>
      <c r="I14" s="271"/>
      <c r="J14" s="271" t="s">
        <v>203</v>
      </c>
      <c r="K14" s="360"/>
      <c r="L14" s="360"/>
      <c r="M14" s="364"/>
      <c r="N14" s="350"/>
      <c r="O14" s="362"/>
      <c r="P14" s="362"/>
      <c r="Q14" s="362"/>
      <c r="R14" s="362"/>
      <c r="S14" s="362"/>
      <c r="T14" s="362"/>
      <c r="U14" s="362"/>
      <c r="V14" s="362"/>
    </row>
    <row r="15" ht="51.0" customHeight="1">
      <c r="A15" s="82"/>
      <c r="B15" s="89"/>
      <c r="C15" s="365"/>
      <c r="D15" s="365"/>
      <c r="E15" s="365"/>
      <c r="F15" s="190"/>
      <c r="G15" s="276"/>
      <c r="H15" s="271"/>
      <c r="I15" s="271"/>
      <c r="J15" s="366"/>
      <c r="K15" s="360"/>
      <c r="L15" s="360"/>
      <c r="M15" s="361"/>
      <c r="N15" s="362"/>
      <c r="O15" s="362"/>
      <c r="P15" s="362"/>
      <c r="Q15" s="362"/>
      <c r="R15" s="362"/>
      <c r="S15" s="362"/>
      <c r="T15" s="362"/>
      <c r="U15" s="362"/>
      <c r="V15" s="362"/>
    </row>
    <row r="16" ht="51.0" customHeight="1">
      <c r="A16" s="82"/>
      <c r="B16" s="365"/>
      <c r="C16" s="365"/>
      <c r="D16" s="365"/>
      <c r="E16" s="365"/>
      <c r="F16" s="276"/>
      <c r="G16" s="276"/>
      <c r="H16" s="366"/>
      <c r="I16" s="271"/>
      <c r="J16" s="366"/>
      <c r="K16" s="360"/>
      <c r="L16" s="360"/>
      <c r="M16" s="361"/>
      <c r="N16" s="362"/>
      <c r="O16" s="362"/>
      <c r="P16" s="362"/>
      <c r="Q16" s="362"/>
      <c r="R16" s="362"/>
      <c r="S16" s="362"/>
      <c r="T16" s="362"/>
      <c r="U16" s="362"/>
      <c r="V16" s="362"/>
    </row>
    <row r="17" ht="36.0" customHeight="1">
      <c r="A17" s="191" t="s">
        <v>182</v>
      </c>
      <c r="B17" s="296">
        <f>IFERROR(__xludf.DUMMYFUNCTION("COUNTUNIQUE(B5:B12)"),7.0)</f>
        <v>7</v>
      </c>
      <c r="C17" s="296">
        <f>IFERROR(__xludf.DUMMYFUNCTION("COUNTUNIQUE(C5:C12)"),8.0)</f>
        <v>8</v>
      </c>
      <c r="D17" s="296">
        <f>IFERROR(__xludf.DUMMYFUNCTION("COUNTUNIQUE(D5:D12)"),8.0)</f>
        <v>8</v>
      </c>
      <c r="E17" s="296">
        <f>IFERROR(__xludf.DUMMYFUNCTION("COUNTUNIQUE(E5:E12)"),8.0)</f>
        <v>8</v>
      </c>
      <c r="F17" s="296">
        <f>IFERROR(__xludf.DUMMYFUNCTION("COUNTUNIQUE(F5:F12)"),7.0)</f>
        <v>7</v>
      </c>
      <c r="G17" s="296">
        <f>IFERROR(__xludf.DUMMYFUNCTION("COUNTUNIQUE(G5:G12)"),8.0)</f>
        <v>8</v>
      </c>
      <c r="H17" s="296">
        <f>IFERROR(__xludf.DUMMYFUNCTION("COUNTUNIQUE(H5:H12)"),8.0)</f>
        <v>8</v>
      </c>
      <c r="I17" s="296">
        <f>IFERROR(__xludf.DUMMYFUNCTION("COUNTUNIQUE(I5:I12)"),5.0)</f>
        <v>5</v>
      </c>
      <c r="J17" s="296">
        <f>IFERROR(__xludf.DUMMYFUNCTION("COUNTUNIQUE(J5:J12)"),8.0)</f>
        <v>8</v>
      </c>
      <c r="K17" s="367"/>
      <c r="L17" s="368" t="s">
        <v>196</v>
      </c>
      <c r="M17" s="297">
        <f>SUM(B17:J17)</f>
        <v>67</v>
      </c>
      <c r="N17" s="350"/>
      <c r="O17" s="350"/>
      <c r="P17" s="350"/>
      <c r="Q17" s="350"/>
      <c r="R17" s="350"/>
      <c r="S17" s="350"/>
      <c r="T17" s="350"/>
      <c r="U17" s="350"/>
      <c r="V17" s="350"/>
    </row>
    <row r="18" ht="36.0" customHeight="1">
      <c r="A18" s="236">
        <v>1.0</v>
      </c>
      <c r="B18" s="98" t="s">
        <v>183</v>
      </c>
      <c r="C18" s="99"/>
      <c r="D18" s="99"/>
      <c r="E18" s="100"/>
      <c r="F18" s="41" t="s">
        <v>711</v>
      </c>
      <c r="G18" s="41" t="s">
        <v>712</v>
      </c>
      <c r="H18" s="369" t="s">
        <v>713</v>
      </c>
      <c r="I18" s="19"/>
      <c r="J18" s="369" t="s">
        <v>714</v>
      </c>
      <c r="K18" s="367"/>
      <c r="L18" s="367"/>
      <c r="M18" s="370"/>
      <c r="N18" s="350"/>
      <c r="O18" s="350"/>
      <c r="P18" s="350"/>
      <c r="Q18" s="350"/>
      <c r="R18" s="350"/>
      <c r="S18" s="350"/>
      <c r="T18" s="350"/>
      <c r="U18" s="350"/>
      <c r="V18" s="350"/>
    </row>
    <row r="19" ht="36.0" customHeight="1">
      <c r="A19" s="52">
        <v>2.0</v>
      </c>
      <c r="B19" s="110"/>
      <c r="C19" s="244"/>
      <c r="D19" s="244"/>
      <c r="E19" s="244"/>
      <c r="F19" s="21" t="s">
        <v>715</v>
      </c>
      <c r="G19" s="19" t="s">
        <v>716</v>
      </c>
      <c r="H19" s="310"/>
      <c r="I19" s="371"/>
      <c r="J19" s="19" t="s">
        <v>717</v>
      </c>
      <c r="K19" s="367"/>
      <c r="L19" s="367"/>
      <c r="M19" s="370"/>
      <c r="N19" s="350"/>
      <c r="O19" s="350"/>
      <c r="P19" s="350"/>
      <c r="Q19" s="350"/>
      <c r="R19" s="350"/>
      <c r="S19" s="350"/>
      <c r="T19" s="350"/>
      <c r="U19" s="350"/>
      <c r="V19" s="350"/>
    </row>
    <row r="20" ht="36.0" customHeight="1">
      <c r="A20" s="52">
        <v>3.0</v>
      </c>
      <c r="B20" s="109"/>
      <c r="C20" s="244"/>
      <c r="D20" s="244"/>
      <c r="E20" s="244"/>
      <c r="F20" s="200" t="s">
        <v>718</v>
      </c>
      <c r="G20" s="197" t="s">
        <v>479</v>
      </c>
      <c r="H20" s="310"/>
      <c r="I20" s="111"/>
      <c r="J20" s="111"/>
      <c r="K20" s="372"/>
      <c r="L20" s="367"/>
      <c r="M20" s="364"/>
      <c r="N20" s="350"/>
      <c r="O20" s="350"/>
      <c r="P20" s="350"/>
      <c r="Q20" s="350"/>
      <c r="R20" s="350"/>
      <c r="S20" s="350"/>
      <c r="T20" s="350"/>
      <c r="U20" s="350"/>
      <c r="V20" s="350"/>
    </row>
    <row r="21" ht="36.0" customHeight="1">
      <c r="A21" s="52">
        <v>4.0</v>
      </c>
      <c r="B21" s="373"/>
      <c r="C21" s="374"/>
      <c r="D21" s="374"/>
      <c r="E21" s="311"/>
      <c r="F21" s="21"/>
      <c r="G21" s="111"/>
      <c r="H21" s="310"/>
      <c r="I21" s="111"/>
      <c r="J21" s="111"/>
      <c r="K21" s="372"/>
      <c r="L21" s="367"/>
      <c r="M21" s="375"/>
      <c r="N21" s="350"/>
      <c r="O21" s="350"/>
      <c r="P21" s="350"/>
      <c r="Q21" s="350"/>
      <c r="R21" s="350"/>
      <c r="S21" s="350"/>
      <c r="T21" s="350"/>
      <c r="U21" s="350"/>
      <c r="V21" s="350"/>
    </row>
    <row r="22" ht="36.0" customHeight="1">
      <c r="A22" s="110"/>
      <c r="B22" s="52"/>
      <c r="C22" s="52"/>
      <c r="D22" s="118"/>
      <c r="E22" s="310"/>
      <c r="F22" s="21"/>
      <c r="H22" s="21"/>
      <c r="I22" s="111"/>
      <c r="J22" s="111"/>
      <c r="K22" s="368"/>
      <c r="N22" s="350"/>
      <c r="O22" s="350"/>
      <c r="P22" s="350"/>
      <c r="Q22" s="350"/>
      <c r="R22" s="350"/>
      <c r="S22" s="350"/>
      <c r="T22" s="350"/>
      <c r="U22" s="350"/>
      <c r="V22" s="350"/>
    </row>
    <row r="23" ht="37.5" customHeight="1">
      <c r="A23" s="52">
        <v>6.0</v>
      </c>
      <c r="B23" s="19"/>
      <c r="C23" s="52"/>
      <c r="D23" s="52"/>
      <c r="E23" s="118"/>
      <c r="F23" s="21"/>
      <c r="G23" s="111"/>
      <c r="H23" s="310"/>
      <c r="I23" s="111"/>
      <c r="J23" s="111"/>
      <c r="K23" s="209"/>
      <c r="L23" s="209"/>
      <c r="M23" s="209"/>
      <c r="N23" s="164"/>
      <c r="O23" s="164"/>
      <c r="P23" s="164"/>
      <c r="Q23" s="164"/>
      <c r="R23" s="164"/>
      <c r="S23" s="164"/>
      <c r="T23" s="164"/>
      <c r="U23" s="164"/>
      <c r="V23" s="164"/>
    </row>
    <row r="24" ht="37.5" customHeight="1">
      <c r="A24" s="52">
        <v>7.0</v>
      </c>
      <c r="B24" s="52"/>
      <c r="C24" s="52"/>
      <c r="D24" s="52"/>
      <c r="E24" s="118"/>
      <c r="F24" s="21"/>
      <c r="G24" s="111"/>
      <c r="H24" s="111"/>
      <c r="I24" s="111"/>
      <c r="J24" s="111"/>
      <c r="K24" s="376"/>
      <c r="L24" s="209"/>
      <c r="M24" s="209"/>
      <c r="N24" s="164"/>
      <c r="O24" s="164"/>
      <c r="P24" s="164"/>
      <c r="Q24" s="164"/>
      <c r="R24" s="164"/>
      <c r="S24" s="164"/>
      <c r="T24" s="164"/>
      <c r="U24" s="164"/>
      <c r="V24" s="164"/>
    </row>
    <row r="25" ht="37.5" customHeight="1">
      <c r="A25" s="52">
        <v>8.0</v>
      </c>
      <c r="B25" s="18"/>
      <c r="C25" s="52"/>
      <c r="D25" s="52"/>
      <c r="E25" s="52"/>
      <c r="F25" s="21"/>
      <c r="G25" s="111"/>
      <c r="H25" s="111"/>
      <c r="I25" s="111"/>
      <c r="J25" s="111"/>
      <c r="K25" s="376"/>
      <c r="L25" s="209"/>
      <c r="M25" s="209"/>
      <c r="N25" s="164"/>
      <c r="O25" s="164"/>
      <c r="P25" s="164"/>
      <c r="Q25" s="164"/>
      <c r="R25" s="164"/>
      <c r="S25" s="164"/>
      <c r="T25" s="164"/>
      <c r="U25" s="164"/>
      <c r="V25" s="164"/>
    </row>
    <row r="26" ht="37.5" customHeight="1">
      <c r="A26" s="52">
        <v>10.0</v>
      </c>
      <c r="B26" s="52"/>
      <c r="C26" s="52"/>
      <c r="D26" s="52"/>
      <c r="E26" s="52"/>
      <c r="F26" s="23"/>
      <c r="G26" s="111"/>
      <c r="H26" s="164"/>
      <c r="I26" s="111"/>
      <c r="J26" s="111"/>
      <c r="K26" s="376"/>
      <c r="L26" s="209"/>
      <c r="M26" s="209"/>
      <c r="N26" s="164"/>
      <c r="O26" s="164"/>
      <c r="P26" s="164"/>
      <c r="Q26" s="164"/>
      <c r="R26" s="164"/>
      <c r="S26" s="164"/>
      <c r="T26" s="164"/>
      <c r="U26" s="164"/>
      <c r="V26" s="164"/>
    </row>
    <row r="27" ht="37.5" customHeight="1">
      <c r="A27" s="52">
        <v>11.0</v>
      </c>
      <c r="B27" s="52"/>
      <c r="C27" s="52"/>
      <c r="D27" s="52"/>
      <c r="E27" s="52"/>
      <c r="F27" s="23"/>
      <c r="G27" s="23"/>
      <c r="H27" s="23"/>
      <c r="I27" s="111"/>
      <c r="J27" s="111"/>
      <c r="K27" s="376"/>
      <c r="L27" s="209"/>
      <c r="M27" s="209"/>
      <c r="N27" s="164"/>
      <c r="O27" s="164"/>
      <c r="P27" s="164"/>
      <c r="Q27" s="164"/>
      <c r="R27" s="164"/>
      <c r="S27" s="164"/>
      <c r="T27" s="164"/>
      <c r="U27" s="164"/>
      <c r="V27" s="164"/>
    </row>
    <row r="28" ht="37.5" customHeight="1">
      <c r="A28" s="52">
        <v>1.0</v>
      </c>
      <c r="B28" s="52"/>
      <c r="C28" s="52"/>
      <c r="D28" s="52"/>
      <c r="E28" s="52"/>
      <c r="F28" s="377"/>
      <c r="G28" s="111"/>
      <c r="H28" s="164"/>
      <c r="I28" s="111"/>
      <c r="J28" s="111"/>
      <c r="K28" s="376"/>
      <c r="L28" s="209"/>
      <c r="M28" s="209"/>
      <c r="N28" s="164"/>
      <c r="O28" s="164"/>
      <c r="P28" s="164"/>
      <c r="Q28" s="164"/>
      <c r="R28" s="164"/>
      <c r="S28" s="164"/>
      <c r="T28" s="164"/>
      <c r="U28" s="164"/>
      <c r="V28" s="164"/>
    </row>
    <row r="29" ht="37.5" customHeight="1">
      <c r="A29" s="52">
        <v>11.0</v>
      </c>
      <c r="B29" s="52"/>
      <c r="C29" s="52"/>
      <c r="D29" s="52"/>
      <c r="E29" s="52"/>
      <c r="F29" s="377"/>
      <c r="G29" s="378"/>
      <c r="H29" s="378"/>
      <c r="I29" s="111"/>
      <c r="J29" s="111"/>
      <c r="K29" s="209"/>
      <c r="L29" s="209"/>
      <c r="M29" s="209"/>
      <c r="N29" s="164"/>
      <c r="O29" s="164"/>
      <c r="P29" s="164"/>
      <c r="Q29" s="164"/>
      <c r="R29" s="164"/>
      <c r="S29" s="164"/>
      <c r="T29" s="164"/>
      <c r="U29" s="164"/>
      <c r="V29" s="164"/>
    </row>
    <row r="30" ht="37.5" customHeight="1">
      <c r="A30" s="52">
        <v>12.0</v>
      </c>
      <c r="B30" s="52"/>
      <c r="C30" s="52"/>
      <c r="D30" s="52"/>
      <c r="E30" s="52"/>
      <c r="F30" s="163"/>
      <c r="G30" s="315"/>
      <c r="H30" s="315"/>
      <c r="I30" s="111"/>
      <c r="J30" s="111"/>
      <c r="K30" s="209"/>
      <c r="L30" s="209"/>
      <c r="M30" s="209"/>
      <c r="N30" s="164"/>
      <c r="O30" s="164"/>
      <c r="P30" s="164"/>
      <c r="Q30" s="164"/>
      <c r="R30" s="164"/>
      <c r="S30" s="164"/>
      <c r="T30" s="164"/>
      <c r="U30" s="164"/>
      <c r="V30" s="164"/>
    </row>
    <row r="31" ht="37.5" customHeight="1">
      <c r="A31" s="52">
        <v>13.0</v>
      </c>
      <c r="B31" s="52"/>
      <c r="C31" s="52"/>
      <c r="D31" s="52"/>
      <c r="E31" s="52"/>
      <c r="F31" s="23"/>
      <c r="G31" s="23"/>
      <c r="H31" s="23"/>
      <c r="I31" s="111"/>
      <c r="J31" s="111"/>
      <c r="K31" s="209"/>
      <c r="L31" s="209"/>
      <c r="M31" s="209"/>
      <c r="N31" s="164"/>
      <c r="O31" s="164"/>
      <c r="P31" s="164"/>
      <c r="Q31" s="164"/>
      <c r="R31" s="164"/>
      <c r="S31" s="164"/>
      <c r="T31" s="164"/>
      <c r="U31" s="164"/>
      <c r="V31" s="164"/>
    </row>
    <row r="32" ht="37.5" customHeight="1">
      <c r="A32" s="52">
        <v>14.0</v>
      </c>
      <c r="B32" s="52"/>
      <c r="C32" s="52"/>
      <c r="D32" s="52"/>
      <c r="E32" s="52"/>
      <c r="F32" s="23"/>
      <c r="G32" s="23"/>
      <c r="H32" s="23"/>
      <c r="I32" s="111"/>
      <c r="J32" s="111"/>
      <c r="K32" s="209"/>
      <c r="L32" s="209"/>
      <c r="M32" s="209"/>
      <c r="N32" s="164"/>
      <c r="O32" s="164"/>
      <c r="P32" s="164"/>
      <c r="Q32" s="164"/>
      <c r="R32" s="164"/>
      <c r="S32" s="164"/>
      <c r="T32" s="164"/>
      <c r="U32" s="164"/>
      <c r="V32" s="164"/>
    </row>
    <row r="33" ht="37.5" customHeight="1">
      <c r="A33" s="52">
        <v>15.0</v>
      </c>
      <c r="B33" s="52"/>
      <c r="C33" s="52"/>
      <c r="D33" s="52"/>
      <c r="E33" s="52"/>
      <c r="F33" s="23"/>
      <c r="G33" s="23"/>
      <c r="H33" s="23"/>
      <c r="I33" s="111"/>
      <c r="J33" s="111"/>
      <c r="K33" s="209"/>
      <c r="L33" s="209"/>
      <c r="M33" s="209"/>
      <c r="N33" s="164"/>
      <c r="O33" s="164"/>
      <c r="P33" s="164"/>
      <c r="Q33" s="164"/>
      <c r="R33" s="164"/>
      <c r="S33" s="164"/>
      <c r="T33" s="164"/>
      <c r="U33" s="164"/>
      <c r="V33" s="164"/>
    </row>
    <row r="34" ht="39.75" customHeight="1">
      <c r="A34" s="164"/>
      <c r="B34" s="164"/>
      <c r="C34" s="164"/>
      <c r="D34" s="164"/>
      <c r="E34" s="164"/>
      <c r="F34" s="209"/>
      <c r="G34" s="209"/>
      <c r="H34" s="209"/>
      <c r="I34" s="164"/>
      <c r="J34" s="330"/>
      <c r="K34" s="164"/>
      <c r="L34" s="164"/>
      <c r="M34" s="379"/>
      <c r="N34" s="164"/>
      <c r="O34" s="164"/>
      <c r="P34" s="164"/>
      <c r="Q34" s="164"/>
      <c r="R34" s="164"/>
      <c r="S34" s="164"/>
      <c r="T34" s="164"/>
      <c r="U34" s="164"/>
      <c r="V34" s="164"/>
    </row>
    <row r="35" ht="37.5" customHeight="1">
      <c r="A35" s="380"/>
      <c r="B35" s="381"/>
      <c r="C35" s="381"/>
      <c r="D35" s="381"/>
      <c r="E35" s="381"/>
      <c r="F35" s="209"/>
      <c r="G35" s="209"/>
      <c r="H35" s="209"/>
      <c r="I35" s="330"/>
      <c r="J35" s="330"/>
      <c r="K35" s="209"/>
      <c r="L35" s="209"/>
      <c r="M35" s="209"/>
      <c r="N35" s="164"/>
      <c r="O35" s="164"/>
      <c r="P35" s="164"/>
      <c r="Q35" s="164"/>
      <c r="R35" s="164"/>
      <c r="S35" s="164"/>
      <c r="T35" s="164"/>
      <c r="U35" s="164"/>
      <c r="V35" s="164"/>
    </row>
    <row r="36" ht="37.5" customHeight="1">
      <c r="A36" s="382"/>
      <c r="B36" s="383"/>
      <c r="C36" s="383"/>
      <c r="D36" s="383"/>
      <c r="E36" s="383"/>
      <c r="F36" s="209"/>
      <c r="G36" s="209"/>
      <c r="H36" s="209"/>
      <c r="I36" s="330"/>
      <c r="J36" s="330"/>
      <c r="K36" s="209"/>
      <c r="L36" s="209"/>
      <c r="M36" s="209"/>
      <c r="N36" s="164"/>
      <c r="O36" s="164"/>
      <c r="P36" s="164"/>
      <c r="Q36" s="164"/>
      <c r="R36" s="164"/>
      <c r="S36" s="164"/>
      <c r="T36" s="164"/>
      <c r="U36" s="164"/>
      <c r="V36" s="164"/>
    </row>
    <row r="37" ht="37.5" customHeight="1">
      <c r="A37" s="382"/>
      <c r="B37" s="381"/>
      <c r="C37" s="381"/>
      <c r="D37" s="381"/>
      <c r="E37" s="381"/>
      <c r="F37" s="384"/>
      <c r="G37" s="384"/>
      <c r="H37" s="384"/>
      <c r="I37" s="330"/>
      <c r="J37" s="330"/>
      <c r="K37" s="209"/>
      <c r="L37" s="209"/>
      <c r="M37" s="209"/>
      <c r="N37" s="164"/>
      <c r="O37" s="164"/>
      <c r="P37" s="164"/>
      <c r="Q37" s="164"/>
      <c r="R37" s="164"/>
      <c r="S37" s="164"/>
      <c r="T37" s="164"/>
      <c r="U37" s="164"/>
      <c r="V37" s="164"/>
    </row>
    <row r="38" ht="15.75" customHeight="1">
      <c r="A38" s="382"/>
      <c r="B38" s="381"/>
      <c r="C38" s="381"/>
      <c r="D38" s="381"/>
      <c r="E38" s="381"/>
      <c r="F38" s="384"/>
      <c r="G38" s="384"/>
      <c r="H38" s="384"/>
      <c r="I38" s="209"/>
      <c r="J38" s="209"/>
      <c r="K38" s="209"/>
      <c r="L38" s="209"/>
      <c r="M38" s="209"/>
      <c r="N38" s="164"/>
      <c r="O38" s="164"/>
      <c r="P38" s="164"/>
      <c r="Q38" s="164"/>
      <c r="R38" s="164"/>
      <c r="S38" s="164"/>
      <c r="T38" s="164"/>
      <c r="U38" s="164"/>
      <c r="V38" s="164"/>
    </row>
    <row r="39" ht="15.75" customHeight="1">
      <c r="A39" s="380"/>
      <c r="B39" s="381"/>
      <c r="C39" s="381"/>
      <c r="D39" s="381"/>
      <c r="E39" s="381"/>
      <c r="F39" s="384"/>
      <c r="G39" s="384"/>
      <c r="H39" s="384"/>
      <c r="I39" s="209"/>
      <c r="J39" s="209"/>
      <c r="K39" s="209"/>
      <c r="L39" s="209"/>
      <c r="M39" s="209"/>
      <c r="N39" s="164"/>
      <c r="O39" s="164"/>
      <c r="P39" s="164"/>
      <c r="Q39" s="164"/>
      <c r="R39" s="164"/>
      <c r="S39" s="164"/>
      <c r="T39" s="164"/>
      <c r="U39" s="164"/>
      <c r="V39" s="164"/>
    </row>
    <row r="40" ht="15.75" customHeight="1">
      <c r="A40" s="382"/>
      <c r="B40" s="381"/>
      <c r="C40" s="381"/>
      <c r="D40" s="381"/>
      <c r="E40" s="381"/>
      <c r="F40" s="384"/>
      <c r="G40" s="384"/>
      <c r="H40" s="384"/>
      <c r="I40" s="209"/>
      <c r="J40" s="209"/>
      <c r="K40" s="209"/>
      <c r="L40" s="209"/>
      <c r="M40" s="209"/>
      <c r="N40" s="164"/>
      <c r="O40" s="164"/>
      <c r="P40" s="164"/>
      <c r="Q40" s="164"/>
      <c r="R40" s="164"/>
      <c r="S40" s="164"/>
      <c r="T40" s="164"/>
      <c r="U40" s="164"/>
      <c r="V40" s="164"/>
    </row>
    <row r="41" ht="15.75" customHeight="1">
      <c r="A41" s="385"/>
      <c r="B41" s="381"/>
      <c r="C41" s="381"/>
      <c r="D41" s="381"/>
      <c r="E41" s="381"/>
      <c r="F41" s="384"/>
      <c r="G41" s="384"/>
      <c r="H41" s="384"/>
      <c r="I41" s="209"/>
      <c r="J41" s="209"/>
      <c r="K41" s="209"/>
      <c r="L41" s="209"/>
      <c r="M41" s="209"/>
      <c r="N41" s="164"/>
      <c r="O41" s="164"/>
      <c r="P41" s="164"/>
      <c r="Q41" s="164"/>
      <c r="R41" s="164"/>
      <c r="S41" s="164"/>
      <c r="T41" s="164"/>
      <c r="U41" s="164"/>
      <c r="V41" s="164"/>
    </row>
    <row r="42" ht="15.75" customHeight="1">
      <c r="A42" s="385"/>
      <c r="B42" s="381"/>
      <c r="C42" s="381"/>
      <c r="D42" s="381"/>
      <c r="E42" s="381"/>
      <c r="F42" s="384"/>
      <c r="G42" s="384"/>
      <c r="H42" s="384"/>
      <c r="I42" s="209"/>
      <c r="J42" s="209"/>
      <c r="K42" s="209"/>
      <c r="L42" s="209"/>
      <c r="M42" s="209"/>
      <c r="N42" s="164"/>
      <c r="O42" s="164"/>
      <c r="P42" s="164"/>
      <c r="Q42" s="164"/>
      <c r="R42" s="164"/>
      <c r="S42" s="164"/>
      <c r="T42" s="164"/>
      <c r="U42" s="164"/>
      <c r="V42" s="164"/>
    </row>
    <row r="43" ht="15.75" customHeight="1">
      <c r="A43" s="385"/>
      <c r="B43" s="381"/>
      <c r="C43" s="381"/>
      <c r="D43" s="381"/>
      <c r="E43" s="381"/>
      <c r="F43" s="384"/>
      <c r="G43" s="384"/>
      <c r="H43" s="384"/>
      <c r="I43" s="209"/>
      <c r="J43" s="209"/>
      <c r="K43" s="209"/>
      <c r="L43" s="209"/>
      <c r="M43" s="209"/>
      <c r="N43" s="164"/>
      <c r="O43" s="164"/>
      <c r="P43" s="164"/>
      <c r="Q43" s="164"/>
      <c r="R43" s="164"/>
      <c r="S43" s="164"/>
      <c r="T43" s="164"/>
      <c r="U43" s="164"/>
      <c r="V43" s="164"/>
    </row>
    <row r="44" ht="15.75" customHeight="1">
      <c r="A44" s="385"/>
      <c r="B44" s="381"/>
      <c r="C44" s="381"/>
      <c r="D44" s="381"/>
      <c r="E44" s="381"/>
      <c r="F44" s="384"/>
      <c r="G44" s="384"/>
      <c r="H44" s="384"/>
      <c r="I44" s="209"/>
      <c r="J44" s="209"/>
      <c r="K44" s="209"/>
      <c r="L44" s="209"/>
      <c r="M44" s="209"/>
      <c r="N44" s="164"/>
      <c r="O44" s="164"/>
      <c r="P44" s="164"/>
      <c r="Q44" s="164"/>
      <c r="R44" s="164"/>
      <c r="S44" s="164"/>
      <c r="T44" s="164"/>
      <c r="U44" s="164"/>
      <c r="V44" s="164"/>
    </row>
    <row r="45" ht="15.75" customHeight="1">
      <c r="A45" s="385"/>
      <c r="B45" s="381"/>
      <c r="C45" s="381"/>
      <c r="D45" s="381"/>
      <c r="E45" s="381"/>
      <c r="F45" s="384"/>
      <c r="G45" s="384"/>
      <c r="H45" s="384"/>
      <c r="I45" s="209"/>
      <c r="J45" s="209"/>
      <c r="K45" s="209"/>
      <c r="L45" s="209"/>
      <c r="M45" s="209"/>
      <c r="N45" s="164"/>
      <c r="O45" s="164"/>
      <c r="P45" s="164"/>
      <c r="Q45" s="164"/>
      <c r="R45" s="164"/>
      <c r="S45" s="164"/>
      <c r="T45" s="164"/>
      <c r="U45" s="164"/>
      <c r="V45" s="164"/>
    </row>
    <row r="46" ht="15.75" customHeight="1">
      <c r="A46" s="385"/>
      <c r="B46" s="381"/>
      <c r="C46" s="381"/>
      <c r="D46" s="381"/>
      <c r="E46" s="381"/>
      <c r="F46" s="384"/>
      <c r="G46" s="384"/>
      <c r="H46" s="384"/>
      <c r="I46" s="209"/>
      <c r="J46" s="209"/>
      <c r="K46" s="209"/>
      <c r="L46" s="209"/>
      <c r="M46" s="209"/>
      <c r="N46" s="164"/>
      <c r="O46" s="164"/>
      <c r="P46" s="164"/>
      <c r="Q46" s="164"/>
      <c r="R46" s="164"/>
      <c r="S46" s="164"/>
      <c r="T46" s="164"/>
      <c r="U46" s="164"/>
      <c r="V46" s="164"/>
    </row>
    <row r="47" ht="15.75" customHeight="1">
      <c r="A47" s="385"/>
      <c r="B47" s="381"/>
      <c r="C47" s="381"/>
      <c r="D47" s="381"/>
      <c r="E47" s="381"/>
      <c r="F47" s="384"/>
      <c r="G47" s="384"/>
      <c r="H47" s="384"/>
      <c r="I47" s="209"/>
      <c r="J47" s="209"/>
      <c r="K47" s="209"/>
      <c r="L47" s="209"/>
      <c r="M47" s="209"/>
      <c r="N47" s="164"/>
      <c r="O47" s="164"/>
      <c r="P47" s="164"/>
      <c r="Q47" s="164"/>
      <c r="R47" s="164"/>
      <c r="S47" s="164"/>
      <c r="T47" s="164"/>
      <c r="U47" s="164"/>
      <c r="V47" s="164"/>
    </row>
    <row r="48" ht="15.75" customHeight="1">
      <c r="A48" s="385"/>
      <c r="B48" s="381"/>
      <c r="C48" s="381"/>
      <c r="D48" s="381"/>
      <c r="E48" s="381"/>
      <c r="F48" s="384"/>
      <c r="G48" s="384"/>
      <c r="H48" s="384"/>
      <c r="I48" s="209"/>
      <c r="J48" s="209"/>
      <c r="K48" s="209"/>
      <c r="L48" s="209"/>
      <c r="M48" s="209"/>
      <c r="N48" s="164"/>
      <c r="O48" s="164"/>
      <c r="P48" s="164"/>
      <c r="Q48" s="164"/>
      <c r="R48" s="164"/>
      <c r="S48" s="164"/>
      <c r="T48" s="164"/>
      <c r="U48" s="164"/>
      <c r="V48" s="164"/>
    </row>
    <row r="49" ht="15.75" customHeight="1">
      <c r="A49" s="385"/>
      <c r="B49" s="381"/>
      <c r="C49" s="381"/>
      <c r="D49" s="381"/>
      <c r="E49" s="381"/>
      <c r="F49" s="384"/>
      <c r="G49" s="384"/>
      <c r="H49" s="384"/>
      <c r="I49" s="209"/>
      <c r="J49" s="209"/>
      <c r="K49" s="209"/>
      <c r="L49" s="209"/>
      <c r="M49" s="209"/>
      <c r="N49" s="164"/>
      <c r="O49" s="164"/>
      <c r="P49" s="164"/>
      <c r="Q49" s="164"/>
      <c r="R49" s="164"/>
      <c r="S49" s="164"/>
      <c r="T49" s="164"/>
      <c r="U49" s="164"/>
      <c r="V49" s="164"/>
    </row>
    <row r="50" ht="15.75" customHeight="1">
      <c r="A50" s="385"/>
      <c r="B50" s="381"/>
      <c r="C50" s="381"/>
      <c r="D50" s="381"/>
      <c r="E50" s="381"/>
      <c r="F50" s="384"/>
      <c r="G50" s="384"/>
      <c r="H50" s="384"/>
      <c r="I50" s="209"/>
      <c r="J50" s="209"/>
      <c r="K50" s="209"/>
      <c r="L50" s="209"/>
      <c r="M50" s="209"/>
      <c r="N50" s="164"/>
      <c r="O50" s="164"/>
      <c r="P50" s="164"/>
      <c r="Q50" s="164"/>
      <c r="R50" s="164"/>
      <c r="S50" s="164"/>
      <c r="T50" s="164"/>
      <c r="U50" s="164"/>
      <c r="V50" s="164"/>
    </row>
    <row r="51" ht="15.75" customHeight="1">
      <c r="A51" s="385"/>
      <c r="B51" s="381"/>
      <c r="C51" s="381"/>
      <c r="D51" s="381"/>
      <c r="E51" s="381"/>
      <c r="F51" s="384"/>
      <c r="G51" s="384"/>
      <c r="H51" s="384"/>
      <c r="I51" s="209"/>
      <c r="J51" s="209"/>
      <c r="K51" s="209"/>
      <c r="L51" s="209"/>
      <c r="M51" s="209"/>
      <c r="N51" s="164"/>
      <c r="O51" s="164"/>
      <c r="P51" s="164"/>
      <c r="Q51" s="164"/>
      <c r="R51" s="164"/>
      <c r="S51" s="164"/>
      <c r="T51" s="164"/>
      <c r="U51" s="164"/>
      <c r="V51" s="164"/>
    </row>
    <row r="52" ht="15.75" customHeight="1">
      <c r="A52" s="385"/>
      <c r="B52" s="381"/>
      <c r="C52" s="381"/>
      <c r="D52" s="381"/>
      <c r="E52" s="381"/>
      <c r="F52" s="384"/>
      <c r="G52" s="384"/>
      <c r="H52" s="384"/>
      <c r="I52" s="209"/>
      <c r="J52" s="209"/>
      <c r="K52" s="209"/>
      <c r="L52" s="209"/>
      <c r="M52" s="209"/>
      <c r="N52" s="164"/>
      <c r="O52" s="164"/>
      <c r="P52" s="164"/>
      <c r="Q52" s="164"/>
      <c r="R52" s="164"/>
      <c r="S52" s="164"/>
      <c r="T52" s="164"/>
      <c r="U52" s="164"/>
      <c r="V52" s="164"/>
    </row>
    <row r="53" ht="15.75" customHeight="1">
      <c r="A53" s="385"/>
      <c r="B53" s="381"/>
      <c r="C53" s="381"/>
      <c r="D53" s="381"/>
      <c r="E53" s="381"/>
      <c r="F53" s="384"/>
      <c r="G53" s="384"/>
      <c r="H53" s="384"/>
      <c r="I53" s="209"/>
      <c r="J53" s="209"/>
      <c r="K53" s="209"/>
      <c r="L53" s="209"/>
      <c r="M53" s="209"/>
      <c r="N53" s="164"/>
      <c r="O53" s="164"/>
      <c r="P53" s="164"/>
      <c r="Q53" s="164"/>
      <c r="R53" s="164"/>
      <c r="S53" s="164"/>
      <c r="T53" s="164"/>
      <c r="U53" s="164"/>
      <c r="V53" s="164"/>
    </row>
    <row r="54" ht="15.75" customHeight="1">
      <c r="A54" s="385"/>
      <c r="B54" s="381"/>
      <c r="C54" s="381"/>
      <c r="D54" s="381"/>
      <c r="E54" s="381"/>
      <c r="F54" s="384"/>
      <c r="G54" s="384"/>
      <c r="H54" s="384"/>
      <c r="I54" s="209"/>
      <c r="J54" s="209"/>
      <c r="K54" s="209"/>
      <c r="L54" s="209"/>
      <c r="M54" s="209"/>
      <c r="N54" s="164"/>
      <c r="O54" s="164"/>
      <c r="P54" s="164"/>
      <c r="Q54" s="164"/>
      <c r="R54" s="164"/>
      <c r="S54" s="164"/>
      <c r="T54" s="164"/>
      <c r="U54" s="164"/>
      <c r="V54" s="164"/>
    </row>
    <row r="55" ht="15.75" customHeight="1">
      <c r="A55" s="385"/>
      <c r="B55" s="381"/>
      <c r="C55" s="381"/>
      <c r="D55" s="381"/>
      <c r="E55" s="381"/>
      <c r="F55" s="384"/>
      <c r="G55" s="384"/>
      <c r="H55" s="384"/>
      <c r="I55" s="209"/>
      <c r="J55" s="209"/>
      <c r="K55" s="209"/>
      <c r="L55" s="209"/>
      <c r="M55" s="209"/>
      <c r="N55" s="164"/>
      <c r="O55" s="164"/>
      <c r="P55" s="164"/>
      <c r="Q55" s="164"/>
      <c r="R55" s="164"/>
      <c r="S55" s="164"/>
      <c r="T55" s="164"/>
      <c r="U55" s="164"/>
      <c r="V55" s="164"/>
    </row>
    <row r="56" ht="15.75" customHeight="1">
      <c r="A56" s="385"/>
      <c r="B56" s="381"/>
      <c r="C56" s="381"/>
      <c r="D56" s="381"/>
      <c r="E56" s="381"/>
      <c r="F56" s="384"/>
      <c r="G56" s="384"/>
      <c r="H56" s="384"/>
      <c r="I56" s="209"/>
      <c r="J56" s="209"/>
      <c r="K56" s="209"/>
      <c r="L56" s="209"/>
      <c r="M56" s="209"/>
      <c r="N56" s="164"/>
      <c r="O56" s="164"/>
      <c r="P56" s="164"/>
      <c r="Q56" s="164"/>
      <c r="R56" s="164"/>
      <c r="S56" s="164"/>
      <c r="T56" s="164"/>
      <c r="U56" s="164"/>
      <c r="V56" s="164"/>
    </row>
    <row r="57" ht="15.75" customHeight="1">
      <c r="A57" s="385"/>
      <c r="B57" s="381"/>
      <c r="C57" s="381"/>
      <c r="D57" s="381"/>
      <c r="E57" s="381"/>
      <c r="F57" s="384"/>
      <c r="G57" s="384"/>
      <c r="H57" s="384"/>
      <c r="I57" s="209"/>
      <c r="J57" s="209"/>
      <c r="K57" s="209"/>
      <c r="L57" s="209"/>
      <c r="M57" s="209"/>
      <c r="N57" s="164"/>
      <c r="O57" s="164"/>
      <c r="P57" s="164"/>
      <c r="Q57" s="164"/>
      <c r="R57" s="164"/>
      <c r="S57" s="164"/>
      <c r="T57" s="164"/>
      <c r="U57" s="164"/>
      <c r="V57" s="164"/>
    </row>
    <row r="58" ht="15.75" customHeight="1">
      <c r="A58" s="385"/>
      <c r="B58" s="381"/>
      <c r="C58" s="381"/>
      <c r="D58" s="381"/>
      <c r="E58" s="381"/>
      <c r="F58" s="384"/>
      <c r="G58" s="384"/>
      <c r="H58" s="384"/>
      <c r="I58" s="209"/>
      <c r="J58" s="209"/>
      <c r="K58" s="209"/>
      <c r="L58" s="209"/>
      <c r="M58" s="209"/>
      <c r="N58" s="164"/>
      <c r="O58" s="164"/>
      <c r="P58" s="164"/>
      <c r="Q58" s="164"/>
      <c r="R58" s="164"/>
      <c r="S58" s="164"/>
      <c r="T58" s="164"/>
      <c r="U58" s="164"/>
      <c r="V58" s="164"/>
    </row>
    <row r="59" ht="15.75" customHeight="1">
      <c r="A59" s="385"/>
      <c r="B59" s="381"/>
      <c r="C59" s="381"/>
      <c r="D59" s="381"/>
      <c r="E59" s="381"/>
      <c r="F59" s="384"/>
      <c r="G59" s="384"/>
      <c r="H59" s="384"/>
      <c r="I59" s="209"/>
      <c r="J59" s="209"/>
      <c r="K59" s="209"/>
      <c r="L59" s="209"/>
      <c r="M59" s="209"/>
      <c r="N59" s="164"/>
      <c r="O59" s="164"/>
      <c r="P59" s="164"/>
      <c r="Q59" s="164"/>
      <c r="R59" s="164"/>
      <c r="S59" s="164"/>
      <c r="T59" s="164"/>
      <c r="U59" s="164"/>
      <c r="V59" s="164"/>
    </row>
    <row r="60" ht="15.75" customHeight="1">
      <c r="A60" s="385"/>
      <c r="B60" s="381"/>
      <c r="C60" s="381"/>
      <c r="D60" s="381"/>
      <c r="E60" s="381"/>
      <c r="F60" s="384"/>
      <c r="G60" s="384"/>
      <c r="H60" s="384"/>
      <c r="I60" s="209"/>
      <c r="J60" s="209"/>
      <c r="K60" s="209"/>
      <c r="L60" s="209"/>
      <c r="M60" s="209"/>
      <c r="N60" s="164"/>
      <c r="O60" s="164"/>
      <c r="P60" s="164"/>
      <c r="Q60" s="164"/>
      <c r="R60" s="164"/>
      <c r="S60" s="164"/>
      <c r="T60" s="164"/>
      <c r="U60" s="164"/>
      <c r="V60" s="164"/>
    </row>
    <row r="61" ht="15.75" customHeight="1">
      <c r="A61" s="385"/>
      <c r="B61" s="381"/>
      <c r="C61" s="381"/>
      <c r="D61" s="381"/>
      <c r="E61" s="381"/>
      <c r="F61" s="384"/>
      <c r="G61" s="384"/>
      <c r="H61" s="384"/>
      <c r="I61" s="209"/>
      <c r="J61" s="209"/>
      <c r="K61" s="209"/>
      <c r="L61" s="209"/>
      <c r="M61" s="209"/>
      <c r="N61" s="164"/>
      <c r="O61" s="164"/>
      <c r="P61" s="164"/>
      <c r="Q61" s="164"/>
      <c r="R61" s="164"/>
      <c r="S61" s="164"/>
      <c r="T61" s="164"/>
      <c r="U61" s="164"/>
      <c r="V61" s="164"/>
    </row>
    <row r="62" ht="15.75" customHeight="1">
      <c r="A62" s="385"/>
      <c r="B62" s="381"/>
      <c r="C62" s="381"/>
      <c r="D62" s="381"/>
      <c r="E62" s="381"/>
      <c r="F62" s="384"/>
      <c r="G62" s="384"/>
      <c r="H62" s="384"/>
      <c r="I62" s="209"/>
      <c r="J62" s="209"/>
      <c r="K62" s="209"/>
      <c r="L62" s="209"/>
      <c r="M62" s="209"/>
      <c r="N62" s="164"/>
      <c r="O62" s="164"/>
      <c r="P62" s="164"/>
      <c r="Q62" s="164"/>
      <c r="R62" s="164"/>
      <c r="S62" s="164"/>
      <c r="T62" s="164"/>
      <c r="U62" s="164"/>
      <c r="V62" s="164"/>
    </row>
    <row r="63" ht="15.75" customHeight="1">
      <c r="A63" s="385"/>
      <c r="B63" s="381"/>
      <c r="C63" s="381"/>
      <c r="D63" s="381"/>
      <c r="E63" s="381"/>
      <c r="F63" s="384"/>
      <c r="G63" s="384"/>
      <c r="H63" s="384"/>
      <c r="I63" s="209"/>
      <c r="J63" s="209"/>
      <c r="K63" s="209"/>
      <c r="L63" s="209"/>
      <c r="M63" s="209"/>
      <c r="N63" s="164"/>
      <c r="O63" s="164"/>
      <c r="P63" s="164"/>
      <c r="Q63" s="164"/>
      <c r="R63" s="164"/>
      <c r="S63" s="164"/>
      <c r="T63" s="164"/>
      <c r="U63" s="164"/>
      <c r="V63" s="164"/>
    </row>
    <row r="64" ht="15.75" customHeight="1">
      <c r="A64" s="385"/>
      <c r="B64" s="381"/>
      <c r="C64" s="381"/>
      <c r="D64" s="381"/>
      <c r="E64" s="381"/>
      <c r="F64" s="384"/>
      <c r="G64" s="384"/>
      <c r="H64" s="384"/>
      <c r="I64" s="209"/>
      <c r="J64" s="209"/>
      <c r="K64" s="209"/>
      <c r="L64" s="209"/>
      <c r="M64" s="209"/>
      <c r="N64" s="164"/>
      <c r="O64" s="164"/>
      <c r="P64" s="164"/>
      <c r="Q64" s="164"/>
      <c r="R64" s="164"/>
      <c r="S64" s="164"/>
      <c r="T64" s="164"/>
      <c r="U64" s="164"/>
      <c r="V64" s="164"/>
    </row>
    <row r="65" ht="15.75" customHeight="1">
      <c r="A65" s="385"/>
      <c r="B65" s="381"/>
      <c r="C65" s="381"/>
      <c r="D65" s="381"/>
      <c r="E65" s="381"/>
      <c r="F65" s="384"/>
      <c r="G65" s="384"/>
      <c r="H65" s="384"/>
      <c r="I65" s="209"/>
      <c r="J65" s="209"/>
      <c r="K65" s="209"/>
      <c r="L65" s="209"/>
      <c r="M65" s="209"/>
      <c r="N65" s="164"/>
      <c r="O65" s="164"/>
      <c r="P65" s="164"/>
      <c r="Q65" s="164"/>
      <c r="R65" s="164"/>
      <c r="S65" s="164"/>
      <c r="T65" s="164"/>
      <c r="U65" s="164"/>
      <c r="V65" s="164"/>
    </row>
    <row r="66" ht="15.75" customHeight="1">
      <c r="A66" s="385"/>
      <c r="B66" s="381"/>
      <c r="C66" s="381"/>
      <c r="D66" s="381"/>
      <c r="E66" s="381"/>
      <c r="F66" s="384"/>
      <c r="G66" s="384"/>
      <c r="H66" s="384"/>
      <c r="I66" s="209"/>
      <c r="J66" s="209"/>
      <c r="K66" s="209"/>
      <c r="L66" s="209"/>
      <c r="M66" s="209"/>
      <c r="N66" s="164"/>
      <c r="O66" s="164"/>
      <c r="P66" s="164"/>
      <c r="Q66" s="164"/>
      <c r="R66" s="164"/>
      <c r="S66" s="164"/>
      <c r="T66" s="164"/>
      <c r="U66" s="164"/>
      <c r="V66" s="164"/>
    </row>
    <row r="67" ht="15.75" customHeight="1">
      <c r="A67" s="385"/>
      <c r="B67" s="381"/>
      <c r="C67" s="381"/>
      <c r="D67" s="381"/>
      <c r="E67" s="381"/>
      <c r="F67" s="384"/>
      <c r="G67" s="384"/>
      <c r="H67" s="384"/>
      <c r="I67" s="209"/>
      <c r="J67" s="209"/>
      <c r="K67" s="209"/>
      <c r="L67" s="209"/>
      <c r="M67" s="209"/>
      <c r="N67" s="164"/>
      <c r="O67" s="164"/>
      <c r="P67" s="164"/>
      <c r="Q67" s="164"/>
      <c r="R67" s="164"/>
      <c r="S67" s="164"/>
      <c r="T67" s="164"/>
      <c r="U67" s="164"/>
      <c r="V67" s="164"/>
    </row>
    <row r="68" ht="15.75" customHeight="1">
      <c r="A68" s="385"/>
      <c r="B68" s="381"/>
      <c r="C68" s="381"/>
      <c r="D68" s="381"/>
      <c r="E68" s="381"/>
      <c r="F68" s="384"/>
      <c r="G68" s="384"/>
      <c r="H68" s="384"/>
      <c r="I68" s="209"/>
      <c r="J68" s="209"/>
      <c r="K68" s="209"/>
      <c r="L68" s="209"/>
      <c r="M68" s="209"/>
      <c r="N68" s="164"/>
      <c r="O68" s="164"/>
      <c r="P68" s="164"/>
      <c r="Q68" s="164"/>
      <c r="R68" s="164"/>
      <c r="S68" s="164"/>
      <c r="T68" s="164"/>
      <c r="U68" s="164"/>
      <c r="V68" s="164"/>
    </row>
    <row r="69" ht="15.75" customHeight="1">
      <c r="A69" s="385"/>
      <c r="B69" s="381"/>
      <c r="C69" s="381"/>
      <c r="D69" s="381"/>
      <c r="E69" s="381"/>
      <c r="F69" s="384"/>
      <c r="G69" s="384"/>
      <c r="H69" s="384"/>
      <c r="I69" s="209"/>
      <c r="J69" s="209"/>
      <c r="K69" s="209"/>
      <c r="L69" s="209"/>
      <c r="M69" s="209"/>
      <c r="N69" s="164"/>
      <c r="O69" s="164"/>
      <c r="P69" s="164"/>
      <c r="Q69" s="164"/>
      <c r="R69" s="164"/>
      <c r="S69" s="164"/>
      <c r="T69" s="164"/>
      <c r="U69" s="164"/>
      <c r="V69" s="164"/>
    </row>
    <row r="70" ht="15.75" customHeight="1">
      <c r="A70" s="385"/>
      <c r="B70" s="381"/>
      <c r="C70" s="381"/>
      <c r="D70" s="381"/>
      <c r="E70" s="381"/>
      <c r="F70" s="384"/>
      <c r="G70" s="384"/>
      <c r="H70" s="384"/>
      <c r="I70" s="209"/>
      <c r="J70" s="209"/>
      <c r="K70" s="209"/>
      <c r="L70" s="209"/>
      <c r="M70" s="209"/>
      <c r="N70" s="164"/>
      <c r="O70" s="164"/>
      <c r="P70" s="164"/>
      <c r="Q70" s="164"/>
      <c r="R70" s="164"/>
      <c r="S70" s="164"/>
      <c r="T70" s="164"/>
      <c r="U70" s="164"/>
      <c r="V70" s="164"/>
    </row>
    <row r="71" ht="15.75" customHeight="1">
      <c r="A71" s="385"/>
      <c r="B71" s="381"/>
      <c r="C71" s="381"/>
      <c r="D71" s="381"/>
      <c r="E71" s="381"/>
      <c r="F71" s="384"/>
      <c r="G71" s="384"/>
      <c r="H71" s="384"/>
      <c r="I71" s="209"/>
      <c r="J71" s="209"/>
      <c r="K71" s="209"/>
      <c r="L71" s="209"/>
      <c r="M71" s="209"/>
      <c r="N71" s="164"/>
      <c r="O71" s="164"/>
      <c r="P71" s="164"/>
      <c r="Q71" s="164"/>
      <c r="R71" s="164"/>
      <c r="S71" s="164"/>
      <c r="T71" s="164"/>
      <c r="U71" s="164"/>
      <c r="V71" s="164"/>
    </row>
    <row r="72" ht="15.75" customHeight="1">
      <c r="A72" s="385"/>
      <c r="B72" s="381"/>
      <c r="C72" s="381"/>
      <c r="D72" s="381"/>
      <c r="E72" s="381"/>
      <c r="F72" s="384"/>
      <c r="G72" s="384"/>
      <c r="H72" s="384"/>
      <c r="I72" s="209"/>
      <c r="J72" s="209"/>
      <c r="K72" s="209"/>
      <c r="L72" s="209"/>
      <c r="M72" s="209"/>
      <c r="N72" s="164"/>
      <c r="O72" s="164"/>
      <c r="P72" s="164"/>
      <c r="Q72" s="164"/>
      <c r="R72" s="164"/>
      <c r="S72" s="164"/>
      <c r="T72" s="164"/>
      <c r="U72" s="164"/>
      <c r="V72" s="164"/>
    </row>
    <row r="73" ht="15.75" customHeight="1">
      <c r="A73" s="385"/>
      <c r="B73" s="381"/>
      <c r="C73" s="381"/>
      <c r="D73" s="381"/>
      <c r="E73" s="381"/>
      <c r="F73" s="384"/>
      <c r="G73" s="384"/>
      <c r="H73" s="384"/>
      <c r="I73" s="209"/>
      <c r="J73" s="209"/>
      <c r="K73" s="209"/>
      <c r="L73" s="209"/>
      <c r="M73" s="209"/>
      <c r="N73" s="164"/>
      <c r="O73" s="164"/>
      <c r="P73" s="164"/>
      <c r="Q73" s="164"/>
      <c r="R73" s="164"/>
      <c r="S73" s="164"/>
      <c r="T73" s="164"/>
      <c r="U73" s="164"/>
      <c r="V73" s="164"/>
    </row>
    <row r="74" ht="15.75" customHeight="1">
      <c r="A74" s="385"/>
      <c r="B74" s="381"/>
      <c r="C74" s="381"/>
      <c r="D74" s="381"/>
      <c r="E74" s="381"/>
      <c r="F74" s="384"/>
      <c r="G74" s="384"/>
      <c r="H74" s="384"/>
      <c r="I74" s="209"/>
      <c r="J74" s="209"/>
      <c r="K74" s="209"/>
      <c r="L74" s="209"/>
      <c r="M74" s="209"/>
      <c r="N74" s="164"/>
      <c r="O74" s="164"/>
      <c r="P74" s="164"/>
      <c r="Q74" s="164"/>
      <c r="R74" s="164"/>
      <c r="S74" s="164"/>
      <c r="T74" s="164"/>
      <c r="U74" s="164"/>
      <c r="V74" s="164"/>
    </row>
    <row r="75" ht="15.75" customHeight="1">
      <c r="A75" s="385"/>
      <c r="B75" s="381"/>
      <c r="C75" s="381"/>
      <c r="D75" s="381"/>
      <c r="E75" s="381"/>
      <c r="F75" s="384"/>
      <c r="G75" s="384"/>
      <c r="H75" s="384"/>
      <c r="I75" s="209"/>
      <c r="J75" s="209"/>
      <c r="K75" s="209"/>
      <c r="L75" s="209"/>
      <c r="M75" s="209"/>
      <c r="N75" s="164"/>
      <c r="O75" s="164"/>
      <c r="P75" s="164"/>
      <c r="Q75" s="164"/>
      <c r="R75" s="164"/>
      <c r="S75" s="164"/>
      <c r="T75" s="164"/>
      <c r="U75" s="164"/>
      <c r="V75" s="164"/>
    </row>
    <row r="76" ht="15.75" customHeight="1">
      <c r="A76" s="385"/>
      <c r="B76" s="381"/>
      <c r="C76" s="381"/>
      <c r="D76" s="381"/>
      <c r="E76" s="381"/>
      <c r="F76" s="384"/>
      <c r="G76" s="384"/>
      <c r="H76" s="384"/>
      <c r="I76" s="209"/>
      <c r="J76" s="209"/>
      <c r="K76" s="209"/>
      <c r="L76" s="209"/>
      <c r="M76" s="209"/>
      <c r="N76" s="164"/>
      <c r="O76" s="164"/>
      <c r="P76" s="164"/>
      <c r="Q76" s="164"/>
      <c r="R76" s="164"/>
      <c r="S76" s="164"/>
      <c r="T76" s="164"/>
      <c r="U76" s="164"/>
      <c r="V76" s="164"/>
    </row>
    <row r="77" ht="15.75" customHeight="1">
      <c r="A77" s="385"/>
      <c r="B77" s="381"/>
      <c r="C77" s="381"/>
      <c r="D77" s="381"/>
      <c r="E77" s="381"/>
      <c r="F77" s="384"/>
      <c r="G77" s="384"/>
      <c r="H77" s="384"/>
      <c r="I77" s="209"/>
      <c r="J77" s="209"/>
      <c r="K77" s="209"/>
      <c r="L77" s="209"/>
      <c r="M77" s="209"/>
      <c r="N77" s="164"/>
      <c r="O77" s="164"/>
      <c r="P77" s="164"/>
      <c r="Q77" s="164"/>
      <c r="R77" s="164"/>
      <c r="S77" s="164"/>
      <c r="T77" s="164"/>
      <c r="U77" s="164"/>
      <c r="V77" s="164"/>
    </row>
    <row r="78" ht="15.75" customHeight="1">
      <c r="A78" s="385"/>
      <c r="B78" s="381"/>
      <c r="C78" s="381"/>
      <c r="D78" s="381"/>
      <c r="E78" s="381"/>
      <c r="F78" s="384"/>
      <c r="G78" s="384"/>
      <c r="H78" s="384"/>
      <c r="I78" s="209"/>
      <c r="J78" s="209"/>
      <c r="K78" s="209"/>
      <c r="L78" s="209"/>
      <c r="M78" s="209"/>
      <c r="N78" s="164"/>
      <c r="O78" s="164"/>
      <c r="P78" s="164"/>
      <c r="Q78" s="164"/>
      <c r="R78" s="164"/>
      <c r="S78" s="164"/>
      <c r="T78" s="164"/>
      <c r="U78" s="164"/>
      <c r="V78" s="164"/>
    </row>
    <row r="79" ht="15.75" customHeight="1">
      <c r="A79" s="385"/>
      <c r="B79" s="381"/>
      <c r="C79" s="381"/>
      <c r="D79" s="381"/>
      <c r="E79" s="381"/>
      <c r="F79" s="384"/>
      <c r="G79" s="384"/>
      <c r="H79" s="384"/>
      <c r="I79" s="209"/>
      <c r="J79" s="209"/>
      <c r="K79" s="209"/>
      <c r="L79" s="209"/>
      <c r="M79" s="209"/>
      <c r="N79" s="164"/>
      <c r="O79" s="164"/>
      <c r="P79" s="164"/>
      <c r="Q79" s="164"/>
      <c r="R79" s="164"/>
      <c r="S79" s="164"/>
      <c r="T79" s="164"/>
      <c r="U79" s="164"/>
      <c r="V79" s="164"/>
    </row>
    <row r="80" ht="15.75" customHeight="1">
      <c r="A80" s="385"/>
      <c r="B80" s="381"/>
      <c r="C80" s="381"/>
      <c r="D80" s="381"/>
      <c r="E80" s="381"/>
      <c r="F80" s="384"/>
      <c r="G80" s="384"/>
      <c r="H80" s="384"/>
      <c r="I80" s="209"/>
      <c r="J80" s="209"/>
      <c r="K80" s="209"/>
      <c r="L80" s="209"/>
      <c r="M80" s="209"/>
      <c r="N80" s="164"/>
      <c r="O80" s="164"/>
      <c r="P80" s="164"/>
      <c r="Q80" s="164"/>
      <c r="R80" s="164"/>
      <c r="S80" s="164"/>
      <c r="T80" s="164"/>
      <c r="U80" s="164"/>
      <c r="V80" s="164"/>
    </row>
    <row r="81" ht="15.75" customHeight="1">
      <c r="A81" s="385"/>
      <c r="B81" s="381"/>
      <c r="C81" s="381"/>
      <c r="D81" s="381"/>
      <c r="E81" s="381"/>
      <c r="F81" s="384"/>
      <c r="G81" s="384"/>
      <c r="H81" s="384"/>
      <c r="I81" s="209"/>
      <c r="J81" s="209"/>
      <c r="K81" s="209"/>
      <c r="L81" s="209"/>
      <c r="M81" s="209"/>
      <c r="N81" s="164"/>
      <c r="O81" s="164"/>
      <c r="P81" s="164"/>
      <c r="Q81" s="164"/>
      <c r="R81" s="164"/>
      <c r="S81" s="164"/>
      <c r="T81" s="164"/>
      <c r="U81" s="164"/>
      <c r="V81" s="164"/>
    </row>
    <row r="82" ht="15.75" customHeight="1">
      <c r="A82" s="385"/>
      <c r="B82" s="381"/>
      <c r="C82" s="381"/>
      <c r="D82" s="381"/>
      <c r="E82" s="381"/>
      <c r="F82" s="384"/>
      <c r="G82" s="384"/>
      <c r="H82" s="384"/>
      <c r="I82" s="209"/>
      <c r="J82" s="209"/>
      <c r="K82" s="209"/>
      <c r="L82" s="209"/>
      <c r="M82" s="209"/>
      <c r="N82" s="164"/>
      <c r="O82" s="164"/>
      <c r="P82" s="164"/>
      <c r="Q82" s="164"/>
      <c r="R82" s="164"/>
      <c r="S82" s="164"/>
      <c r="T82" s="164"/>
      <c r="U82" s="164"/>
      <c r="V82" s="164"/>
    </row>
    <row r="83" ht="15.75" customHeight="1">
      <c r="A83" s="385"/>
      <c r="B83" s="381"/>
      <c r="C83" s="381"/>
      <c r="D83" s="381"/>
      <c r="E83" s="381"/>
      <c r="F83" s="384"/>
      <c r="G83" s="384"/>
      <c r="H83" s="384"/>
      <c r="I83" s="209"/>
      <c r="J83" s="209"/>
      <c r="K83" s="209"/>
      <c r="L83" s="209"/>
      <c r="M83" s="209"/>
      <c r="N83" s="164"/>
      <c r="O83" s="164"/>
      <c r="P83" s="164"/>
      <c r="Q83" s="164"/>
      <c r="R83" s="164"/>
      <c r="S83" s="164"/>
      <c r="T83" s="164"/>
      <c r="U83" s="164"/>
      <c r="V83" s="164"/>
    </row>
    <row r="84" ht="15.75" customHeight="1">
      <c r="A84" s="385"/>
      <c r="B84" s="381"/>
      <c r="C84" s="381"/>
      <c r="D84" s="381"/>
      <c r="E84" s="381"/>
      <c r="F84" s="384"/>
      <c r="G84" s="384"/>
      <c r="H84" s="384"/>
      <c r="I84" s="209"/>
      <c r="J84" s="209"/>
      <c r="K84" s="209"/>
      <c r="L84" s="209"/>
      <c r="M84" s="209"/>
      <c r="N84" s="164"/>
      <c r="O84" s="164"/>
      <c r="P84" s="164"/>
      <c r="Q84" s="164"/>
      <c r="R84" s="164"/>
      <c r="S84" s="164"/>
      <c r="T84" s="164"/>
      <c r="U84" s="164"/>
      <c r="V84" s="164"/>
    </row>
    <row r="85" ht="15.75" customHeight="1">
      <c r="A85" s="385"/>
      <c r="B85" s="381"/>
      <c r="C85" s="381"/>
      <c r="D85" s="381"/>
      <c r="E85" s="381"/>
      <c r="F85" s="384"/>
      <c r="G85" s="384"/>
      <c r="H85" s="384"/>
      <c r="I85" s="209"/>
      <c r="J85" s="209"/>
      <c r="K85" s="209"/>
      <c r="L85" s="209"/>
      <c r="M85" s="209"/>
      <c r="N85" s="164"/>
      <c r="O85" s="164"/>
      <c r="P85" s="164"/>
      <c r="Q85" s="164"/>
      <c r="R85" s="164"/>
      <c r="S85" s="164"/>
      <c r="T85" s="164"/>
      <c r="U85" s="164"/>
      <c r="V85" s="164"/>
    </row>
    <row r="86" ht="15.75" customHeight="1">
      <c r="A86" s="385"/>
      <c r="B86" s="381"/>
      <c r="C86" s="381"/>
      <c r="D86" s="381"/>
      <c r="E86" s="381"/>
      <c r="F86" s="384"/>
      <c r="G86" s="384"/>
      <c r="H86" s="384"/>
      <c r="I86" s="209"/>
      <c r="J86" s="209"/>
      <c r="K86" s="209"/>
      <c r="L86" s="209"/>
      <c r="M86" s="209"/>
      <c r="N86" s="164"/>
      <c r="O86" s="164"/>
      <c r="P86" s="164"/>
      <c r="Q86" s="164"/>
      <c r="R86" s="164"/>
      <c r="S86" s="164"/>
      <c r="T86" s="164"/>
      <c r="U86" s="164"/>
      <c r="V86" s="164"/>
    </row>
    <row r="87" ht="15.75" customHeight="1">
      <c r="A87" s="385"/>
      <c r="B87" s="381"/>
      <c r="C87" s="381"/>
      <c r="D87" s="381"/>
      <c r="E87" s="381"/>
      <c r="F87" s="384"/>
      <c r="G87" s="384"/>
      <c r="H87" s="384"/>
      <c r="I87" s="209"/>
      <c r="J87" s="209"/>
      <c r="K87" s="209"/>
      <c r="L87" s="209"/>
      <c r="M87" s="209"/>
      <c r="N87" s="164"/>
      <c r="O87" s="164"/>
      <c r="P87" s="164"/>
      <c r="Q87" s="164"/>
      <c r="R87" s="164"/>
      <c r="S87" s="164"/>
      <c r="T87" s="164"/>
      <c r="U87" s="164"/>
      <c r="V87" s="164"/>
    </row>
    <row r="88" ht="15.75" customHeight="1">
      <c r="A88" s="385"/>
      <c r="B88" s="381"/>
      <c r="C88" s="381"/>
      <c r="D88" s="381"/>
      <c r="E88" s="381"/>
      <c r="F88" s="384"/>
      <c r="G88" s="384"/>
      <c r="H88" s="384"/>
      <c r="I88" s="209"/>
      <c r="J88" s="209"/>
      <c r="K88" s="209"/>
      <c r="L88" s="209"/>
      <c r="M88" s="209"/>
      <c r="N88" s="164"/>
      <c r="O88" s="164"/>
      <c r="P88" s="164"/>
      <c r="Q88" s="164"/>
      <c r="R88" s="164"/>
      <c r="S88" s="164"/>
      <c r="T88" s="164"/>
      <c r="U88" s="164"/>
      <c r="V88" s="164"/>
    </row>
    <row r="89" ht="15.75" customHeight="1">
      <c r="A89" s="385"/>
      <c r="B89" s="381"/>
      <c r="C89" s="381"/>
      <c r="D89" s="381"/>
      <c r="E89" s="381"/>
      <c r="F89" s="384"/>
      <c r="G89" s="384"/>
      <c r="H89" s="384"/>
      <c r="I89" s="209"/>
      <c r="J89" s="209"/>
      <c r="K89" s="209"/>
      <c r="L89" s="209"/>
      <c r="M89" s="209"/>
      <c r="N89" s="164"/>
      <c r="O89" s="164"/>
      <c r="P89" s="164"/>
      <c r="Q89" s="164"/>
      <c r="R89" s="164"/>
      <c r="S89" s="164"/>
      <c r="T89" s="164"/>
      <c r="U89" s="164"/>
      <c r="V89" s="164"/>
    </row>
    <row r="90" ht="15.75" customHeight="1">
      <c r="A90" s="385"/>
      <c r="B90" s="381"/>
      <c r="C90" s="381"/>
      <c r="D90" s="381"/>
      <c r="E90" s="381"/>
      <c r="F90" s="384"/>
      <c r="G90" s="384"/>
      <c r="H90" s="384"/>
      <c r="I90" s="209"/>
      <c r="J90" s="209"/>
      <c r="K90" s="209"/>
      <c r="L90" s="209"/>
      <c r="M90" s="209"/>
      <c r="N90" s="164"/>
      <c r="O90" s="164"/>
      <c r="P90" s="164"/>
      <c r="Q90" s="164"/>
      <c r="R90" s="164"/>
      <c r="S90" s="164"/>
      <c r="T90" s="164"/>
      <c r="U90" s="164"/>
      <c r="V90" s="164"/>
    </row>
    <row r="91" ht="15.75" customHeight="1">
      <c r="A91" s="385"/>
      <c r="B91" s="381"/>
      <c r="C91" s="381"/>
      <c r="D91" s="381"/>
      <c r="E91" s="381"/>
      <c r="F91" s="384"/>
      <c r="G91" s="384"/>
      <c r="H91" s="384"/>
      <c r="I91" s="209"/>
      <c r="J91" s="209"/>
      <c r="K91" s="209"/>
      <c r="L91" s="209"/>
      <c r="M91" s="209"/>
      <c r="N91" s="164"/>
      <c r="O91" s="164"/>
      <c r="P91" s="164"/>
      <c r="Q91" s="164"/>
      <c r="R91" s="164"/>
      <c r="S91" s="164"/>
      <c r="T91" s="164"/>
      <c r="U91" s="164"/>
      <c r="V91" s="164"/>
    </row>
    <row r="92" ht="15.75" customHeight="1">
      <c r="A92" s="385"/>
      <c r="B92" s="381"/>
      <c r="C92" s="381"/>
      <c r="D92" s="381"/>
      <c r="E92" s="381"/>
      <c r="F92" s="384"/>
      <c r="G92" s="384"/>
      <c r="H92" s="384"/>
      <c r="I92" s="209"/>
      <c r="J92" s="209"/>
      <c r="K92" s="209"/>
      <c r="L92" s="209"/>
      <c r="M92" s="209"/>
      <c r="N92" s="164"/>
      <c r="O92" s="164"/>
      <c r="P92" s="164"/>
      <c r="Q92" s="164"/>
      <c r="R92" s="164"/>
      <c r="S92" s="164"/>
      <c r="T92" s="164"/>
      <c r="U92" s="164"/>
      <c r="V92" s="164"/>
    </row>
    <row r="93" ht="15.75" customHeight="1">
      <c r="A93" s="385"/>
      <c r="B93" s="381"/>
      <c r="C93" s="381"/>
      <c r="D93" s="381"/>
      <c r="E93" s="381"/>
      <c r="F93" s="384"/>
      <c r="G93" s="384"/>
      <c r="H93" s="384"/>
      <c r="I93" s="209"/>
      <c r="J93" s="209"/>
      <c r="K93" s="209"/>
      <c r="L93" s="209"/>
      <c r="M93" s="209"/>
      <c r="N93" s="164"/>
      <c r="O93" s="164"/>
      <c r="P93" s="164"/>
      <c r="Q93" s="164"/>
      <c r="R93" s="164"/>
      <c r="S93" s="164"/>
      <c r="T93" s="164"/>
      <c r="U93" s="164"/>
      <c r="V93" s="164"/>
    </row>
    <row r="94" ht="15.75" customHeight="1">
      <c r="A94" s="385"/>
      <c r="B94" s="381"/>
      <c r="C94" s="381"/>
      <c r="D94" s="381"/>
      <c r="E94" s="381"/>
      <c r="F94" s="384"/>
      <c r="G94" s="384"/>
      <c r="H94" s="384"/>
      <c r="I94" s="209"/>
      <c r="J94" s="209"/>
      <c r="K94" s="209"/>
      <c r="L94" s="209"/>
      <c r="M94" s="209"/>
      <c r="N94" s="164"/>
      <c r="O94" s="164"/>
      <c r="P94" s="164"/>
      <c r="Q94" s="164"/>
      <c r="R94" s="164"/>
      <c r="S94" s="164"/>
      <c r="T94" s="164"/>
      <c r="U94" s="164"/>
      <c r="V94" s="164"/>
    </row>
    <row r="95" ht="15.75" customHeight="1">
      <c r="A95" s="385"/>
      <c r="B95" s="381"/>
      <c r="C95" s="381"/>
      <c r="D95" s="381"/>
      <c r="E95" s="381"/>
      <c r="F95" s="384"/>
      <c r="G95" s="384"/>
      <c r="H95" s="384"/>
      <c r="I95" s="209"/>
      <c r="J95" s="209"/>
      <c r="K95" s="209"/>
      <c r="L95" s="209"/>
      <c r="M95" s="209"/>
      <c r="N95" s="164"/>
      <c r="O95" s="164"/>
      <c r="P95" s="164"/>
      <c r="Q95" s="164"/>
      <c r="R95" s="164"/>
      <c r="S95" s="164"/>
      <c r="T95" s="164"/>
      <c r="U95" s="164"/>
      <c r="V95" s="164"/>
    </row>
    <row r="96" ht="15.75" customHeight="1">
      <c r="A96" s="385"/>
      <c r="B96" s="381"/>
      <c r="C96" s="381"/>
      <c r="D96" s="381"/>
      <c r="E96" s="381"/>
      <c r="F96" s="384"/>
      <c r="G96" s="384"/>
      <c r="H96" s="384"/>
      <c r="I96" s="209"/>
      <c r="J96" s="209"/>
      <c r="K96" s="209"/>
      <c r="L96" s="209"/>
      <c r="M96" s="209"/>
      <c r="N96" s="164"/>
      <c r="O96" s="164"/>
      <c r="P96" s="164"/>
      <c r="Q96" s="164"/>
      <c r="R96" s="164"/>
      <c r="S96" s="164"/>
      <c r="T96" s="164"/>
      <c r="U96" s="164"/>
      <c r="V96" s="164"/>
    </row>
    <row r="97" ht="15.75" customHeight="1">
      <c r="A97" s="385"/>
      <c r="B97" s="381"/>
      <c r="C97" s="381"/>
      <c r="D97" s="381"/>
      <c r="E97" s="381"/>
      <c r="F97" s="384"/>
      <c r="G97" s="384"/>
      <c r="H97" s="384"/>
      <c r="I97" s="209"/>
      <c r="J97" s="209"/>
      <c r="K97" s="209"/>
      <c r="L97" s="209"/>
      <c r="M97" s="209"/>
      <c r="N97" s="164"/>
      <c r="O97" s="164"/>
      <c r="P97" s="164"/>
      <c r="Q97" s="164"/>
      <c r="R97" s="164"/>
      <c r="S97" s="164"/>
      <c r="T97" s="164"/>
      <c r="U97" s="164"/>
      <c r="V97" s="164"/>
    </row>
    <row r="98" ht="15.75" customHeight="1">
      <c r="A98" s="385"/>
      <c r="B98" s="381"/>
      <c r="C98" s="381"/>
      <c r="D98" s="381"/>
      <c r="E98" s="381"/>
      <c r="F98" s="384"/>
      <c r="G98" s="384"/>
      <c r="H98" s="384"/>
      <c r="I98" s="209"/>
      <c r="J98" s="209"/>
      <c r="K98" s="209"/>
      <c r="L98" s="209"/>
      <c r="M98" s="209"/>
      <c r="N98" s="164"/>
      <c r="O98" s="164"/>
      <c r="P98" s="164"/>
      <c r="Q98" s="164"/>
      <c r="R98" s="164"/>
      <c r="S98" s="164"/>
      <c r="T98" s="164"/>
      <c r="U98" s="164"/>
      <c r="V98" s="164"/>
    </row>
    <row r="99" ht="15.75" customHeight="1">
      <c r="A99" s="385"/>
      <c r="B99" s="381"/>
      <c r="C99" s="381"/>
      <c r="D99" s="381"/>
      <c r="E99" s="381"/>
      <c r="F99" s="384"/>
      <c r="G99" s="384"/>
      <c r="H99" s="384"/>
      <c r="I99" s="209"/>
      <c r="J99" s="209"/>
      <c r="K99" s="209"/>
      <c r="L99" s="209"/>
      <c r="M99" s="209"/>
      <c r="N99" s="164"/>
      <c r="O99" s="164"/>
      <c r="P99" s="164"/>
      <c r="Q99" s="164"/>
      <c r="R99" s="164"/>
      <c r="S99" s="164"/>
      <c r="T99" s="164"/>
      <c r="U99" s="164"/>
      <c r="V99" s="164"/>
    </row>
    <row r="100" ht="15.75" customHeight="1">
      <c r="A100" s="385"/>
      <c r="B100" s="381"/>
      <c r="C100" s="381"/>
      <c r="D100" s="381"/>
      <c r="E100" s="381"/>
      <c r="F100" s="384"/>
      <c r="G100" s="384"/>
      <c r="H100" s="384"/>
      <c r="I100" s="209"/>
      <c r="J100" s="209"/>
      <c r="K100" s="209"/>
      <c r="L100" s="209"/>
      <c r="M100" s="209"/>
      <c r="N100" s="164"/>
      <c r="O100" s="164"/>
      <c r="P100" s="164"/>
      <c r="Q100" s="164"/>
      <c r="R100" s="164"/>
      <c r="S100" s="164"/>
      <c r="T100" s="164"/>
      <c r="U100" s="164"/>
      <c r="V100" s="164"/>
    </row>
    <row r="101" ht="15.75" customHeight="1">
      <c r="A101" s="385"/>
      <c r="B101" s="381"/>
      <c r="C101" s="381"/>
      <c r="D101" s="381"/>
      <c r="E101" s="381"/>
      <c r="F101" s="384"/>
      <c r="G101" s="384"/>
      <c r="H101" s="384"/>
      <c r="I101" s="209"/>
      <c r="J101" s="209"/>
      <c r="K101" s="209"/>
      <c r="L101" s="209"/>
      <c r="M101" s="209"/>
      <c r="N101" s="164"/>
      <c r="O101" s="164"/>
      <c r="P101" s="164"/>
      <c r="Q101" s="164"/>
      <c r="R101" s="164"/>
      <c r="S101" s="164"/>
      <c r="T101" s="164"/>
      <c r="U101" s="164"/>
      <c r="V101" s="164"/>
    </row>
    <row r="102" ht="15.75" customHeight="1">
      <c r="A102" s="385"/>
      <c r="B102" s="381"/>
      <c r="C102" s="381"/>
      <c r="D102" s="381"/>
      <c r="E102" s="381"/>
      <c r="F102" s="384"/>
      <c r="G102" s="384"/>
      <c r="H102" s="384"/>
      <c r="I102" s="209"/>
      <c r="J102" s="209"/>
      <c r="K102" s="209"/>
      <c r="L102" s="209"/>
      <c r="M102" s="209"/>
      <c r="N102" s="164"/>
      <c r="O102" s="164"/>
      <c r="P102" s="164"/>
      <c r="Q102" s="164"/>
      <c r="R102" s="164"/>
      <c r="S102" s="164"/>
      <c r="T102" s="164"/>
      <c r="U102" s="164"/>
      <c r="V102" s="164"/>
    </row>
    <row r="103" ht="15.75" customHeight="1">
      <c r="A103" s="385"/>
      <c r="B103" s="381"/>
      <c r="C103" s="381"/>
      <c r="D103" s="381"/>
      <c r="E103" s="381"/>
      <c r="F103" s="384"/>
      <c r="G103" s="384"/>
      <c r="H103" s="384"/>
      <c r="I103" s="209"/>
      <c r="J103" s="209"/>
      <c r="K103" s="209"/>
      <c r="L103" s="209"/>
      <c r="M103" s="209"/>
      <c r="N103" s="164"/>
      <c r="O103" s="164"/>
      <c r="P103" s="164"/>
      <c r="Q103" s="164"/>
      <c r="R103" s="164"/>
      <c r="S103" s="164"/>
      <c r="T103" s="164"/>
      <c r="U103" s="164"/>
      <c r="V103" s="164"/>
    </row>
    <row r="104" ht="15.75" customHeight="1">
      <c r="A104" s="385"/>
      <c r="B104" s="381"/>
      <c r="C104" s="381"/>
      <c r="D104" s="381"/>
      <c r="E104" s="381"/>
      <c r="F104" s="384"/>
      <c r="G104" s="384"/>
      <c r="H104" s="384"/>
      <c r="I104" s="209"/>
      <c r="J104" s="209"/>
      <c r="K104" s="209"/>
      <c r="L104" s="209"/>
      <c r="M104" s="209"/>
      <c r="N104" s="164"/>
      <c r="O104" s="164"/>
      <c r="P104" s="164"/>
      <c r="Q104" s="164"/>
      <c r="R104" s="164"/>
      <c r="S104" s="164"/>
      <c r="T104" s="164"/>
      <c r="U104" s="164"/>
      <c r="V104" s="164"/>
    </row>
    <row r="105" ht="15.75" customHeight="1">
      <c r="A105" s="385"/>
      <c r="B105" s="381"/>
      <c r="C105" s="381"/>
      <c r="D105" s="381"/>
      <c r="E105" s="381"/>
      <c r="F105" s="384"/>
      <c r="G105" s="384"/>
      <c r="H105" s="384"/>
      <c r="I105" s="209"/>
      <c r="J105" s="209"/>
      <c r="K105" s="209"/>
      <c r="L105" s="209"/>
      <c r="M105" s="209"/>
      <c r="N105" s="164"/>
      <c r="O105" s="164"/>
      <c r="P105" s="164"/>
      <c r="Q105" s="164"/>
      <c r="R105" s="164"/>
      <c r="S105" s="164"/>
      <c r="T105" s="164"/>
      <c r="U105" s="164"/>
      <c r="V105" s="164"/>
    </row>
    <row r="106" ht="15.75" customHeight="1">
      <c r="A106" s="385"/>
      <c r="B106" s="381"/>
      <c r="C106" s="381"/>
      <c r="D106" s="381"/>
      <c r="E106" s="381"/>
      <c r="F106" s="384"/>
      <c r="G106" s="384"/>
      <c r="H106" s="384"/>
      <c r="I106" s="209"/>
      <c r="J106" s="209"/>
      <c r="K106" s="209"/>
      <c r="L106" s="209"/>
      <c r="M106" s="209"/>
      <c r="N106" s="164"/>
      <c r="O106" s="164"/>
      <c r="P106" s="164"/>
      <c r="Q106" s="164"/>
      <c r="R106" s="164"/>
      <c r="S106" s="164"/>
      <c r="T106" s="164"/>
      <c r="U106" s="164"/>
      <c r="V106" s="164"/>
    </row>
    <row r="107" ht="15.75" customHeight="1">
      <c r="A107" s="385"/>
      <c r="B107" s="381"/>
      <c r="C107" s="381"/>
      <c r="D107" s="381"/>
      <c r="E107" s="381"/>
      <c r="F107" s="384"/>
      <c r="G107" s="384"/>
      <c r="H107" s="384"/>
      <c r="I107" s="209"/>
      <c r="J107" s="209"/>
      <c r="K107" s="209"/>
      <c r="L107" s="209"/>
      <c r="M107" s="209"/>
      <c r="N107" s="164"/>
      <c r="O107" s="164"/>
      <c r="P107" s="164"/>
      <c r="Q107" s="164"/>
      <c r="R107" s="164"/>
      <c r="S107" s="164"/>
      <c r="T107" s="164"/>
      <c r="U107" s="164"/>
      <c r="V107" s="164"/>
    </row>
    <row r="108" ht="15.75" customHeight="1">
      <c r="A108" s="385"/>
      <c r="B108" s="381"/>
      <c r="C108" s="381"/>
      <c r="D108" s="381"/>
      <c r="E108" s="381"/>
      <c r="F108" s="384"/>
      <c r="G108" s="384"/>
      <c r="H108" s="384"/>
      <c r="I108" s="209"/>
      <c r="J108" s="209"/>
      <c r="K108" s="209"/>
      <c r="L108" s="209"/>
      <c r="M108" s="209"/>
      <c r="N108" s="164"/>
      <c r="O108" s="164"/>
      <c r="P108" s="164"/>
      <c r="Q108" s="164"/>
      <c r="R108" s="164"/>
      <c r="S108" s="164"/>
      <c r="T108" s="164"/>
      <c r="U108" s="164"/>
      <c r="V108" s="164"/>
    </row>
    <row r="109" ht="15.75" customHeight="1">
      <c r="A109" s="385"/>
      <c r="B109" s="381"/>
      <c r="C109" s="381"/>
      <c r="D109" s="381"/>
      <c r="E109" s="381"/>
      <c r="F109" s="384"/>
      <c r="G109" s="384"/>
      <c r="H109" s="384"/>
      <c r="I109" s="209"/>
      <c r="J109" s="209"/>
      <c r="K109" s="209"/>
      <c r="L109" s="209"/>
      <c r="M109" s="209"/>
      <c r="N109" s="164"/>
      <c r="O109" s="164"/>
      <c r="P109" s="164"/>
      <c r="Q109" s="164"/>
      <c r="R109" s="164"/>
      <c r="S109" s="164"/>
      <c r="T109" s="164"/>
      <c r="U109" s="164"/>
      <c r="V109" s="164"/>
    </row>
    <row r="110" ht="15.75" customHeight="1">
      <c r="A110" s="385"/>
      <c r="B110" s="381"/>
      <c r="C110" s="381"/>
      <c r="D110" s="381"/>
      <c r="E110" s="381"/>
      <c r="F110" s="384"/>
      <c r="G110" s="384"/>
      <c r="H110" s="384"/>
      <c r="I110" s="209"/>
      <c r="J110" s="209"/>
      <c r="K110" s="209"/>
      <c r="L110" s="209"/>
      <c r="M110" s="209"/>
      <c r="N110" s="164"/>
      <c r="O110" s="164"/>
      <c r="P110" s="164"/>
      <c r="Q110" s="164"/>
      <c r="R110" s="164"/>
      <c r="S110" s="164"/>
      <c r="T110" s="164"/>
      <c r="U110" s="164"/>
      <c r="V110" s="164"/>
    </row>
    <row r="111" ht="15.75" customHeight="1">
      <c r="A111" s="385"/>
      <c r="B111" s="381"/>
      <c r="C111" s="381"/>
      <c r="D111" s="381"/>
      <c r="E111" s="381"/>
      <c r="F111" s="384"/>
      <c r="G111" s="384"/>
      <c r="H111" s="384"/>
      <c r="I111" s="209"/>
      <c r="J111" s="209"/>
      <c r="K111" s="209"/>
      <c r="L111" s="209"/>
      <c r="M111" s="209"/>
      <c r="N111" s="164"/>
      <c r="O111" s="164"/>
      <c r="P111" s="164"/>
      <c r="Q111" s="164"/>
      <c r="R111" s="164"/>
      <c r="S111" s="164"/>
      <c r="T111" s="164"/>
      <c r="U111" s="164"/>
      <c r="V111" s="164"/>
    </row>
    <row r="112" ht="15.75" customHeight="1">
      <c r="A112" s="385"/>
      <c r="B112" s="381"/>
      <c r="C112" s="381"/>
      <c r="D112" s="381"/>
      <c r="E112" s="381"/>
      <c r="F112" s="384"/>
      <c r="G112" s="384"/>
      <c r="H112" s="384"/>
      <c r="I112" s="209"/>
      <c r="J112" s="209"/>
      <c r="K112" s="209"/>
      <c r="L112" s="209"/>
      <c r="M112" s="209"/>
      <c r="N112" s="164"/>
      <c r="O112" s="164"/>
      <c r="P112" s="164"/>
      <c r="Q112" s="164"/>
      <c r="R112" s="164"/>
      <c r="S112" s="164"/>
      <c r="T112" s="164"/>
      <c r="U112" s="164"/>
      <c r="V112" s="164"/>
    </row>
    <row r="113" ht="15.75" customHeight="1">
      <c r="A113" s="385"/>
      <c r="B113" s="381"/>
      <c r="C113" s="381"/>
      <c r="D113" s="381"/>
      <c r="E113" s="381"/>
      <c r="F113" s="384"/>
      <c r="G113" s="384"/>
      <c r="H113" s="384"/>
      <c r="I113" s="209"/>
      <c r="J113" s="209"/>
      <c r="K113" s="209"/>
      <c r="L113" s="209"/>
      <c r="M113" s="209"/>
      <c r="N113" s="164"/>
      <c r="O113" s="164"/>
      <c r="P113" s="164"/>
      <c r="Q113" s="164"/>
      <c r="R113" s="164"/>
      <c r="S113" s="164"/>
      <c r="T113" s="164"/>
      <c r="U113" s="164"/>
      <c r="V113" s="164"/>
    </row>
    <row r="114" ht="15.75" customHeight="1">
      <c r="A114" s="385"/>
      <c r="B114" s="381"/>
      <c r="C114" s="381"/>
      <c r="D114" s="381"/>
      <c r="E114" s="381"/>
      <c r="F114" s="384"/>
      <c r="G114" s="384"/>
      <c r="H114" s="384"/>
      <c r="I114" s="209"/>
      <c r="J114" s="209"/>
      <c r="K114" s="209"/>
      <c r="L114" s="209"/>
      <c r="M114" s="209"/>
      <c r="N114" s="164"/>
      <c r="O114" s="164"/>
      <c r="P114" s="164"/>
      <c r="Q114" s="164"/>
      <c r="R114" s="164"/>
      <c r="S114" s="164"/>
      <c r="T114" s="164"/>
      <c r="U114" s="164"/>
      <c r="V114" s="164"/>
    </row>
    <row r="115" ht="15.75" customHeight="1">
      <c r="A115" s="385"/>
      <c r="B115" s="381"/>
      <c r="C115" s="381"/>
      <c r="D115" s="381"/>
      <c r="E115" s="381"/>
      <c r="F115" s="384"/>
      <c r="G115" s="384"/>
      <c r="H115" s="384"/>
      <c r="I115" s="209"/>
      <c r="J115" s="209"/>
      <c r="K115" s="209"/>
      <c r="L115" s="209"/>
      <c r="M115" s="209"/>
      <c r="N115" s="164"/>
      <c r="O115" s="164"/>
      <c r="P115" s="164"/>
      <c r="Q115" s="164"/>
      <c r="R115" s="164"/>
      <c r="S115" s="164"/>
      <c r="T115" s="164"/>
      <c r="U115" s="164"/>
      <c r="V115" s="164"/>
    </row>
    <row r="116" ht="15.75" customHeight="1">
      <c r="A116" s="385"/>
      <c r="B116" s="381"/>
      <c r="C116" s="381"/>
      <c r="D116" s="381"/>
      <c r="E116" s="381"/>
      <c r="F116" s="384"/>
      <c r="G116" s="384"/>
      <c r="H116" s="384"/>
      <c r="I116" s="209"/>
      <c r="J116" s="209"/>
      <c r="K116" s="209"/>
      <c r="L116" s="209"/>
      <c r="M116" s="209"/>
      <c r="N116" s="164"/>
      <c r="O116" s="164"/>
      <c r="P116" s="164"/>
      <c r="Q116" s="164"/>
      <c r="R116" s="164"/>
      <c r="S116" s="164"/>
      <c r="T116" s="164"/>
      <c r="U116" s="164"/>
      <c r="V116" s="164"/>
    </row>
    <row r="117" ht="15.75" customHeight="1">
      <c r="A117" s="385"/>
      <c r="B117" s="381"/>
      <c r="C117" s="381"/>
      <c r="D117" s="381"/>
      <c r="E117" s="381"/>
      <c r="F117" s="384"/>
      <c r="G117" s="384"/>
      <c r="H117" s="384"/>
      <c r="I117" s="209"/>
      <c r="J117" s="209"/>
      <c r="K117" s="209"/>
      <c r="L117" s="209"/>
      <c r="M117" s="209"/>
      <c r="N117" s="164"/>
      <c r="O117" s="164"/>
      <c r="P117" s="164"/>
      <c r="Q117" s="164"/>
      <c r="R117" s="164"/>
      <c r="S117" s="164"/>
      <c r="T117" s="164"/>
      <c r="U117" s="164"/>
      <c r="V117" s="164"/>
    </row>
    <row r="118" ht="15.75" customHeight="1">
      <c r="A118" s="385"/>
      <c r="B118" s="381"/>
      <c r="C118" s="381"/>
      <c r="D118" s="381"/>
      <c r="E118" s="381"/>
      <c r="F118" s="384"/>
      <c r="G118" s="384"/>
      <c r="H118" s="384"/>
      <c r="I118" s="209"/>
      <c r="J118" s="209"/>
      <c r="K118" s="209"/>
      <c r="L118" s="209"/>
      <c r="M118" s="209"/>
      <c r="N118" s="164"/>
      <c r="O118" s="164"/>
      <c r="P118" s="164"/>
      <c r="Q118" s="164"/>
      <c r="R118" s="164"/>
      <c r="S118" s="164"/>
      <c r="T118" s="164"/>
      <c r="U118" s="164"/>
      <c r="V118" s="164"/>
    </row>
    <row r="119" ht="15.75" customHeight="1">
      <c r="A119" s="385"/>
      <c r="B119" s="381"/>
      <c r="C119" s="381"/>
      <c r="D119" s="381"/>
      <c r="E119" s="381"/>
      <c r="F119" s="384"/>
      <c r="G119" s="384"/>
      <c r="H119" s="384"/>
      <c r="I119" s="209"/>
      <c r="J119" s="209"/>
      <c r="K119" s="209"/>
      <c r="L119" s="209"/>
      <c r="M119" s="209"/>
      <c r="N119" s="164"/>
      <c r="O119" s="164"/>
      <c r="P119" s="164"/>
      <c r="Q119" s="164"/>
      <c r="R119" s="164"/>
      <c r="S119" s="164"/>
      <c r="T119" s="164"/>
      <c r="U119" s="164"/>
      <c r="V119" s="164"/>
    </row>
    <row r="120" ht="15.75" customHeight="1">
      <c r="A120" s="385"/>
      <c r="B120" s="381"/>
      <c r="C120" s="381"/>
      <c r="D120" s="381"/>
      <c r="E120" s="381"/>
      <c r="F120" s="384"/>
      <c r="G120" s="384"/>
      <c r="H120" s="384"/>
      <c r="I120" s="209"/>
      <c r="J120" s="209"/>
      <c r="K120" s="209"/>
      <c r="L120" s="209"/>
      <c r="M120" s="209"/>
      <c r="N120" s="164"/>
      <c r="O120" s="164"/>
      <c r="P120" s="164"/>
      <c r="Q120" s="164"/>
      <c r="R120" s="164"/>
      <c r="S120" s="164"/>
      <c r="T120" s="164"/>
      <c r="U120" s="164"/>
      <c r="V120" s="164"/>
    </row>
    <row r="121" ht="15.75" customHeight="1">
      <c r="A121" s="385"/>
      <c r="B121" s="381"/>
      <c r="C121" s="381"/>
      <c r="D121" s="381"/>
      <c r="E121" s="381"/>
      <c r="F121" s="384"/>
      <c r="G121" s="384"/>
      <c r="H121" s="384"/>
      <c r="I121" s="209"/>
      <c r="J121" s="209"/>
      <c r="K121" s="209"/>
      <c r="L121" s="209"/>
      <c r="M121" s="209"/>
      <c r="N121" s="164"/>
      <c r="O121" s="164"/>
      <c r="P121" s="164"/>
      <c r="Q121" s="164"/>
      <c r="R121" s="164"/>
      <c r="S121" s="164"/>
      <c r="T121" s="164"/>
      <c r="U121" s="164"/>
      <c r="V121" s="164"/>
    </row>
    <row r="122" ht="15.75" customHeight="1">
      <c r="A122" s="385"/>
      <c r="B122" s="381"/>
      <c r="C122" s="381"/>
      <c r="D122" s="381"/>
      <c r="E122" s="381"/>
      <c r="F122" s="384"/>
      <c r="G122" s="384"/>
      <c r="H122" s="384"/>
      <c r="I122" s="209"/>
      <c r="J122" s="209"/>
      <c r="K122" s="209"/>
      <c r="L122" s="209"/>
      <c r="M122" s="209"/>
      <c r="N122" s="164"/>
      <c r="O122" s="164"/>
      <c r="P122" s="164"/>
      <c r="Q122" s="164"/>
      <c r="R122" s="164"/>
      <c r="S122" s="164"/>
      <c r="T122" s="164"/>
      <c r="U122" s="164"/>
      <c r="V122" s="164"/>
    </row>
    <row r="123" ht="15.75" customHeight="1">
      <c r="A123" s="385"/>
      <c r="B123" s="381"/>
      <c r="C123" s="381"/>
      <c r="D123" s="381"/>
      <c r="E123" s="381"/>
      <c r="F123" s="384"/>
      <c r="G123" s="384"/>
      <c r="H123" s="384"/>
      <c r="I123" s="209"/>
      <c r="J123" s="209"/>
      <c r="K123" s="209"/>
      <c r="L123" s="209"/>
      <c r="M123" s="209"/>
      <c r="N123" s="164"/>
      <c r="O123" s="164"/>
      <c r="P123" s="164"/>
      <c r="Q123" s="164"/>
      <c r="R123" s="164"/>
      <c r="S123" s="164"/>
      <c r="T123" s="164"/>
      <c r="U123" s="164"/>
      <c r="V123" s="164"/>
    </row>
    <row r="124" ht="15.75" customHeight="1">
      <c r="A124" s="385"/>
      <c r="B124" s="381"/>
      <c r="C124" s="381"/>
      <c r="D124" s="381"/>
      <c r="E124" s="381"/>
      <c r="F124" s="384"/>
      <c r="G124" s="384"/>
      <c r="H124" s="384"/>
      <c r="I124" s="209"/>
      <c r="J124" s="209"/>
      <c r="K124" s="209"/>
      <c r="L124" s="209"/>
      <c r="M124" s="209"/>
      <c r="N124" s="164"/>
      <c r="O124" s="164"/>
      <c r="P124" s="164"/>
      <c r="Q124" s="164"/>
      <c r="R124" s="164"/>
      <c r="S124" s="164"/>
      <c r="T124" s="164"/>
      <c r="U124" s="164"/>
      <c r="V124" s="164"/>
    </row>
    <row r="125" ht="15.75" customHeight="1">
      <c r="A125" s="385"/>
      <c r="B125" s="381"/>
      <c r="C125" s="381"/>
      <c r="D125" s="381"/>
      <c r="E125" s="381"/>
      <c r="F125" s="384"/>
      <c r="G125" s="384"/>
      <c r="H125" s="384"/>
      <c r="I125" s="209"/>
      <c r="J125" s="209"/>
      <c r="K125" s="209"/>
      <c r="L125" s="209"/>
      <c r="M125" s="209"/>
      <c r="N125" s="164"/>
      <c r="O125" s="164"/>
      <c r="P125" s="164"/>
      <c r="Q125" s="164"/>
      <c r="R125" s="164"/>
      <c r="S125" s="164"/>
      <c r="T125" s="164"/>
      <c r="U125" s="164"/>
      <c r="V125" s="164"/>
    </row>
    <row r="126" ht="15.75" customHeight="1">
      <c r="A126" s="385"/>
      <c r="B126" s="381"/>
      <c r="C126" s="381"/>
      <c r="D126" s="381"/>
      <c r="E126" s="381"/>
      <c r="F126" s="384"/>
      <c r="G126" s="384"/>
      <c r="H126" s="384"/>
      <c r="I126" s="209"/>
      <c r="J126" s="209"/>
      <c r="K126" s="209"/>
      <c r="L126" s="209"/>
      <c r="M126" s="209"/>
      <c r="N126" s="164"/>
      <c r="O126" s="164"/>
      <c r="P126" s="164"/>
      <c r="Q126" s="164"/>
      <c r="R126" s="164"/>
      <c r="S126" s="164"/>
      <c r="T126" s="164"/>
      <c r="U126" s="164"/>
      <c r="V126" s="164"/>
    </row>
    <row r="127" ht="15.75" customHeight="1">
      <c r="A127" s="385"/>
      <c r="B127" s="381"/>
      <c r="C127" s="381"/>
      <c r="D127" s="381"/>
      <c r="E127" s="381"/>
      <c r="F127" s="384"/>
      <c r="G127" s="384"/>
      <c r="H127" s="384"/>
      <c r="I127" s="209"/>
      <c r="J127" s="209"/>
      <c r="K127" s="209"/>
      <c r="L127" s="209"/>
      <c r="M127" s="209"/>
      <c r="N127" s="164"/>
      <c r="O127" s="164"/>
      <c r="P127" s="164"/>
      <c r="Q127" s="164"/>
      <c r="R127" s="164"/>
      <c r="S127" s="164"/>
      <c r="T127" s="164"/>
      <c r="U127" s="164"/>
      <c r="V127" s="164"/>
    </row>
    <row r="128" ht="15.75" customHeight="1">
      <c r="A128" s="385"/>
      <c r="B128" s="381"/>
      <c r="C128" s="381"/>
      <c r="D128" s="381"/>
      <c r="E128" s="381"/>
      <c r="F128" s="384"/>
      <c r="G128" s="384"/>
      <c r="H128" s="384"/>
      <c r="I128" s="209"/>
      <c r="J128" s="209"/>
      <c r="K128" s="209"/>
      <c r="L128" s="209"/>
      <c r="M128" s="209"/>
      <c r="N128" s="164"/>
      <c r="O128" s="164"/>
      <c r="P128" s="164"/>
      <c r="Q128" s="164"/>
      <c r="R128" s="164"/>
      <c r="S128" s="164"/>
      <c r="T128" s="164"/>
      <c r="U128" s="164"/>
      <c r="V128" s="164"/>
    </row>
    <row r="129" ht="15.75" customHeight="1">
      <c r="A129" s="385"/>
      <c r="B129" s="381"/>
      <c r="C129" s="381"/>
      <c r="D129" s="381"/>
      <c r="E129" s="381"/>
      <c r="F129" s="384"/>
      <c r="G129" s="384"/>
      <c r="H129" s="384"/>
      <c r="I129" s="209"/>
      <c r="J129" s="209"/>
      <c r="K129" s="209"/>
      <c r="L129" s="209"/>
      <c r="M129" s="209"/>
      <c r="N129" s="164"/>
      <c r="O129" s="164"/>
      <c r="P129" s="164"/>
      <c r="Q129" s="164"/>
      <c r="R129" s="164"/>
      <c r="S129" s="164"/>
      <c r="T129" s="164"/>
      <c r="U129" s="164"/>
      <c r="V129" s="164"/>
    </row>
    <row r="130" ht="15.75" customHeight="1">
      <c r="A130" s="385"/>
      <c r="B130" s="381"/>
      <c r="C130" s="381"/>
      <c r="D130" s="381"/>
      <c r="E130" s="381"/>
      <c r="F130" s="384"/>
      <c r="G130" s="384"/>
      <c r="H130" s="384"/>
      <c r="I130" s="209"/>
      <c r="J130" s="209"/>
      <c r="K130" s="209"/>
      <c r="L130" s="209"/>
      <c r="M130" s="209"/>
      <c r="N130" s="164"/>
      <c r="O130" s="164"/>
      <c r="P130" s="164"/>
      <c r="Q130" s="164"/>
      <c r="R130" s="164"/>
      <c r="S130" s="164"/>
      <c r="T130" s="164"/>
      <c r="U130" s="164"/>
      <c r="V130" s="164"/>
    </row>
    <row r="131" ht="15.75" customHeight="1">
      <c r="A131" s="385"/>
      <c r="B131" s="381"/>
      <c r="C131" s="381"/>
      <c r="D131" s="381"/>
      <c r="E131" s="381"/>
      <c r="F131" s="384"/>
      <c r="G131" s="384"/>
      <c r="H131" s="384"/>
      <c r="I131" s="209"/>
      <c r="J131" s="209"/>
      <c r="K131" s="209"/>
      <c r="L131" s="209"/>
      <c r="M131" s="209"/>
      <c r="N131" s="164"/>
      <c r="O131" s="164"/>
      <c r="P131" s="164"/>
      <c r="Q131" s="164"/>
      <c r="R131" s="164"/>
      <c r="S131" s="164"/>
      <c r="T131" s="164"/>
      <c r="U131" s="164"/>
      <c r="V131" s="164"/>
    </row>
    <row r="132" ht="15.75" customHeight="1">
      <c r="A132" s="385"/>
      <c r="B132" s="381"/>
      <c r="C132" s="381"/>
      <c r="D132" s="381"/>
      <c r="E132" s="381"/>
      <c r="F132" s="384"/>
      <c r="G132" s="384"/>
      <c r="H132" s="384"/>
      <c r="I132" s="209"/>
      <c r="J132" s="209"/>
      <c r="K132" s="209"/>
      <c r="L132" s="209"/>
      <c r="M132" s="209"/>
      <c r="N132" s="164"/>
      <c r="O132" s="164"/>
      <c r="P132" s="164"/>
      <c r="Q132" s="164"/>
      <c r="R132" s="164"/>
      <c r="S132" s="164"/>
      <c r="T132" s="164"/>
      <c r="U132" s="164"/>
      <c r="V132" s="164"/>
    </row>
    <row r="133" ht="15.75" customHeight="1">
      <c r="A133" s="385"/>
      <c r="B133" s="381"/>
      <c r="C133" s="381"/>
      <c r="D133" s="381"/>
      <c r="E133" s="381"/>
      <c r="F133" s="384"/>
      <c r="G133" s="384"/>
      <c r="H133" s="384"/>
      <c r="I133" s="209"/>
      <c r="J133" s="209"/>
      <c r="K133" s="209"/>
      <c r="L133" s="209"/>
      <c r="M133" s="209"/>
      <c r="N133" s="164"/>
      <c r="O133" s="164"/>
      <c r="P133" s="164"/>
      <c r="Q133" s="164"/>
      <c r="R133" s="164"/>
      <c r="S133" s="164"/>
      <c r="T133" s="164"/>
      <c r="U133" s="164"/>
      <c r="V133" s="164"/>
    </row>
    <row r="134" ht="15.75" customHeight="1">
      <c r="A134" s="385"/>
      <c r="B134" s="381"/>
      <c r="C134" s="381"/>
      <c r="D134" s="381"/>
      <c r="E134" s="381"/>
      <c r="F134" s="384"/>
      <c r="G134" s="384"/>
      <c r="H134" s="384"/>
      <c r="I134" s="209"/>
      <c r="J134" s="209"/>
      <c r="K134" s="209"/>
      <c r="L134" s="209"/>
      <c r="M134" s="209"/>
      <c r="N134" s="164"/>
      <c r="O134" s="164"/>
      <c r="P134" s="164"/>
      <c r="Q134" s="164"/>
      <c r="R134" s="164"/>
      <c r="S134" s="164"/>
      <c r="T134" s="164"/>
      <c r="U134" s="164"/>
      <c r="V134" s="164"/>
    </row>
    <row r="135" ht="15.75" customHeight="1">
      <c r="A135" s="385"/>
      <c r="B135" s="381"/>
      <c r="C135" s="381"/>
      <c r="D135" s="381"/>
      <c r="E135" s="381"/>
      <c r="F135" s="384"/>
      <c r="G135" s="384"/>
      <c r="H135" s="384"/>
      <c r="I135" s="209"/>
      <c r="J135" s="209"/>
      <c r="K135" s="209"/>
      <c r="L135" s="209"/>
      <c r="M135" s="209"/>
      <c r="N135" s="164"/>
      <c r="O135" s="164"/>
      <c r="P135" s="164"/>
      <c r="Q135" s="164"/>
      <c r="R135" s="164"/>
      <c r="S135" s="164"/>
      <c r="T135" s="164"/>
      <c r="U135" s="164"/>
      <c r="V135" s="164"/>
    </row>
    <row r="136" ht="15.75" customHeight="1">
      <c r="A136" s="385"/>
      <c r="B136" s="381"/>
      <c r="C136" s="381"/>
      <c r="D136" s="381"/>
      <c r="E136" s="381"/>
      <c r="F136" s="384"/>
      <c r="G136" s="384"/>
      <c r="H136" s="384"/>
      <c r="I136" s="209"/>
      <c r="J136" s="209"/>
      <c r="K136" s="209"/>
      <c r="L136" s="209"/>
      <c r="M136" s="209"/>
      <c r="N136" s="164"/>
      <c r="O136" s="164"/>
      <c r="P136" s="164"/>
      <c r="Q136" s="164"/>
      <c r="R136" s="164"/>
      <c r="S136" s="164"/>
      <c r="T136" s="164"/>
      <c r="U136" s="164"/>
      <c r="V136" s="164"/>
    </row>
    <row r="137" ht="15.75" customHeight="1">
      <c r="A137" s="385"/>
      <c r="B137" s="381"/>
      <c r="C137" s="381"/>
      <c r="D137" s="381"/>
      <c r="E137" s="381"/>
      <c r="F137" s="384"/>
      <c r="G137" s="384"/>
      <c r="H137" s="384"/>
      <c r="I137" s="209"/>
      <c r="J137" s="209"/>
      <c r="K137" s="209"/>
      <c r="L137" s="209"/>
      <c r="M137" s="209"/>
      <c r="N137" s="164"/>
      <c r="O137" s="164"/>
      <c r="P137" s="164"/>
      <c r="Q137" s="164"/>
      <c r="R137" s="164"/>
      <c r="S137" s="164"/>
      <c r="T137" s="164"/>
      <c r="U137" s="164"/>
      <c r="V137" s="164"/>
    </row>
    <row r="138" ht="15.75" customHeight="1">
      <c r="A138" s="385"/>
      <c r="B138" s="381"/>
      <c r="C138" s="381"/>
      <c r="D138" s="381"/>
      <c r="E138" s="381"/>
      <c r="F138" s="384"/>
      <c r="G138" s="384"/>
      <c r="H138" s="384"/>
      <c r="I138" s="209"/>
      <c r="J138" s="209"/>
      <c r="K138" s="209"/>
      <c r="L138" s="209"/>
      <c r="M138" s="209"/>
      <c r="N138" s="164"/>
      <c r="O138" s="164"/>
      <c r="P138" s="164"/>
      <c r="Q138" s="164"/>
      <c r="R138" s="164"/>
      <c r="S138" s="164"/>
      <c r="T138" s="164"/>
      <c r="U138" s="164"/>
      <c r="V138" s="164"/>
    </row>
    <row r="139" ht="15.75" customHeight="1">
      <c r="A139" s="385"/>
      <c r="B139" s="381"/>
      <c r="C139" s="381"/>
      <c r="D139" s="381"/>
      <c r="E139" s="381"/>
      <c r="F139" s="384"/>
      <c r="G139" s="384"/>
      <c r="H139" s="384"/>
      <c r="I139" s="209"/>
      <c r="J139" s="209"/>
      <c r="K139" s="209"/>
      <c r="L139" s="209"/>
      <c r="M139" s="209"/>
      <c r="N139" s="164"/>
      <c r="O139" s="164"/>
      <c r="P139" s="164"/>
      <c r="Q139" s="164"/>
      <c r="R139" s="164"/>
      <c r="S139" s="164"/>
      <c r="T139" s="164"/>
      <c r="U139" s="164"/>
      <c r="V139" s="164"/>
    </row>
    <row r="140" ht="15.75" customHeight="1">
      <c r="A140" s="385"/>
      <c r="B140" s="381"/>
      <c r="C140" s="381"/>
      <c r="D140" s="381"/>
      <c r="E140" s="381"/>
      <c r="F140" s="384"/>
      <c r="I140" s="209"/>
      <c r="J140" s="209"/>
      <c r="K140" s="209"/>
      <c r="L140" s="209"/>
      <c r="M140" s="209"/>
      <c r="N140" s="164"/>
      <c r="O140" s="164"/>
      <c r="P140" s="164"/>
      <c r="Q140" s="164"/>
      <c r="R140" s="164"/>
      <c r="S140" s="164"/>
      <c r="T140" s="164"/>
      <c r="U140" s="164"/>
      <c r="V140" s="164"/>
    </row>
  </sheetData>
  <mergeCells count="3">
    <mergeCell ref="B1:J1"/>
    <mergeCell ref="A13:A16"/>
    <mergeCell ref="B18:E18"/>
  </mergeCells>
  <printOptions horizontalCentered="1"/>
  <pageMargins bottom="0.75" footer="0.0" header="0.0" left="0.7" right="0.7" top="0.75"/>
  <pageSetup fitToWidth="0" paperSize="9" orientation="landscape" pageOrder="overThenDown"/>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7.25"/>
    <col customWidth="1" min="2" max="4" width="16.25"/>
    <col customWidth="1" min="5" max="5" width="16.75"/>
    <col customWidth="1" min="6" max="6" width="16.25"/>
    <col customWidth="1" min="7" max="7" width="9.25"/>
    <col customWidth="1" min="8" max="8" width="4.63"/>
    <col customWidth="1" min="9" max="9" width="11.25"/>
    <col customWidth="1" min="10" max="10" width="16.0"/>
    <col customWidth="1" min="11" max="11" width="19.63"/>
    <col customWidth="1" min="12" max="12" width="22.75"/>
    <col customWidth="1" min="13" max="13" width="2.88"/>
    <col customWidth="1" min="14" max="14" width="11.5"/>
    <col customWidth="1" min="15" max="15" width="13.38"/>
    <col customWidth="1" min="16" max="16" width="17.88"/>
    <col customWidth="1" min="17" max="17" width="19.38"/>
  </cols>
  <sheetData>
    <row r="1" ht="35.25" customHeight="1">
      <c r="A1" s="386" t="s">
        <v>719</v>
      </c>
      <c r="B1" s="304"/>
      <c r="C1" s="304"/>
      <c r="D1" s="304"/>
      <c r="E1" s="305"/>
      <c r="F1" s="387"/>
      <c r="G1" s="388"/>
      <c r="H1" s="388"/>
      <c r="I1" s="389"/>
      <c r="J1" s="389"/>
      <c r="K1" s="390"/>
      <c r="L1" s="390"/>
      <c r="M1" s="390"/>
      <c r="N1" s="390"/>
      <c r="O1" s="389"/>
      <c r="P1" s="389"/>
      <c r="Q1" s="389"/>
      <c r="R1" s="388"/>
      <c r="S1" s="388"/>
      <c r="T1" s="388"/>
      <c r="U1" s="388"/>
      <c r="V1" s="388"/>
      <c r="W1" s="9"/>
      <c r="X1" s="9"/>
      <c r="Y1" s="9"/>
      <c r="Z1" s="9"/>
    </row>
    <row r="2" ht="30.75" customHeight="1">
      <c r="A2" s="391" t="s">
        <v>720</v>
      </c>
      <c r="B2" s="392" t="s">
        <v>721</v>
      </c>
      <c r="C2" s="392" t="s">
        <v>721</v>
      </c>
      <c r="D2" s="392" t="s">
        <v>721</v>
      </c>
      <c r="E2" s="393" t="s">
        <v>721</v>
      </c>
      <c r="F2" s="394"/>
      <c r="G2" s="395"/>
      <c r="H2" s="396"/>
      <c r="I2" s="397"/>
      <c r="J2" s="398" t="s">
        <v>722</v>
      </c>
      <c r="K2" s="399" t="s">
        <v>723</v>
      </c>
      <c r="L2" s="399" t="s">
        <v>724</v>
      </c>
      <c r="M2" s="390"/>
      <c r="N2" s="399"/>
      <c r="O2" s="398" t="s">
        <v>722</v>
      </c>
      <c r="P2" s="399" t="s">
        <v>723</v>
      </c>
      <c r="Q2" s="399" t="s">
        <v>724</v>
      </c>
      <c r="R2" s="388"/>
      <c r="S2" s="388"/>
      <c r="T2" s="388"/>
      <c r="U2" s="388"/>
      <c r="V2" s="388"/>
      <c r="W2" s="9"/>
      <c r="X2" s="9"/>
      <c r="Y2" s="9"/>
      <c r="Z2" s="9"/>
    </row>
    <row r="3" ht="30.0" customHeight="1">
      <c r="A3" s="391" t="s">
        <v>1</v>
      </c>
      <c r="B3" s="400" t="s">
        <v>725</v>
      </c>
      <c r="C3" s="400" t="s">
        <v>726</v>
      </c>
      <c r="D3" s="400" t="s">
        <v>727</v>
      </c>
      <c r="E3" s="393" t="s">
        <v>728</v>
      </c>
      <c r="F3" s="401"/>
      <c r="G3" s="395"/>
      <c r="H3" s="402"/>
      <c r="I3" s="403" t="s">
        <v>729</v>
      </c>
      <c r="J3" s="404" t="s">
        <v>730</v>
      </c>
      <c r="K3" s="405" t="s">
        <v>731</v>
      </c>
      <c r="L3" s="406" t="s">
        <v>732</v>
      </c>
      <c r="M3" s="407"/>
      <c r="N3" s="403" t="s">
        <v>728</v>
      </c>
      <c r="O3" s="408" t="s">
        <v>733</v>
      </c>
      <c r="P3" s="409" t="s">
        <v>734</v>
      </c>
      <c r="Q3" s="27" t="s">
        <v>735</v>
      </c>
      <c r="R3" s="388"/>
      <c r="S3" s="388"/>
      <c r="T3" s="388"/>
      <c r="U3" s="388"/>
      <c r="V3" s="388"/>
      <c r="W3" s="9"/>
      <c r="X3" s="9"/>
      <c r="Y3" s="9"/>
      <c r="Z3" s="9"/>
    </row>
    <row r="4" ht="31.5" customHeight="1">
      <c r="A4" s="391" t="s">
        <v>20</v>
      </c>
      <c r="B4" s="410" t="s">
        <v>736</v>
      </c>
      <c r="C4" s="410" t="s">
        <v>736</v>
      </c>
      <c r="D4" s="410" t="s">
        <v>736</v>
      </c>
      <c r="E4" s="411" t="s">
        <v>736</v>
      </c>
      <c r="F4" s="412"/>
      <c r="G4" s="395"/>
      <c r="H4" s="402"/>
      <c r="I4" s="82"/>
      <c r="J4" s="413" t="s">
        <v>737</v>
      </c>
      <c r="K4" s="414" t="s">
        <v>738</v>
      </c>
      <c r="L4" s="415" t="s">
        <v>739</v>
      </c>
      <c r="M4" s="407"/>
      <c r="N4" s="82"/>
      <c r="O4" s="416" t="s">
        <v>740</v>
      </c>
      <c r="P4" s="408" t="s">
        <v>741</v>
      </c>
      <c r="Q4" s="27" t="s">
        <v>742</v>
      </c>
      <c r="S4" s="388"/>
      <c r="T4" s="388"/>
      <c r="U4" s="388"/>
      <c r="V4" s="388"/>
      <c r="W4" s="9"/>
      <c r="X4" s="9"/>
      <c r="Y4" s="9"/>
      <c r="Z4" s="9"/>
    </row>
    <row r="5" ht="29.25" customHeight="1">
      <c r="A5" s="417" t="s">
        <v>31</v>
      </c>
      <c r="B5" s="418" t="s">
        <v>743</v>
      </c>
      <c r="C5" s="418" t="s">
        <v>744</v>
      </c>
      <c r="D5" s="418" t="s">
        <v>745</v>
      </c>
      <c r="E5" s="419" t="s">
        <v>746</v>
      </c>
      <c r="F5" s="412"/>
      <c r="G5" s="395"/>
      <c r="H5" s="402"/>
      <c r="I5" s="82"/>
      <c r="J5" s="404" t="s">
        <v>747</v>
      </c>
      <c r="K5" s="409" t="s">
        <v>748</v>
      </c>
      <c r="L5" s="247" t="s">
        <v>749</v>
      </c>
      <c r="M5" s="420"/>
      <c r="N5" s="82"/>
      <c r="O5" s="416" t="s">
        <v>750</v>
      </c>
      <c r="P5" s="408" t="s">
        <v>751</v>
      </c>
      <c r="Q5" s="27" t="s">
        <v>752</v>
      </c>
      <c r="S5" s="388"/>
      <c r="T5" s="388"/>
      <c r="U5" s="388"/>
      <c r="V5" s="388"/>
      <c r="W5" s="9"/>
      <c r="X5" s="9"/>
      <c r="Y5" s="9"/>
      <c r="Z5" s="9"/>
    </row>
    <row r="6" ht="29.25" customHeight="1">
      <c r="A6" s="391" t="s">
        <v>753</v>
      </c>
      <c r="B6" s="421" t="s">
        <v>730</v>
      </c>
      <c r="C6" s="406" t="s">
        <v>754</v>
      </c>
      <c r="D6" s="422" t="s">
        <v>755</v>
      </c>
      <c r="E6" s="423" t="s">
        <v>733</v>
      </c>
      <c r="F6" s="424"/>
      <c r="G6" s="395"/>
      <c r="H6" s="402"/>
      <c r="I6" s="82"/>
      <c r="J6" s="422" t="s">
        <v>756</v>
      </c>
      <c r="K6" s="408" t="s">
        <v>757</v>
      </c>
      <c r="L6" s="27" t="s">
        <v>758</v>
      </c>
      <c r="M6" s="407"/>
      <c r="N6" s="82"/>
      <c r="O6" s="34" t="s">
        <v>759</v>
      </c>
      <c r="P6" s="425" t="s">
        <v>760</v>
      </c>
      <c r="Q6" s="426" t="s">
        <v>761</v>
      </c>
      <c r="R6" s="427"/>
      <c r="S6" s="388"/>
      <c r="T6" s="388"/>
      <c r="U6" s="388"/>
      <c r="V6" s="388"/>
      <c r="W6" s="9"/>
      <c r="X6" s="9"/>
      <c r="Y6" s="9"/>
      <c r="Z6" s="9"/>
    </row>
    <row r="7" ht="29.25" customHeight="1">
      <c r="A7" s="391" t="s">
        <v>762</v>
      </c>
      <c r="B7" s="415" t="s">
        <v>737</v>
      </c>
      <c r="C7" s="422" t="s">
        <v>763</v>
      </c>
      <c r="D7" s="422" t="s">
        <v>764</v>
      </c>
      <c r="E7" s="416" t="s">
        <v>740</v>
      </c>
      <c r="F7" s="424"/>
      <c r="G7" s="395"/>
      <c r="H7" s="402"/>
      <c r="I7" s="82"/>
      <c r="J7" s="428" t="s">
        <v>765</v>
      </c>
      <c r="K7" s="414" t="s">
        <v>766</v>
      </c>
      <c r="L7" s="415" t="s">
        <v>767</v>
      </c>
      <c r="M7" s="407"/>
      <c r="N7" s="82"/>
      <c r="O7" s="429" t="s">
        <v>768</v>
      </c>
      <c r="P7" s="430"/>
      <c r="Q7" s="431"/>
      <c r="R7" s="100"/>
      <c r="S7" s="388"/>
      <c r="T7" s="388"/>
      <c r="U7" s="388"/>
      <c r="V7" s="388"/>
      <c r="W7" s="9"/>
      <c r="X7" s="9"/>
      <c r="Y7" s="9"/>
      <c r="Z7" s="9"/>
    </row>
    <row r="8" ht="29.25" customHeight="1">
      <c r="A8" s="391" t="s">
        <v>769</v>
      </c>
      <c r="B8" s="432" t="s">
        <v>747</v>
      </c>
      <c r="D8" s="433" t="s">
        <v>770</v>
      </c>
      <c r="E8" s="434" t="s">
        <v>750</v>
      </c>
      <c r="F8" s="424"/>
      <c r="G8" s="395"/>
      <c r="H8" s="402"/>
      <c r="I8" s="82"/>
      <c r="J8" s="404" t="s">
        <v>771</v>
      </c>
      <c r="K8" s="406" t="s">
        <v>772</v>
      </c>
      <c r="L8" s="406" t="s">
        <v>773</v>
      </c>
      <c r="M8" s="407"/>
      <c r="N8" s="82"/>
      <c r="O8" s="435"/>
      <c r="P8" s="435"/>
      <c r="Q8" s="436"/>
      <c r="R8" s="388"/>
      <c r="S8" s="388"/>
      <c r="T8" s="388"/>
      <c r="U8" s="388"/>
      <c r="V8" s="388"/>
      <c r="W8" s="9"/>
      <c r="X8" s="9"/>
      <c r="Y8" s="9"/>
      <c r="Z8" s="9"/>
    </row>
    <row r="9" ht="29.25" customHeight="1">
      <c r="A9" s="391" t="s">
        <v>774</v>
      </c>
      <c r="B9" s="437" t="s">
        <v>756</v>
      </c>
      <c r="C9" s="51"/>
      <c r="E9" s="438" t="s">
        <v>759</v>
      </c>
      <c r="F9" s="424"/>
      <c r="G9" s="395"/>
      <c r="H9" s="402"/>
      <c r="I9" s="82"/>
      <c r="J9" s="428" t="s">
        <v>775</v>
      </c>
      <c r="K9" s="439" t="s">
        <v>776</v>
      </c>
      <c r="L9" s="440" t="s">
        <v>777</v>
      </c>
      <c r="M9" s="407"/>
      <c r="N9" s="82"/>
      <c r="O9" s="435"/>
      <c r="P9" s="435"/>
      <c r="Q9" s="436"/>
      <c r="R9" s="388"/>
      <c r="S9" s="388"/>
      <c r="T9" s="388"/>
      <c r="U9" s="388"/>
      <c r="V9" s="388"/>
      <c r="W9" s="9"/>
      <c r="X9" s="9"/>
      <c r="Y9" s="9"/>
      <c r="Z9" s="9"/>
    </row>
    <row r="10" ht="29.25" customHeight="1">
      <c r="A10" s="391" t="s">
        <v>778</v>
      </c>
      <c r="B10" s="437" t="s">
        <v>765</v>
      </c>
      <c r="C10" s="51"/>
      <c r="D10" s="51"/>
      <c r="E10" s="441" t="s">
        <v>768</v>
      </c>
      <c r="F10" s="424"/>
      <c r="G10" s="395"/>
      <c r="H10" s="402"/>
      <c r="I10" s="100"/>
      <c r="J10" s="422" t="s">
        <v>779</v>
      </c>
      <c r="K10" s="442" t="s">
        <v>780</v>
      </c>
      <c r="L10" s="439" t="s">
        <v>781</v>
      </c>
      <c r="M10" s="407"/>
      <c r="N10" s="100"/>
      <c r="O10" s="443"/>
      <c r="P10" s="444"/>
      <c r="Q10" s="443"/>
      <c r="R10" s="388"/>
      <c r="S10" s="388"/>
      <c r="T10" s="388"/>
      <c r="U10" s="388"/>
      <c r="V10" s="388"/>
      <c r="W10" s="9"/>
      <c r="X10" s="9"/>
      <c r="Y10" s="9"/>
      <c r="Z10" s="9"/>
    </row>
    <row r="11" ht="29.25" customHeight="1">
      <c r="A11" s="391" t="s">
        <v>782</v>
      </c>
      <c r="B11" s="416" t="s">
        <v>771</v>
      </c>
      <c r="C11" s="445"/>
      <c r="D11" s="446"/>
      <c r="E11" s="445"/>
      <c r="F11" s="445"/>
      <c r="G11" s="395"/>
      <c r="H11" s="396"/>
      <c r="I11" s="397"/>
      <c r="J11" s="447"/>
      <c r="K11" s="397"/>
      <c r="L11" s="397"/>
      <c r="M11" s="390"/>
      <c r="N11" s="390"/>
      <c r="O11" s="390"/>
      <c r="P11" s="389"/>
      <c r="Q11" s="389"/>
      <c r="R11" s="388"/>
      <c r="S11" s="388"/>
      <c r="T11" s="388"/>
      <c r="U11" s="388"/>
      <c r="V11" s="388"/>
      <c r="W11" s="9"/>
      <c r="X11" s="9"/>
      <c r="Y11" s="9"/>
      <c r="Z11" s="9"/>
    </row>
    <row r="12" ht="29.25" customHeight="1">
      <c r="A12" s="391" t="s">
        <v>783</v>
      </c>
      <c r="B12" s="448" t="s">
        <v>775</v>
      </c>
      <c r="C12" s="424"/>
      <c r="D12" s="449"/>
      <c r="E12" s="424"/>
      <c r="F12" s="424"/>
      <c r="G12" s="396"/>
      <c r="H12" s="402"/>
      <c r="I12" s="403" t="s">
        <v>784</v>
      </c>
      <c r="J12" s="27" t="s">
        <v>754</v>
      </c>
      <c r="K12" s="27" t="s">
        <v>785</v>
      </c>
      <c r="L12" s="27" t="s">
        <v>786</v>
      </c>
      <c r="M12" s="390"/>
      <c r="N12" s="390"/>
      <c r="O12" s="390"/>
      <c r="P12" s="389"/>
      <c r="Q12" s="390"/>
      <c r="R12" s="388"/>
      <c r="S12" s="388"/>
      <c r="T12" s="388"/>
      <c r="U12" s="388"/>
      <c r="V12" s="388"/>
      <c r="W12" s="9"/>
      <c r="X12" s="9"/>
      <c r="Y12" s="9"/>
      <c r="Z12" s="9"/>
    </row>
    <row r="13" ht="29.25" customHeight="1">
      <c r="A13" s="391" t="s">
        <v>787</v>
      </c>
      <c r="B13" s="422" t="s">
        <v>779</v>
      </c>
      <c r="C13" s="424"/>
      <c r="D13" s="422"/>
      <c r="E13" s="424"/>
      <c r="F13" s="424"/>
      <c r="G13" s="395"/>
      <c r="H13" s="402"/>
      <c r="I13" s="82"/>
      <c r="J13" s="408" t="s">
        <v>763</v>
      </c>
      <c r="K13" s="439" t="s">
        <v>788</v>
      </c>
      <c r="L13" s="440" t="s">
        <v>789</v>
      </c>
      <c r="M13" s="390"/>
      <c r="N13" s="390"/>
      <c r="O13" s="390"/>
      <c r="P13" s="164"/>
      <c r="Q13" s="390"/>
      <c r="R13" s="388"/>
      <c r="S13" s="388"/>
      <c r="T13" s="388"/>
      <c r="U13" s="388"/>
      <c r="V13" s="388"/>
      <c r="W13" s="9"/>
      <c r="X13" s="9"/>
      <c r="Y13" s="9"/>
      <c r="Z13" s="9"/>
    </row>
    <row r="14" ht="29.25" customHeight="1">
      <c r="A14" s="391" t="s">
        <v>790</v>
      </c>
      <c r="B14" s="450"/>
      <c r="C14" s="450"/>
      <c r="D14" s="450"/>
      <c r="E14" s="450"/>
      <c r="F14" s="450"/>
      <c r="G14" s="395"/>
      <c r="H14" s="402"/>
      <c r="I14" s="82"/>
      <c r="J14" s="51"/>
      <c r="K14" s="51"/>
      <c r="L14" s="51"/>
      <c r="M14" s="390"/>
      <c r="N14" s="390"/>
      <c r="O14" s="390"/>
      <c r="P14" s="390"/>
      <c r="Q14" s="390"/>
      <c r="R14" s="388"/>
      <c r="S14" s="388"/>
      <c r="T14" s="388"/>
      <c r="U14" s="388"/>
      <c r="V14" s="388"/>
      <c r="W14" s="9"/>
      <c r="X14" s="9"/>
      <c r="Y14" s="9"/>
      <c r="Z14" s="9"/>
    </row>
    <row r="15" ht="29.25" customHeight="1">
      <c r="A15" s="391" t="s">
        <v>791</v>
      </c>
      <c r="B15" s="450"/>
      <c r="C15" s="450"/>
      <c r="D15" s="450"/>
      <c r="E15" s="450"/>
      <c r="F15" s="450"/>
      <c r="G15" s="395"/>
      <c r="H15" s="402"/>
      <c r="I15" s="82"/>
      <c r="J15" s="51"/>
      <c r="K15" s="51"/>
      <c r="L15" s="51"/>
      <c r="M15" s="390"/>
      <c r="N15" s="390"/>
      <c r="O15" s="390"/>
      <c r="P15" s="390"/>
      <c r="Q15" s="390"/>
      <c r="R15" s="388"/>
      <c r="S15" s="388"/>
      <c r="T15" s="388"/>
      <c r="U15" s="388"/>
      <c r="V15" s="388"/>
      <c r="W15" s="9"/>
      <c r="X15" s="9"/>
      <c r="Y15" s="9"/>
      <c r="Z15" s="9"/>
    </row>
    <row r="16" ht="29.25" customHeight="1">
      <c r="A16" s="391" t="s">
        <v>792</v>
      </c>
      <c r="B16" s="450"/>
      <c r="C16" s="450"/>
      <c r="D16" s="450"/>
      <c r="E16" s="450"/>
      <c r="F16" s="450"/>
      <c r="G16" s="395"/>
      <c r="H16" s="402"/>
      <c r="I16" s="82"/>
      <c r="J16" s="51"/>
      <c r="K16" s="51"/>
      <c r="L16" s="51"/>
      <c r="M16" s="390"/>
      <c r="N16" s="390"/>
      <c r="O16" s="390"/>
      <c r="P16" s="390"/>
      <c r="Q16" s="390"/>
      <c r="R16" s="388"/>
      <c r="S16" s="388"/>
      <c r="T16" s="388"/>
      <c r="U16" s="388"/>
      <c r="V16" s="388"/>
      <c r="W16" s="9"/>
      <c r="X16" s="9"/>
      <c r="Y16" s="9"/>
      <c r="Z16" s="9"/>
    </row>
    <row r="17" ht="29.25" customHeight="1">
      <c r="A17" s="391" t="s">
        <v>793</v>
      </c>
      <c r="B17" s="450"/>
      <c r="C17" s="450"/>
      <c r="D17" s="450"/>
      <c r="E17" s="450"/>
      <c r="F17" s="450"/>
      <c r="G17" s="395"/>
      <c r="H17" s="402"/>
      <c r="I17" s="82"/>
      <c r="J17" s="451"/>
      <c r="K17" s="435"/>
      <c r="L17" s="436"/>
      <c r="M17" s="390"/>
      <c r="N17" s="390"/>
      <c r="O17" s="390"/>
      <c r="P17" s="390"/>
      <c r="Q17" s="390"/>
      <c r="R17" s="388"/>
      <c r="S17" s="388"/>
      <c r="T17" s="388"/>
      <c r="U17" s="388"/>
      <c r="V17" s="388"/>
      <c r="W17" s="9"/>
      <c r="X17" s="9"/>
      <c r="Y17" s="9"/>
      <c r="Z17" s="9"/>
    </row>
    <row r="18" ht="27.75" customHeight="1">
      <c r="A18" s="452" t="s">
        <v>182</v>
      </c>
      <c r="B18" s="453">
        <f>IFERROR(__xludf.DUMMYFUNCTION("COUNTUNIQUE(B6:B13)"),8.0)</f>
        <v>8</v>
      </c>
      <c r="C18" s="453">
        <f>IFERROR(__xludf.DUMMYFUNCTION("COUNTUNIQUE(C6:C13)"),2.0)</f>
        <v>2</v>
      </c>
      <c r="D18" s="453">
        <f>IFERROR(__xludf.DUMMYFUNCTION("COUNTUNIQUE(D6:D13)"),3.0)</f>
        <v>3</v>
      </c>
      <c r="E18" s="453">
        <f>IFERROR(__xludf.DUMMYFUNCTION("COUNTUNIQUE(E6:E13)"),5.0)</f>
        <v>5</v>
      </c>
      <c r="F18" s="453">
        <f>IFERROR(__xludf.DUMMYFUNCTION("COUNTUNIQUE(F6:F13)"),0.0)</f>
        <v>0</v>
      </c>
      <c r="G18" s="454">
        <f>SUM(B18:E18)</f>
        <v>18</v>
      </c>
      <c r="H18" s="402"/>
      <c r="I18" s="82"/>
      <c r="J18" s="435"/>
      <c r="K18" s="435"/>
      <c r="L18" s="436"/>
      <c r="M18" s="390"/>
      <c r="N18" s="390"/>
      <c r="O18" s="390"/>
      <c r="P18" s="389"/>
      <c r="Q18" s="390"/>
      <c r="R18" s="388"/>
      <c r="S18" s="388"/>
      <c r="T18" s="388"/>
      <c r="U18" s="388"/>
      <c r="V18" s="388"/>
      <c r="W18" s="9"/>
      <c r="X18" s="9"/>
      <c r="Y18" s="9"/>
      <c r="Z18" s="9"/>
    </row>
    <row r="19" ht="23.25" customHeight="1">
      <c r="A19" s="391" t="s">
        <v>753</v>
      </c>
      <c r="B19" s="455"/>
      <c r="C19" s="439"/>
      <c r="D19" s="439"/>
      <c r="E19" s="439"/>
      <c r="F19" s="439"/>
      <c r="G19" s="395"/>
      <c r="H19" s="402"/>
      <c r="I19" s="100"/>
      <c r="J19" s="444"/>
      <c r="K19" s="444"/>
      <c r="L19" s="443"/>
      <c r="M19" s="390"/>
      <c r="N19" s="390"/>
      <c r="O19" s="390"/>
      <c r="P19" s="389"/>
      <c r="Q19" s="390"/>
      <c r="R19" s="388"/>
      <c r="S19" s="388"/>
      <c r="T19" s="388"/>
      <c r="U19" s="388"/>
      <c r="V19" s="388"/>
      <c r="W19" s="9"/>
      <c r="X19" s="9"/>
      <c r="Y19" s="9"/>
      <c r="Z19" s="9"/>
    </row>
    <row r="20" ht="23.25" customHeight="1">
      <c r="A20" s="391" t="s">
        <v>762</v>
      </c>
      <c r="B20" s="455"/>
      <c r="C20" s="439"/>
      <c r="D20" s="439"/>
      <c r="E20" s="439"/>
      <c r="F20" s="439"/>
      <c r="G20" s="395"/>
      <c r="H20" s="388"/>
      <c r="I20" s="389"/>
      <c r="J20" s="389"/>
      <c r="K20" s="390"/>
      <c r="L20" s="390"/>
      <c r="M20" s="390"/>
      <c r="N20" s="390"/>
      <c r="O20" s="390"/>
      <c r="P20" s="389"/>
      <c r="Q20" s="390"/>
      <c r="R20" s="388"/>
      <c r="S20" s="388"/>
      <c r="T20" s="388"/>
      <c r="U20" s="388"/>
      <c r="V20" s="388"/>
      <c r="W20" s="9"/>
      <c r="X20" s="9"/>
      <c r="Y20" s="9"/>
      <c r="Z20" s="9"/>
    </row>
    <row r="21" ht="23.25" customHeight="1">
      <c r="A21" s="391" t="s">
        <v>769</v>
      </c>
      <c r="B21" s="455"/>
      <c r="C21" s="439"/>
      <c r="D21" s="439"/>
      <c r="E21" s="439"/>
      <c r="F21" s="439"/>
      <c r="G21" s="395"/>
      <c r="H21" s="388"/>
      <c r="I21" s="456" t="s">
        <v>784</v>
      </c>
      <c r="J21" s="27" t="s">
        <v>755</v>
      </c>
      <c r="K21" s="408" t="s">
        <v>794</v>
      </c>
      <c r="L21" s="27" t="s">
        <v>795</v>
      </c>
      <c r="M21" s="390"/>
      <c r="N21" s="390"/>
      <c r="O21" s="390"/>
      <c r="P21" s="389"/>
      <c r="Q21" s="390"/>
      <c r="R21" s="388"/>
      <c r="S21" s="388"/>
      <c r="T21" s="388"/>
      <c r="U21" s="388"/>
      <c r="V21" s="388"/>
      <c r="W21" s="9"/>
      <c r="X21" s="9"/>
      <c r="Y21" s="9"/>
      <c r="Z21" s="9"/>
    </row>
    <row r="22" ht="23.25" customHeight="1">
      <c r="A22" s="391" t="s">
        <v>774</v>
      </c>
      <c r="B22" s="455"/>
      <c r="C22" s="439"/>
      <c r="D22" s="439"/>
      <c r="E22" s="439"/>
      <c r="F22" s="439"/>
      <c r="G22" s="395"/>
      <c r="H22" s="396"/>
      <c r="I22" s="457"/>
      <c r="J22" s="442" t="s">
        <v>764</v>
      </c>
      <c r="K22" s="439" t="s">
        <v>796</v>
      </c>
      <c r="L22" s="156" t="s">
        <v>797</v>
      </c>
      <c r="M22" s="390"/>
      <c r="N22" s="390"/>
      <c r="O22" s="390"/>
      <c r="P22" s="389"/>
      <c r="Q22" s="389"/>
      <c r="R22" s="388"/>
      <c r="S22" s="388"/>
      <c r="T22" s="388"/>
      <c r="U22" s="388"/>
      <c r="V22" s="388"/>
      <c r="W22" s="9"/>
      <c r="X22" s="9"/>
      <c r="Y22" s="9"/>
      <c r="Z22" s="9"/>
    </row>
    <row r="23" ht="23.25" customHeight="1">
      <c r="A23" s="391" t="s">
        <v>778</v>
      </c>
      <c r="B23" s="455"/>
      <c r="C23" s="439"/>
      <c r="D23" s="439"/>
      <c r="E23" s="439"/>
      <c r="F23" s="439"/>
      <c r="G23" s="395"/>
      <c r="H23" s="388"/>
      <c r="I23" s="457"/>
      <c r="J23" s="433" t="s">
        <v>770</v>
      </c>
      <c r="K23" s="439" t="s">
        <v>798</v>
      </c>
      <c r="L23" s="439" t="s">
        <v>799</v>
      </c>
      <c r="M23" s="458"/>
      <c r="N23" s="390"/>
      <c r="O23" s="390"/>
      <c r="P23" s="389"/>
      <c r="Q23" s="389"/>
      <c r="R23" s="388"/>
      <c r="S23" s="388"/>
      <c r="T23" s="388"/>
      <c r="U23" s="388"/>
      <c r="V23" s="388"/>
      <c r="W23" s="9"/>
      <c r="X23" s="9"/>
      <c r="Y23" s="9"/>
      <c r="Z23" s="9"/>
    </row>
    <row r="24" ht="23.25" customHeight="1">
      <c r="A24" s="391" t="s">
        <v>782</v>
      </c>
      <c r="B24" s="455"/>
      <c r="C24" s="439"/>
      <c r="D24" s="439"/>
      <c r="E24" s="439"/>
      <c r="F24" s="439"/>
      <c r="G24" s="395"/>
      <c r="H24" s="388"/>
      <c r="I24" s="457"/>
      <c r="J24" s="51"/>
      <c r="K24" s="51"/>
      <c r="L24" s="51"/>
      <c r="M24" s="390"/>
      <c r="O24" s="390"/>
      <c r="P24" s="389"/>
      <c r="Q24" s="389"/>
      <c r="R24" s="388"/>
      <c r="S24" s="388"/>
      <c r="T24" s="388"/>
      <c r="U24" s="388"/>
      <c r="V24" s="388"/>
      <c r="W24" s="9"/>
      <c r="X24" s="9"/>
      <c r="Y24" s="9"/>
      <c r="Z24" s="9"/>
    </row>
    <row r="25" ht="23.25" customHeight="1">
      <c r="A25" s="391" t="s">
        <v>783</v>
      </c>
      <c r="B25" s="455"/>
      <c r="C25" s="439"/>
      <c r="D25" s="439"/>
      <c r="E25" s="439"/>
      <c r="F25" s="439"/>
      <c r="G25" s="395"/>
      <c r="H25" s="388"/>
      <c r="I25" s="457"/>
      <c r="J25" s="51"/>
      <c r="K25" s="51"/>
      <c r="L25" s="51"/>
      <c r="M25" s="390"/>
      <c r="N25" s="390"/>
      <c r="O25" s="390"/>
      <c r="P25" s="389"/>
      <c r="Q25" s="389"/>
      <c r="R25" s="388"/>
      <c r="S25" s="388"/>
      <c r="T25" s="388"/>
      <c r="U25" s="388"/>
      <c r="V25" s="388"/>
      <c r="W25" s="9"/>
      <c r="X25" s="9"/>
      <c r="Y25" s="9"/>
      <c r="Z25" s="9"/>
    </row>
    <row r="26" ht="23.25" customHeight="1">
      <c r="A26" s="391" t="s">
        <v>787</v>
      </c>
      <c r="B26" s="455"/>
      <c r="C26" s="439"/>
      <c r="D26" s="439"/>
      <c r="E26" s="439"/>
      <c r="F26" s="439"/>
      <c r="G26" s="395"/>
      <c r="H26" s="388"/>
      <c r="I26" s="457"/>
      <c r="J26" s="51"/>
      <c r="K26" s="51"/>
      <c r="L26" s="51"/>
      <c r="M26" s="458"/>
      <c r="N26" s="390"/>
      <c r="O26" s="390"/>
      <c r="P26" s="389"/>
      <c r="Q26" s="389"/>
      <c r="R26" s="388"/>
      <c r="S26" s="388"/>
      <c r="T26" s="388"/>
      <c r="U26" s="388"/>
      <c r="V26" s="388"/>
      <c r="W26" s="9"/>
      <c r="X26" s="9"/>
      <c r="Y26" s="9"/>
      <c r="Z26" s="9"/>
    </row>
    <row r="27" ht="23.25" customHeight="1">
      <c r="A27" s="391" t="s">
        <v>790</v>
      </c>
      <c r="B27" s="455"/>
      <c r="C27" s="439"/>
      <c r="D27" s="439"/>
      <c r="E27" s="439"/>
      <c r="F27" s="439"/>
      <c r="G27" s="395"/>
      <c r="H27" s="388"/>
      <c r="I27" s="457"/>
      <c r="J27" s="51"/>
      <c r="K27" s="51"/>
      <c r="L27" s="51"/>
      <c r="M27" s="390"/>
      <c r="N27" s="390"/>
      <c r="O27" s="390"/>
      <c r="P27" s="389"/>
      <c r="Q27" s="389"/>
      <c r="R27" s="388"/>
      <c r="S27" s="388"/>
      <c r="T27" s="388"/>
      <c r="U27" s="388"/>
      <c r="V27" s="388"/>
      <c r="W27" s="9"/>
      <c r="X27" s="9"/>
      <c r="Y27" s="9"/>
      <c r="Z27" s="9"/>
    </row>
    <row r="28" ht="23.25" customHeight="1">
      <c r="A28" s="391" t="s">
        <v>791</v>
      </c>
      <c r="B28" s="455"/>
      <c r="C28" s="439"/>
      <c r="D28" s="439"/>
      <c r="E28" s="439"/>
      <c r="F28" s="439"/>
      <c r="G28" s="459">
        <f>COUNTA(B19:F28)</f>
        <v>0</v>
      </c>
      <c r="H28" s="388"/>
      <c r="I28" s="430"/>
      <c r="J28" s="436"/>
      <c r="K28" s="435"/>
      <c r="L28" s="436"/>
      <c r="M28" s="390"/>
      <c r="N28" s="390"/>
      <c r="O28" s="390"/>
      <c r="P28" s="389"/>
      <c r="Q28" s="389"/>
      <c r="R28" s="388"/>
      <c r="S28" s="388"/>
      <c r="T28" s="388"/>
      <c r="U28" s="388"/>
      <c r="V28" s="388"/>
      <c r="W28" s="9"/>
      <c r="X28" s="9"/>
      <c r="Y28" s="9"/>
      <c r="Z28" s="9"/>
    </row>
    <row r="29">
      <c r="A29" s="388"/>
      <c r="B29" s="388"/>
      <c r="C29" s="388"/>
      <c r="D29" s="388"/>
      <c r="E29" s="388"/>
      <c r="F29" s="395"/>
      <c r="G29" s="395"/>
      <c r="H29" s="388"/>
      <c r="I29" s="389"/>
      <c r="J29" s="390"/>
      <c r="K29" s="389"/>
      <c r="L29" s="390"/>
      <c r="M29" s="390"/>
      <c r="N29" s="390"/>
      <c r="O29" s="390"/>
      <c r="P29" s="389"/>
      <c r="Q29" s="389"/>
      <c r="R29" s="388"/>
      <c r="S29" s="388"/>
      <c r="T29" s="388"/>
      <c r="U29" s="388"/>
      <c r="V29" s="388"/>
      <c r="W29" s="9"/>
      <c r="X29" s="9"/>
      <c r="Y29" s="9"/>
      <c r="Z29" s="9"/>
    </row>
    <row r="30">
      <c r="A30" s="388"/>
      <c r="B30" s="388"/>
      <c r="C30" s="388"/>
      <c r="D30" s="388"/>
      <c r="E30" s="388"/>
      <c r="F30" s="395"/>
      <c r="G30" s="395"/>
      <c r="H30" s="388"/>
      <c r="I30" s="390"/>
      <c r="J30" s="389"/>
      <c r="K30" s="389"/>
      <c r="L30" s="460"/>
      <c r="M30" s="390"/>
      <c r="N30" s="390"/>
      <c r="O30" s="390"/>
      <c r="P30" s="389"/>
      <c r="Q30" s="389"/>
      <c r="R30" s="388"/>
      <c r="S30" s="388"/>
      <c r="T30" s="388"/>
      <c r="U30" s="388"/>
      <c r="V30" s="388"/>
      <c r="W30" s="9"/>
      <c r="X30" s="9"/>
      <c r="Y30" s="9"/>
      <c r="Z30" s="9"/>
    </row>
    <row r="31" ht="24.0" customHeight="1">
      <c r="A31" s="461" t="s">
        <v>800</v>
      </c>
      <c r="B31" s="461" t="s">
        <v>801</v>
      </c>
      <c r="C31" s="461" t="s">
        <v>802</v>
      </c>
      <c r="D31" s="461" t="s">
        <v>803</v>
      </c>
      <c r="E31" s="99"/>
      <c r="F31" s="462"/>
      <c r="G31" s="462"/>
      <c r="H31" s="463"/>
      <c r="I31" s="464"/>
      <c r="J31" s="464"/>
      <c r="K31" s="464"/>
      <c r="L31" s="464"/>
      <c r="M31" s="464"/>
      <c r="N31" s="464"/>
      <c r="O31" s="464"/>
      <c r="P31" s="465"/>
      <c r="Q31" s="465"/>
      <c r="R31" s="463"/>
      <c r="S31" s="463"/>
      <c r="T31" s="463"/>
      <c r="U31" s="463"/>
      <c r="V31" s="463"/>
      <c r="W31" s="466"/>
      <c r="X31" s="466"/>
      <c r="Y31" s="466"/>
      <c r="Z31" s="466"/>
    </row>
    <row r="32">
      <c r="A32" s="409" t="s">
        <v>804</v>
      </c>
      <c r="B32" s="423" t="s">
        <v>805</v>
      </c>
      <c r="C32" s="408" t="s">
        <v>806</v>
      </c>
      <c r="D32" s="50" t="s">
        <v>807</v>
      </c>
      <c r="E32" s="305"/>
      <c r="F32" s="395"/>
      <c r="G32" s="395"/>
      <c r="H32" s="388"/>
      <c r="I32" s="389"/>
      <c r="J32" s="389"/>
      <c r="K32" s="389"/>
      <c r="L32" s="460"/>
      <c r="M32" s="389"/>
      <c r="N32" s="389"/>
      <c r="O32" s="389"/>
      <c r="P32" s="389"/>
      <c r="Q32" s="389"/>
      <c r="R32" s="388"/>
      <c r="S32" s="388"/>
      <c r="T32" s="388"/>
      <c r="U32" s="388"/>
      <c r="V32" s="388"/>
      <c r="W32" s="9"/>
      <c r="X32" s="9"/>
      <c r="Y32" s="9"/>
      <c r="Z32" s="9"/>
    </row>
    <row r="33">
      <c r="A33" s="409" t="s">
        <v>808</v>
      </c>
      <c r="B33" s="428" t="s">
        <v>809</v>
      </c>
      <c r="C33" s="467" t="s">
        <v>810</v>
      </c>
      <c r="D33" s="50" t="s">
        <v>811</v>
      </c>
      <c r="E33" s="305"/>
      <c r="F33" s="395"/>
      <c r="G33" s="395"/>
      <c r="H33" s="388"/>
      <c r="I33" s="389"/>
      <c r="J33" s="389"/>
      <c r="K33" s="389"/>
      <c r="L33" s="460"/>
      <c r="M33" s="389"/>
      <c r="N33" s="389"/>
      <c r="O33" s="389"/>
      <c r="P33" s="389"/>
      <c r="Q33" s="389"/>
      <c r="R33" s="388"/>
      <c r="S33" s="388"/>
      <c r="T33" s="388"/>
      <c r="U33" s="388"/>
      <c r="V33" s="388"/>
      <c r="W33" s="9"/>
      <c r="X33" s="9"/>
      <c r="Y33" s="9"/>
      <c r="Z33" s="9"/>
    </row>
    <row r="34">
      <c r="A34" s="409" t="s">
        <v>812</v>
      </c>
      <c r="B34" s="468" t="s">
        <v>813</v>
      </c>
      <c r="C34" s="414" t="s">
        <v>814</v>
      </c>
      <c r="D34" s="50" t="s">
        <v>815</v>
      </c>
      <c r="E34" s="305"/>
      <c r="F34" s="395"/>
      <c r="G34" s="395"/>
      <c r="H34" s="388"/>
      <c r="I34" s="389"/>
      <c r="J34" s="389"/>
      <c r="K34" s="389"/>
      <c r="L34" s="460"/>
      <c r="M34" s="389"/>
      <c r="N34" s="389"/>
      <c r="O34" s="389"/>
      <c r="P34" s="389"/>
      <c r="Q34" s="389"/>
      <c r="R34" s="388"/>
      <c r="S34" s="388"/>
      <c r="T34" s="388"/>
      <c r="U34" s="388"/>
      <c r="V34" s="388"/>
      <c r="W34" s="9"/>
      <c r="X34" s="9"/>
      <c r="Y34" s="9"/>
      <c r="Z34" s="9"/>
    </row>
    <row r="35">
      <c r="A35" s="409" t="s">
        <v>816</v>
      </c>
      <c r="B35" s="423" t="s">
        <v>817</v>
      </c>
      <c r="C35" s="27" t="s">
        <v>818</v>
      </c>
      <c r="D35" s="50" t="s">
        <v>819</v>
      </c>
      <c r="E35" s="305"/>
      <c r="F35" s="395"/>
      <c r="G35" s="395"/>
      <c r="H35" s="388"/>
      <c r="I35" s="389"/>
      <c r="J35" s="389"/>
      <c r="K35" s="389"/>
      <c r="L35" s="460"/>
      <c r="M35" s="389"/>
      <c r="N35" s="389"/>
      <c r="O35" s="389"/>
      <c r="P35" s="389"/>
      <c r="Q35" s="389"/>
      <c r="R35" s="388"/>
      <c r="S35" s="388"/>
      <c r="T35" s="388"/>
      <c r="U35" s="388"/>
      <c r="V35" s="388"/>
      <c r="W35" s="9"/>
      <c r="X35" s="9"/>
      <c r="Y35" s="9"/>
      <c r="Z35" s="9"/>
    </row>
    <row r="36">
      <c r="A36" s="469" t="s">
        <v>820</v>
      </c>
      <c r="B36" s="423" t="s">
        <v>821</v>
      </c>
      <c r="C36" s="414" t="s">
        <v>822</v>
      </c>
      <c r="D36" s="470" t="s">
        <v>823</v>
      </c>
      <c r="E36" s="305"/>
      <c r="F36" s="395"/>
      <c r="G36" s="395"/>
      <c r="H36" s="388"/>
      <c r="I36" s="389"/>
      <c r="J36" s="389"/>
      <c r="K36" s="389"/>
      <c r="L36" s="460"/>
      <c r="M36" s="389"/>
      <c r="N36" s="389"/>
      <c r="O36" s="389"/>
      <c r="P36" s="389"/>
      <c r="Q36" s="389"/>
      <c r="R36" s="388"/>
      <c r="S36" s="388"/>
      <c r="T36" s="388"/>
      <c r="U36" s="388"/>
      <c r="V36" s="388"/>
      <c r="W36" s="9"/>
      <c r="X36" s="9"/>
      <c r="Y36" s="9"/>
      <c r="Z36" s="9"/>
    </row>
    <row r="37">
      <c r="A37" s="471" t="s">
        <v>824</v>
      </c>
      <c r="B37" s="472" t="s">
        <v>825</v>
      </c>
      <c r="C37" s="473" t="s">
        <v>826</v>
      </c>
      <c r="D37" s="238" t="s">
        <v>827</v>
      </c>
      <c r="E37" s="305"/>
      <c r="F37" s="395"/>
      <c r="G37" s="395"/>
      <c r="H37" s="388"/>
      <c r="I37" s="389"/>
      <c r="J37" s="389"/>
      <c r="K37" s="389"/>
      <c r="L37" s="460"/>
      <c r="M37" s="389"/>
      <c r="N37" s="389"/>
      <c r="O37" s="389"/>
      <c r="P37" s="389"/>
      <c r="Q37" s="389"/>
      <c r="R37" s="388"/>
      <c r="S37" s="388"/>
      <c r="T37" s="388"/>
      <c r="U37" s="388"/>
      <c r="V37" s="388"/>
      <c r="W37" s="9"/>
      <c r="X37" s="9"/>
      <c r="Y37" s="9"/>
      <c r="Z37" s="9"/>
    </row>
    <row r="38">
      <c r="A38" s="409" t="s">
        <v>828</v>
      </c>
      <c r="B38" s="474" t="s">
        <v>829</v>
      </c>
      <c r="C38" s="409" t="s">
        <v>830</v>
      </c>
      <c r="D38" s="171" t="s">
        <v>831</v>
      </c>
      <c r="E38" s="305"/>
      <c r="F38" s="395"/>
      <c r="G38" s="395"/>
      <c r="H38" s="388"/>
      <c r="I38" s="389"/>
      <c r="J38" s="389"/>
      <c r="K38" s="389"/>
      <c r="L38" s="460"/>
      <c r="M38" s="389"/>
      <c r="N38" s="389"/>
      <c r="O38" s="389"/>
      <c r="P38" s="389"/>
      <c r="Q38" s="389"/>
      <c r="R38" s="388"/>
      <c r="S38" s="388"/>
      <c r="T38" s="388"/>
      <c r="U38" s="388"/>
      <c r="V38" s="388"/>
      <c r="W38" s="9"/>
      <c r="X38" s="9"/>
      <c r="Y38" s="9"/>
      <c r="Z38" s="9"/>
    </row>
    <row r="39">
      <c r="A39" s="388"/>
      <c r="B39" s="396"/>
      <c r="C39" s="396"/>
      <c r="D39" s="388"/>
      <c r="E39" s="388"/>
      <c r="F39" s="395"/>
      <c r="G39" s="395"/>
      <c r="H39" s="388"/>
      <c r="I39" s="389"/>
      <c r="J39" s="389"/>
      <c r="K39" s="389"/>
      <c r="L39" s="460"/>
      <c r="M39" s="389"/>
      <c r="N39" s="389"/>
      <c r="O39" s="389"/>
      <c r="P39" s="389"/>
      <c r="Q39" s="389"/>
      <c r="R39" s="388"/>
      <c r="S39" s="388"/>
      <c r="T39" s="388"/>
      <c r="U39" s="388"/>
      <c r="V39" s="388"/>
      <c r="W39" s="9"/>
      <c r="X39" s="9"/>
      <c r="Y39" s="9"/>
      <c r="Z39" s="9"/>
    </row>
    <row r="40">
      <c r="A40" s="388"/>
      <c r="B40" s="396"/>
      <c r="C40" s="396"/>
      <c r="D40" s="388"/>
      <c r="E40" s="388"/>
      <c r="F40" s="395"/>
      <c r="G40" s="395"/>
      <c r="H40" s="388"/>
      <c r="I40" s="389"/>
      <c r="J40" s="389"/>
      <c r="K40" s="389"/>
      <c r="L40" s="460"/>
      <c r="M40" s="389"/>
      <c r="N40" s="389"/>
      <c r="O40" s="389"/>
      <c r="P40" s="389"/>
      <c r="Q40" s="389"/>
      <c r="R40" s="388"/>
      <c r="S40" s="388"/>
      <c r="T40" s="388"/>
      <c r="U40" s="388"/>
      <c r="V40" s="388"/>
      <c r="W40" s="9"/>
      <c r="X40" s="9"/>
      <c r="Y40" s="9"/>
      <c r="Z40" s="9"/>
    </row>
    <row r="41">
      <c r="A41" s="388"/>
      <c r="B41" s="396"/>
      <c r="C41" s="396"/>
      <c r="D41" s="388"/>
      <c r="E41" s="388"/>
      <c r="F41" s="395"/>
      <c r="G41" s="395"/>
      <c r="H41" s="388"/>
      <c r="I41" s="389"/>
      <c r="J41" s="389"/>
      <c r="K41" s="389"/>
      <c r="L41" s="460"/>
      <c r="M41" s="389"/>
      <c r="N41" s="389"/>
      <c r="O41" s="389"/>
      <c r="P41" s="389"/>
      <c r="Q41" s="389"/>
      <c r="R41" s="388"/>
      <c r="S41" s="388"/>
      <c r="T41" s="388"/>
      <c r="U41" s="388"/>
      <c r="V41" s="388"/>
      <c r="W41" s="9"/>
      <c r="X41" s="9"/>
      <c r="Y41" s="9"/>
      <c r="Z41" s="9"/>
    </row>
    <row r="42">
      <c r="A42" s="388"/>
      <c r="B42" s="396"/>
      <c r="C42" s="396"/>
      <c r="D42" s="396"/>
      <c r="E42" s="388"/>
      <c r="F42" s="395"/>
      <c r="G42" s="395"/>
      <c r="H42" s="388"/>
      <c r="I42" s="389"/>
      <c r="J42" s="389"/>
      <c r="K42" s="389"/>
      <c r="L42" s="460"/>
      <c r="M42" s="389"/>
      <c r="N42" s="389"/>
      <c r="O42" s="389"/>
      <c r="P42" s="389"/>
      <c r="Q42" s="389"/>
      <c r="R42" s="388"/>
      <c r="S42" s="388"/>
      <c r="T42" s="388"/>
      <c r="U42" s="388"/>
      <c r="V42" s="388"/>
      <c r="W42" s="9"/>
      <c r="X42" s="9"/>
      <c r="Y42" s="9"/>
      <c r="Z42" s="9"/>
    </row>
    <row r="43">
      <c r="A43" s="388"/>
      <c r="B43" s="396"/>
      <c r="C43" s="396"/>
      <c r="D43" s="396"/>
      <c r="E43" s="388"/>
      <c r="F43" s="395"/>
      <c r="G43" s="395"/>
      <c r="H43" s="388"/>
      <c r="I43" s="389"/>
      <c r="J43" s="389"/>
      <c r="K43" s="389"/>
      <c r="L43" s="460"/>
      <c r="M43" s="389"/>
      <c r="N43" s="389"/>
      <c r="O43" s="389"/>
      <c r="P43" s="389"/>
      <c r="Q43" s="389"/>
      <c r="R43" s="388"/>
      <c r="S43" s="388"/>
      <c r="T43" s="388"/>
      <c r="U43" s="388"/>
      <c r="V43" s="388"/>
      <c r="W43" s="9"/>
      <c r="X43" s="9"/>
      <c r="Y43" s="9"/>
      <c r="Z43" s="9"/>
    </row>
    <row r="44">
      <c r="A44" s="388"/>
      <c r="B44" s="396"/>
      <c r="C44" s="396"/>
      <c r="D44" s="396"/>
      <c r="E44" s="388"/>
      <c r="F44" s="395"/>
      <c r="G44" s="395"/>
      <c r="H44" s="388"/>
      <c r="I44" s="389"/>
      <c r="J44" s="389"/>
      <c r="K44" s="389"/>
      <c r="L44" s="460"/>
      <c r="M44" s="389"/>
      <c r="N44" s="389"/>
      <c r="O44" s="389"/>
      <c r="P44" s="389"/>
      <c r="Q44" s="389"/>
      <c r="R44" s="388"/>
      <c r="S44" s="388"/>
      <c r="T44" s="388"/>
      <c r="U44" s="388"/>
      <c r="V44" s="388"/>
      <c r="W44" s="9"/>
      <c r="X44" s="9"/>
      <c r="Y44" s="9"/>
      <c r="Z44" s="9"/>
    </row>
    <row r="45">
      <c r="A45" s="388"/>
      <c r="B45" s="396"/>
      <c r="C45" s="396"/>
      <c r="D45" s="396"/>
      <c r="E45" s="388"/>
      <c r="F45" s="395"/>
      <c r="G45" s="395"/>
      <c r="H45" s="388"/>
      <c r="I45" s="389"/>
      <c r="J45" s="389"/>
      <c r="K45" s="389"/>
      <c r="L45" s="460"/>
      <c r="M45" s="389"/>
      <c r="N45" s="389"/>
      <c r="O45" s="389"/>
      <c r="P45" s="389"/>
      <c r="Q45" s="389"/>
      <c r="R45" s="388"/>
      <c r="S45" s="388"/>
      <c r="T45" s="388"/>
      <c r="U45" s="388"/>
      <c r="V45" s="388"/>
      <c r="W45" s="9"/>
      <c r="X45" s="9"/>
      <c r="Y45" s="9"/>
      <c r="Z45" s="9"/>
    </row>
    <row r="46">
      <c r="A46" s="388"/>
      <c r="B46" s="396"/>
      <c r="C46" s="396"/>
      <c r="D46" s="396"/>
      <c r="E46" s="388"/>
      <c r="F46" s="395"/>
      <c r="G46" s="395"/>
      <c r="H46" s="388"/>
      <c r="I46" s="389"/>
      <c r="J46" s="389"/>
      <c r="K46" s="389"/>
      <c r="L46" s="460"/>
      <c r="M46" s="389"/>
      <c r="N46" s="389"/>
      <c r="O46" s="389"/>
      <c r="P46" s="389"/>
      <c r="Q46" s="389"/>
      <c r="R46" s="388"/>
      <c r="S46" s="388"/>
      <c r="T46" s="388"/>
      <c r="U46" s="388"/>
      <c r="V46" s="388"/>
      <c r="W46" s="9"/>
      <c r="X46" s="9"/>
      <c r="Y46" s="9"/>
      <c r="Z46" s="9"/>
    </row>
    <row r="47">
      <c r="A47" s="388"/>
      <c r="B47" s="396"/>
      <c r="C47" s="396"/>
      <c r="D47" s="396"/>
      <c r="E47" s="388"/>
      <c r="F47" s="395"/>
      <c r="G47" s="395"/>
      <c r="H47" s="388"/>
      <c r="I47" s="389"/>
      <c r="J47" s="389"/>
      <c r="K47" s="389"/>
      <c r="L47" s="460"/>
      <c r="M47" s="389"/>
      <c r="N47" s="389"/>
      <c r="O47" s="389"/>
      <c r="P47" s="389"/>
      <c r="Q47" s="389"/>
      <c r="R47" s="388"/>
      <c r="S47" s="388"/>
      <c r="T47" s="388"/>
      <c r="U47" s="388"/>
      <c r="V47" s="388"/>
      <c r="W47" s="9"/>
      <c r="X47" s="9"/>
      <c r="Y47" s="9"/>
      <c r="Z47" s="9"/>
    </row>
    <row r="48">
      <c r="A48" s="388"/>
      <c r="B48" s="396"/>
      <c r="C48" s="396"/>
      <c r="D48" s="396"/>
      <c r="E48" s="388"/>
      <c r="F48" s="395"/>
      <c r="G48" s="395"/>
      <c r="H48" s="388"/>
      <c r="I48" s="389"/>
      <c r="J48" s="389"/>
      <c r="K48" s="389"/>
      <c r="L48" s="460"/>
      <c r="M48" s="389"/>
      <c r="N48" s="389"/>
      <c r="O48" s="389"/>
      <c r="P48" s="389"/>
      <c r="Q48" s="389"/>
      <c r="R48" s="388"/>
      <c r="S48" s="388"/>
      <c r="T48" s="388"/>
      <c r="U48" s="388"/>
      <c r="V48" s="388"/>
      <c r="W48" s="9"/>
      <c r="X48" s="9"/>
      <c r="Y48" s="9"/>
      <c r="Z48" s="9"/>
    </row>
    <row r="49">
      <c r="A49" s="388"/>
      <c r="B49" s="396"/>
      <c r="C49" s="396"/>
      <c r="D49" s="396"/>
      <c r="E49" s="388"/>
      <c r="F49" s="395"/>
      <c r="G49" s="395"/>
      <c r="H49" s="388"/>
      <c r="I49" s="389"/>
      <c r="J49" s="389"/>
      <c r="K49" s="389"/>
      <c r="L49" s="460"/>
      <c r="M49" s="389"/>
      <c r="N49" s="389"/>
      <c r="O49" s="389"/>
      <c r="P49" s="389"/>
      <c r="Q49" s="389"/>
      <c r="R49" s="388"/>
      <c r="S49" s="388"/>
      <c r="T49" s="388"/>
      <c r="U49" s="388"/>
      <c r="V49" s="388"/>
      <c r="W49" s="9"/>
      <c r="X49" s="9"/>
      <c r="Y49" s="9"/>
      <c r="Z49" s="9"/>
    </row>
    <row r="50">
      <c r="A50" s="388"/>
      <c r="B50" s="396"/>
      <c r="C50" s="396"/>
      <c r="D50" s="396"/>
      <c r="E50" s="388"/>
      <c r="F50" s="395"/>
      <c r="G50" s="395"/>
      <c r="H50" s="388"/>
      <c r="I50" s="389"/>
      <c r="J50" s="389"/>
      <c r="K50" s="389"/>
      <c r="L50" s="460"/>
      <c r="M50" s="389"/>
      <c r="N50" s="389"/>
      <c r="O50" s="389"/>
      <c r="P50" s="389"/>
      <c r="Q50" s="389"/>
      <c r="R50" s="388"/>
      <c r="S50" s="388"/>
      <c r="T50" s="388"/>
      <c r="U50" s="388"/>
      <c r="V50" s="388"/>
      <c r="W50" s="9"/>
      <c r="X50" s="9"/>
      <c r="Y50" s="9"/>
      <c r="Z50" s="9"/>
    </row>
    <row r="51">
      <c r="A51" s="388"/>
      <c r="B51" s="396"/>
      <c r="C51" s="396"/>
      <c r="D51" s="396"/>
      <c r="E51" s="388"/>
      <c r="F51" s="395"/>
      <c r="G51" s="395"/>
      <c r="H51" s="388"/>
      <c r="I51" s="389"/>
      <c r="J51" s="389"/>
      <c r="K51" s="389"/>
      <c r="L51" s="460"/>
      <c r="M51" s="389"/>
      <c r="N51" s="389"/>
      <c r="O51" s="389"/>
      <c r="P51" s="389"/>
      <c r="Q51" s="389"/>
      <c r="R51" s="388"/>
      <c r="S51" s="388"/>
      <c r="T51" s="388"/>
      <c r="U51" s="388"/>
      <c r="V51" s="388"/>
      <c r="W51" s="9"/>
      <c r="X51" s="9"/>
      <c r="Y51" s="9"/>
      <c r="Z51" s="9"/>
    </row>
    <row r="52">
      <c r="A52" s="388"/>
      <c r="B52" s="396"/>
      <c r="C52" s="396"/>
      <c r="D52" s="396"/>
      <c r="E52" s="388"/>
      <c r="F52" s="395"/>
      <c r="G52" s="395"/>
      <c r="H52" s="388"/>
      <c r="I52" s="389"/>
      <c r="J52" s="389"/>
      <c r="K52" s="389"/>
      <c r="L52" s="460"/>
      <c r="M52" s="389"/>
      <c r="N52" s="389"/>
      <c r="O52" s="389"/>
      <c r="P52" s="389"/>
      <c r="Q52" s="389"/>
      <c r="R52" s="388"/>
      <c r="S52" s="388"/>
      <c r="T52" s="388"/>
      <c r="U52" s="388"/>
      <c r="V52" s="388"/>
      <c r="W52" s="9"/>
      <c r="X52" s="9"/>
      <c r="Y52" s="9"/>
      <c r="Z52" s="9"/>
    </row>
    <row r="53">
      <c r="A53" s="388"/>
      <c r="B53" s="396"/>
      <c r="C53" s="396"/>
      <c r="D53" s="396"/>
      <c r="E53" s="388"/>
      <c r="F53" s="395"/>
      <c r="G53" s="395"/>
      <c r="H53" s="388"/>
      <c r="I53" s="389"/>
      <c r="J53" s="389"/>
      <c r="K53" s="389"/>
      <c r="L53" s="460"/>
      <c r="M53" s="389"/>
      <c r="N53" s="389"/>
      <c r="O53" s="389"/>
      <c r="P53" s="389"/>
      <c r="Q53" s="389"/>
      <c r="R53" s="388"/>
      <c r="S53" s="388"/>
      <c r="T53" s="388"/>
      <c r="U53" s="388"/>
      <c r="V53" s="388"/>
      <c r="W53" s="9"/>
      <c r="X53" s="9"/>
      <c r="Y53" s="9"/>
      <c r="Z53" s="9"/>
    </row>
    <row r="54">
      <c r="A54" s="388"/>
      <c r="B54" s="396"/>
      <c r="C54" s="396"/>
      <c r="D54" s="396"/>
      <c r="E54" s="388"/>
      <c r="F54" s="395"/>
      <c r="G54" s="395"/>
      <c r="H54" s="388"/>
      <c r="I54" s="389"/>
      <c r="J54" s="389"/>
      <c r="K54" s="389"/>
      <c r="L54" s="460"/>
      <c r="M54" s="389"/>
      <c r="N54" s="389"/>
      <c r="O54" s="389"/>
      <c r="P54" s="389"/>
      <c r="Q54" s="389"/>
      <c r="R54" s="388"/>
      <c r="S54" s="388"/>
      <c r="T54" s="388"/>
      <c r="U54" s="388"/>
      <c r="V54" s="388"/>
      <c r="W54" s="9"/>
      <c r="X54" s="9"/>
      <c r="Y54" s="9"/>
      <c r="Z54" s="9"/>
    </row>
    <row r="55">
      <c r="A55" s="388"/>
      <c r="B55" s="396"/>
      <c r="C55" s="396"/>
      <c r="D55" s="396"/>
      <c r="E55" s="388"/>
      <c r="F55" s="395"/>
      <c r="G55" s="395"/>
      <c r="H55" s="388"/>
      <c r="I55" s="389"/>
      <c r="J55" s="389"/>
      <c r="K55" s="389"/>
      <c r="L55" s="460"/>
      <c r="M55" s="389"/>
      <c r="N55" s="389"/>
      <c r="O55" s="389"/>
      <c r="P55" s="389"/>
      <c r="Q55" s="389"/>
      <c r="R55" s="388"/>
      <c r="S55" s="388"/>
      <c r="T55" s="388"/>
      <c r="U55" s="388"/>
      <c r="V55" s="388"/>
      <c r="W55" s="9"/>
      <c r="X55" s="9"/>
      <c r="Y55" s="9"/>
      <c r="Z55" s="9"/>
    </row>
    <row r="56">
      <c r="A56" s="388"/>
      <c r="B56" s="396"/>
      <c r="C56" s="396"/>
      <c r="D56" s="396"/>
      <c r="E56" s="388"/>
      <c r="F56" s="395"/>
      <c r="G56" s="395"/>
      <c r="H56" s="388"/>
      <c r="I56" s="389"/>
      <c r="J56" s="389"/>
      <c r="K56" s="389"/>
      <c r="L56" s="460"/>
      <c r="M56" s="389"/>
      <c r="N56" s="389"/>
      <c r="O56" s="389"/>
      <c r="P56" s="389"/>
      <c r="Q56" s="389"/>
      <c r="R56" s="388"/>
      <c r="S56" s="388"/>
      <c r="T56" s="388"/>
      <c r="U56" s="388"/>
      <c r="V56" s="388"/>
      <c r="W56" s="9"/>
      <c r="X56" s="9"/>
      <c r="Y56" s="9"/>
      <c r="Z56" s="9"/>
    </row>
    <row r="57">
      <c r="A57" s="388"/>
      <c r="B57" s="396"/>
      <c r="C57" s="396"/>
      <c r="D57" s="396"/>
      <c r="E57" s="388"/>
      <c r="F57" s="395"/>
      <c r="G57" s="395"/>
      <c r="H57" s="388"/>
      <c r="I57" s="389"/>
      <c r="J57" s="389"/>
      <c r="K57" s="389"/>
      <c r="L57" s="460"/>
      <c r="M57" s="389"/>
      <c r="N57" s="389"/>
      <c r="O57" s="389"/>
      <c r="P57" s="389"/>
      <c r="Q57" s="389"/>
      <c r="R57" s="388"/>
      <c r="S57" s="388"/>
      <c r="T57" s="388"/>
      <c r="U57" s="388"/>
      <c r="V57" s="388"/>
      <c r="W57" s="9"/>
      <c r="X57" s="9"/>
      <c r="Y57" s="9"/>
      <c r="Z57" s="9"/>
    </row>
    <row r="58">
      <c r="A58" s="388"/>
      <c r="B58" s="396"/>
      <c r="C58" s="396"/>
      <c r="D58" s="396"/>
      <c r="E58" s="388"/>
      <c r="F58" s="395"/>
      <c r="G58" s="395"/>
      <c r="H58" s="388"/>
      <c r="I58" s="389"/>
      <c r="J58" s="389"/>
      <c r="K58" s="389"/>
      <c r="L58" s="460"/>
      <c r="M58" s="389"/>
      <c r="N58" s="389"/>
      <c r="O58" s="389"/>
      <c r="P58" s="389"/>
      <c r="Q58" s="389"/>
      <c r="R58" s="388"/>
      <c r="S58" s="388"/>
      <c r="T58" s="388"/>
      <c r="U58" s="388"/>
      <c r="V58" s="388"/>
      <c r="W58" s="9"/>
      <c r="X58" s="9"/>
      <c r="Y58" s="9"/>
      <c r="Z58" s="9"/>
    </row>
    <row r="59">
      <c r="A59" s="388"/>
      <c r="B59" s="396"/>
      <c r="C59" s="396"/>
      <c r="D59" s="396"/>
      <c r="E59" s="388"/>
      <c r="F59" s="395"/>
      <c r="G59" s="395"/>
      <c r="H59" s="388"/>
      <c r="I59" s="389"/>
      <c r="J59" s="389"/>
      <c r="K59" s="389"/>
      <c r="L59" s="460"/>
      <c r="M59" s="389"/>
      <c r="N59" s="389"/>
      <c r="O59" s="389"/>
      <c r="P59" s="389"/>
      <c r="Q59" s="389"/>
      <c r="R59" s="388"/>
      <c r="S59" s="388"/>
      <c r="T59" s="388"/>
      <c r="U59" s="388"/>
      <c r="V59" s="388"/>
      <c r="W59" s="9"/>
      <c r="X59" s="9"/>
      <c r="Y59" s="9"/>
      <c r="Z59" s="9"/>
    </row>
    <row r="60">
      <c r="A60" s="388"/>
      <c r="B60" s="396"/>
      <c r="C60" s="396"/>
      <c r="D60" s="396"/>
      <c r="E60" s="388"/>
      <c r="F60" s="395"/>
      <c r="G60" s="395"/>
      <c r="H60" s="388"/>
      <c r="I60" s="389"/>
      <c r="J60" s="389"/>
      <c r="K60" s="389"/>
      <c r="L60" s="460"/>
      <c r="M60" s="389"/>
      <c r="N60" s="389"/>
      <c r="O60" s="389"/>
      <c r="P60" s="389"/>
      <c r="Q60" s="389"/>
      <c r="R60" s="388"/>
      <c r="S60" s="388"/>
      <c r="T60" s="388"/>
      <c r="U60" s="388"/>
      <c r="V60" s="388"/>
      <c r="W60" s="9"/>
      <c r="X60" s="9"/>
      <c r="Y60" s="9"/>
      <c r="Z60" s="9"/>
    </row>
    <row r="61">
      <c r="A61" s="388"/>
      <c r="B61" s="396"/>
      <c r="C61" s="396"/>
      <c r="D61" s="396"/>
      <c r="E61" s="388"/>
      <c r="F61" s="395"/>
      <c r="G61" s="395"/>
      <c r="H61" s="388"/>
      <c r="I61" s="389"/>
      <c r="J61" s="389"/>
      <c r="K61" s="389"/>
      <c r="L61" s="460"/>
      <c r="M61" s="389"/>
      <c r="N61" s="389"/>
      <c r="O61" s="389"/>
      <c r="P61" s="389"/>
      <c r="Q61" s="389"/>
      <c r="R61" s="388"/>
      <c r="S61" s="388"/>
      <c r="T61" s="388"/>
      <c r="U61" s="388"/>
      <c r="V61" s="388"/>
      <c r="W61" s="9"/>
      <c r="X61" s="9"/>
      <c r="Y61" s="9"/>
      <c r="Z61" s="9"/>
    </row>
    <row r="62">
      <c r="A62" s="388"/>
      <c r="B62" s="396"/>
      <c r="C62" s="396"/>
      <c r="D62" s="396"/>
      <c r="E62" s="388"/>
      <c r="F62" s="395"/>
      <c r="G62" s="395"/>
      <c r="H62" s="388"/>
      <c r="I62" s="389"/>
      <c r="J62" s="389"/>
      <c r="K62" s="389"/>
      <c r="L62" s="460"/>
      <c r="M62" s="389"/>
      <c r="N62" s="389"/>
      <c r="O62" s="389"/>
      <c r="P62" s="389"/>
      <c r="Q62" s="389"/>
      <c r="R62" s="388"/>
      <c r="S62" s="388"/>
      <c r="T62" s="388"/>
      <c r="U62" s="388"/>
      <c r="V62" s="388"/>
      <c r="W62" s="9"/>
      <c r="X62" s="9"/>
      <c r="Y62" s="9"/>
      <c r="Z62" s="9"/>
    </row>
    <row r="63">
      <c r="A63" s="388"/>
      <c r="B63" s="396"/>
      <c r="C63" s="396"/>
      <c r="D63" s="396"/>
      <c r="E63" s="388"/>
      <c r="F63" s="395"/>
      <c r="G63" s="395"/>
      <c r="H63" s="388"/>
      <c r="I63" s="389"/>
      <c r="J63" s="389"/>
      <c r="K63" s="389"/>
      <c r="L63" s="460"/>
      <c r="M63" s="389"/>
      <c r="N63" s="389"/>
      <c r="O63" s="389"/>
      <c r="P63" s="389"/>
      <c r="Q63" s="389"/>
      <c r="R63" s="388"/>
      <c r="S63" s="388"/>
      <c r="T63" s="388"/>
      <c r="U63" s="388"/>
      <c r="V63" s="388"/>
      <c r="W63" s="9"/>
      <c r="X63" s="9"/>
      <c r="Y63" s="9"/>
      <c r="Z63" s="9"/>
    </row>
    <row r="64">
      <c r="A64" s="388"/>
      <c r="B64" s="396"/>
      <c r="C64" s="396"/>
      <c r="D64" s="396"/>
      <c r="E64" s="388"/>
      <c r="F64" s="395"/>
      <c r="G64" s="395"/>
      <c r="H64" s="388"/>
      <c r="I64" s="389"/>
      <c r="J64" s="389"/>
      <c r="K64" s="389"/>
      <c r="L64" s="460"/>
      <c r="M64" s="389"/>
      <c r="N64" s="389"/>
      <c r="O64" s="389"/>
      <c r="P64" s="389"/>
      <c r="Q64" s="389"/>
      <c r="R64" s="388"/>
      <c r="S64" s="388"/>
      <c r="T64" s="388"/>
      <c r="U64" s="388"/>
      <c r="V64" s="388"/>
      <c r="W64" s="9"/>
      <c r="X64" s="9"/>
      <c r="Y64" s="9"/>
      <c r="Z64" s="9"/>
    </row>
    <row r="65">
      <c r="A65" s="388"/>
      <c r="B65" s="396"/>
      <c r="C65" s="396"/>
      <c r="D65" s="396"/>
      <c r="E65" s="388"/>
      <c r="F65" s="395"/>
      <c r="G65" s="395"/>
      <c r="H65" s="388"/>
      <c r="I65" s="389"/>
      <c r="J65" s="389"/>
      <c r="K65" s="389"/>
      <c r="L65" s="460"/>
      <c r="M65" s="389"/>
      <c r="N65" s="389"/>
      <c r="O65" s="389"/>
      <c r="P65" s="389"/>
      <c r="Q65" s="389"/>
      <c r="R65" s="388"/>
      <c r="S65" s="388"/>
      <c r="T65" s="388"/>
      <c r="U65" s="388"/>
      <c r="V65" s="388"/>
      <c r="W65" s="9"/>
      <c r="X65" s="9"/>
      <c r="Y65" s="9"/>
      <c r="Z65" s="9"/>
    </row>
    <row r="66">
      <c r="A66" s="388"/>
      <c r="B66" s="396"/>
      <c r="C66" s="396"/>
      <c r="D66" s="396"/>
      <c r="E66" s="388"/>
      <c r="F66" s="395"/>
      <c r="G66" s="395"/>
      <c r="H66" s="388"/>
      <c r="I66" s="389"/>
      <c r="J66" s="389"/>
      <c r="K66" s="389"/>
      <c r="L66" s="460"/>
      <c r="M66" s="389"/>
      <c r="N66" s="389"/>
      <c r="O66" s="389"/>
      <c r="P66" s="389"/>
      <c r="Q66" s="389"/>
      <c r="R66" s="388"/>
      <c r="S66" s="388"/>
      <c r="T66" s="388"/>
      <c r="U66" s="388"/>
      <c r="V66" s="388"/>
      <c r="W66" s="9"/>
      <c r="X66" s="9"/>
      <c r="Y66" s="9"/>
      <c r="Z66" s="9"/>
    </row>
    <row r="67">
      <c r="A67" s="388"/>
      <c r="B67" s="396"/>
      <c r="C67" s="396"/>
      <c r="D67" s="396"/>
      <c r="E67" s="388"/>
      <c r="F67" s="395"/>
      <c r="G67" s="395"/>
      <c r="H67" s="388"/>
      <c r="I67" s="389"/>
      <c r="J67" s="389"/>
      <c r="K67" s="389"/>
      <c r="L67" s="460"/>
      <c r="M67" s="389"/>
      <c r="N67" s="389"/>
      <c r="O67" s="389"/>
      <c r="P67" s="389"/>
      <c r="Q67" s="389"/>
      <c r="R67" s="388"/>
      <c r="S67" s="388"/>
      <c r="T67" s="388"/>
      <c r="U67" s="388"/>
      <c r="V67" s="388"/>
      <c r="W67" s="9"/>
      <c r="X67" s="9"/>
      <c r="Y67" s="9"/>
      <c r="Z67" s="9"/>
    </row>
    <row r="68">
      <c r="A68" s="388"/>
      <c r="B68" s="396"/>
      <c r="C68" s="396"/>
      <c r="D68" s="396"/>
      <c r="E68" s="388"/>
      <c r="F68" s="395"/>
      <c r="G68" s="395"/>
      <c r="H68" s="388"/>
      <c r="I68" s="389"/>
      <c r="J68" s="389"/>
      <c r="K68" s="389"/>
      <c r="L68" s="460"/>
      <c r="M68" s="389"/>
      <c r="N68" s="389"/>
      <c r="O68" s="389"/>
      <c r="P68" s="389"/>
      <c r="Q68" s="389"/>
      <c r="R68" s="388"/>
      <c r="S68" s="388"/>
      <c r="T68" s="388"/>
      <c r="U68" s="388"/>
      <c r="V68" s="388"/>
      <c r="W68" s="9"/>
      <c r="X68" s="9"/>
      <c r="Y68" s="9"/>
      <c r="Z68" s="9"/>
    </row>
    <row r="69">
      <c r="A69" s="388"/>
      <c r="B69" s="396"/>
      <c r="C69" s="396"/>
      <c r="D69" s="396"/>
      <c r="E69" s="388"/>
      <c r="F69" s="395"/>
      <c r="G69" s="395"/>
      <c r="H69" s="388"/>
      <c r="I69" s="389"/>
      <c r="J69" s="389"/>
      <c r="K69" s="389"/>
      <c r="L69" s="460"/>
      <c r="M69" s="389"/>
      <c r="N69" s="389"/>
      <c r="O69" s="389"/>
      <c r="P69" s="389"/>
      <c r="Q69" s="389"/>
      <c r="R69" s="388"/>
      <c r="S69" s="388"/>
      <c r="T69" s="388"/>
      <c r="U69" s="388"/>
      <c r="V69" s="388"/>
      <c r="W69" s="9"/>
      <c r="X69" s="9"/>
      <c r="Y69" s="9"/>
      <c r="Z69" s="9"/>
    </row>
    <row r="70">
      <c r="A70" s="388"/>
      <c r="B70" s="396"/>
      <c r="C70" s="396"/>
      <c r="D70" s="396"/>
      <c r="E70" s="388"/>
      <c r="F70" s="395"/>
      <c r="G70" s="395"/>
      <c r="H70" s="388"/>
      <c r="I70" s="389"/>
      <c r="J70" s="389"/>
      <c r="K70" s="389"/>
      <c r="L70" s="460"/>
      <c r="M70" s="389"/>
      <c r="N70" s="389"/>
      <c r="O70" s="389"/>
      <c r="P70" s="389"/>
      <c r="Q70" s="389"/>
      <c r="R70" s="388"/>
      <c r="S70" s="388"/>
      <c r="T70" s="388"/>
      <c r="U70" s="388"/>
      <c r="V70" s="388"/>
      <c r="W70" s="9"/>
      <c r="X70" s="9"/>
      <c r="Y70" s="9"/>
      <c r="Z70" s="9"/>
    </row>
    <row r="71">
      <c r="A71" s="388"/>
      <c r="B71" s="396"/>
      <c r="C71" s="396"/>
      <c r="D71" s="396"/>
      <c r="E71" s="388"/>
      <c r="F71" s="395"/>
      <c r="G71" s="395"/>
      <c r="H71" s="388"/>
      <c r="I71" s="389"/>
      <c r="J71" s="389"/>
      <c r="K71" s="389"/>
      <c r="L71" s="460"/>
      <c r="M71" s="389"/>
      <c r="N71" s="389"/>
      <c r="O71" s="389"/>
      <c r="P71" s="389"/>
      <c r="Q71" s="389"/>
      <c r="R71" s="388"/>
      <c r="S71" s="388"/>
      <c r="T71" s="388"/>
      <c r="U71" s="388"/>
      <c r="V71" s="388"/>
      <c r="W71" s="9"/>
      <c r="X71" s="9"/>
      <c r="Y71" s="9"/>
      <c r="Z71" s="9"/>
    </row>
    <row r="72">
      <c r="A72" s="388"/>
      <c r="B72" s="396"/>
      <c r="C72" s="396"/>
      <c r="D72" s="396"/>
      <c r="E72" s="388"/>
      <c r="F72" s="395"/>
      <c r="G72" s="395"/>
      <c r="H72" s="388"/>
      <c r="I72" s="389"/>
      <c r="J72" s="389"/>
      <c r="K72" s="389"/>
      <c r="L72" s="460"/>
      <c r="M72" s="389"/>
      <c r="N72" s="389"/>
      <c r="O72" s="389"/>
      <c r="P72" s="389"/>
      <c r="Q72" s="389"/>
      <c r="R72" s="388"/>
      <c r="S72" s="388"/>
      <c r="T72" s="388"/>
      <c r="U72" s="388"/>
      <c r="V72" s="388"/>
      <c r="W72" s="9"/>
      <c r="X72" s="9"/>
      <c r="Y72" s="9"/>
      <c r="Z72" s="9"/>
    </row>
    <row r="73">
      <c r="A73" s="388"/>
      <c r="B73" s="396"/>
      <c r="C73" s="396"/>
      <c r="D73" s="396"/>
      <c r="E73" s="388"/>
      <c r="F73" s="395"/>
      <c r="G73" s="395"/>
      <c r="H73" s="388"/>
      <c r="I73" s="389"/>
      <c r="J73" s="389"/>
      <c r="K73" s="389"/>
      <c r="L73" s="460"/>
      <c r="M73" s="389"/>
      <c r="N73" s="389"/>
      <c r="O73" s="389"/>
      <c r="P73" s="389"/>
      <c r="Q73" s="389"/>
      <c r="R73" s="388"/>
      <c r="S73" s="388"/>
      <c r="T73" s="388"/>
      <c r="U73" s="388"/>
      <c r="V73" s="388"/>
      <c r="W73" s="9"/>
      <c r="X73" s="9"/>
      <c r="Y73" s="9"/>
      <c r="Z73" s="9"/>
    </row>
    <row r="74">
      <c r="A74" s="388"/>
      <c r="B74" s="396"/>
      <c r="C74" s="396"/>
      <c r="D74" s="396"/>
      <c r="E74" s="388"/>
      <c r="F74" s="395"/>
      <c r="G74" s="395"/>
      <c r="H74" s="388"/>
      <c r="I74" s="389"/>
      <c r="J74" s="389"/>
      <c r="K74" s="389"/>
      <c r="L74" s="460"/>
      <c r="M74" s="389"/>
      <c r="N74" s="389"/>
      <c r="O74" s="389"/>
      <c r="P74" s="389"/>
      <c r="Q74" s="389"/>
      <c r="R74" s="388"/>
      <c r="S74" s="388"/>
      <c r="T74" s="388"/>
      <c r="U74" s="388"/>
      <c r="V74" s="388"/>
      <c r="W74" s="9"/>
      <c r="X74" s="9"/>
      <c r="Y74" s="9"/>
      <c r="Z74" s="9"/>
    </row>
    <row r="75">
      <c r="A75" s="388"/>
      <c r="B75" s="396"/>
      <c r="C75" s="396"/>
      <c r="D75" s="396"/>
      <c r="E75" s="388"/>
      <c r="F75" s="395"/>
      <c r="G75" s="395"/>
      <c r="H75" s="388"/>
      <c r="I75" s="389"/>
      <c r="J75" s="389"/>
      <c r="K75" s="389"/>
      <c r="L75" s="460"/>
      <c r="M75" s="389"/>
      <c r="N75" s="389"/>
      <c r="O75" s="389"/>
      <c r="P75" s="389"/>
      <c r="Q75" s="389"/>
      <c r="R75" s="388"/>
      <c r="S75" s="388"/>
      <c r="T75" s="388"/>
      <c r="U75" s="388"/>
      <c r="V75" s="388"/>
      <c r="W75" s="9"/>
      <c r="X75" s="9"/>
      <c r="Y75" s="9"/>
      <c r="Z75" s="9"/>
    </row>
    <row r="76">
      <c r="A76" s="388"/>
      <c r="B76" s="396"/>
      <c r="C76" s="396"/>
      <c r="D76" s="396"/>
      <c r="E76" s="388"/>
      <c r="F76" s="395"/>
      <c r="G76" s="395"/>
      <c r="H76" s="388"/>
      <c r="I76" s="389"/>
      <c r="J76" s="389"/>
      <c r="K76" s="389"/>
      <c r="L76" s="460"/>
      <c r="M76" s="389"/>
      <c r="N76" s="389"/>
      <c r="O76" s="389"/>
      <c r="P76" s="389"/>
      <c r="Q76" s="389"/>
      <c r="R76" s="388"/>
      <c r="S76" s="388"/>
      <c r="T76" s="388"/>
      <c r="U76" s="388"/>
      <c r="V76" s="388"/>
      <c r="W76" s="9"/>
      <c r="X76" s="9"/>
      <c r="Y76" s="9"/>
      <c r="Z76" s="9"/>
    </row>
    <row r="77">
      <c r="A77" s="388"/>
      <c r="B77" s="396"/>
      <c r="C77" s="396"/>
      <c r="D77" s="396"/>
      <c r="E77" s="388"/>
      <c r="F77" s="395"/>
      <c r="G77" s="395"/>
      <c r="H77" s="388"/>
      <c r="I77" s="389"/>
      <c r="J77" s="389"/>
      <c r="K77" s="389"/>
      <c r="L77" s="460"/>
      <c r="M77" s="389"/>
      <c r="N77" s="389"/>
      <c r="O77" s="389"/>
      <c r="P77" s="389"/>
      <c r="Q77" s="389"/>
      <c r="R77" s="388"/>
      <c r="S77" s="388"/>
      <c r="T77" s="388"/>
      <c r="U77" s="388"/>
      <c r="V77" s="388"/>
      <c r="W77" s="9"/>
      <c r="X77" s="9"/>
      <c r="Y77" s="9"/>
      <c r="Z77" s="9"/>
    </row>
    <row r="78">
      <c r="A78" s="388"/>
      <c r="B78" s="396"/>
      <c r="C78" s="396"/>
      <c r="D78" s="396"/>
      <c r="E78" s="388"/>
      <c r="F78" s="395"/>
      <c r="G78" s="395"/>
      <c r="H78" s="388"/>
      <c r="I78" s="389"/>
      <c r="J78" s="389"/>
      <c r="K78" s="389"/>
      <c r="L78" s="460"/>
      <c r="M78" s="389"/>
      <c r="N78" s="389"/>
      <c r="O78" s="389"/>
      <c r="P78" s="389"/>
      <c r="Q78" s="389"/>
      <c r="R78" s="388"/>
      <c r="S78" s="388"/>
      <c r="T78" s="388"/>
      <c r="U78" s="388"/>
      <c r="V78" s="388"/>
      <c r="W78" s="9"/>
      <c r="X78" s="9"/>
      <c r="Y78" s="9"/>
      <c r="Z78" s="9"/>
    </row>
    <row r="79">
      <c r="A79" s="388"/>
      <c r="B79" s="396"/>
      <c r="C79" s="396"/>
      <c r="D79" s="396"/>
      <c r="E79" s="388"/>
      <c r="F79" s="395"/>
      <c r="G79" s="395"/>
      <c r="H79" s="388"/>
      <c r="I79" s="389"/>
      <c r="J79" s="389"/>
      <c r="K79" s="389"/>
      <c r="L79" s="460"/>
      <c r="M79" s="389"/>
      <c r="N79" s="389"/>
      <c r="O79" s="389"/>
      <c r="P79" s="389"/>
      <c r="Q79" s="389"/>
      <c r="R79" s="388"/>
      <c r="S79" s="388"/>
      <c r="T79" s="388"/>
      <c r="U79" s="388"/>
      <c r="V79" s="388"/>
      <c r="W79" s="9"/>
      <c r="X79" s="9"/>
      <c r="Y79" s="9"/>
      <c r="Z79" s="9"/>
    </row>
    <row r="80">
      <c r="A80" s="388"/>
      <c r="B80" s="396"/>
      <c r="C80" s="396"/>
      <c r="D80" s="396"/>
      <c r="E80" s="388"/>
      <c r="F80" s="395"/>
      <c r="G80" s="395"/>
      <c r="H80" s="388"/>
      <c r="I80" s="389"/>
      <c r="J80" s="389"/>
      <c r="K80" s="389"/>
      <c r="L80" s="460"/>
      <c r="M80" s="389"/>
      <c r="N80" s="389"/>
      <c r="O80" s="389"/>
      <c r="P80" s="389"/>
      <c r="Q80" s="389"/>
      <c r="R80" s="388"/>
      <c r="S80" s="388"/>
      <c r="T80" s="388"/>
      <c r="U80" s="388"/>
      <c r="V80" s="388"/>
      <c r="W80" s="9"/>
      <c r="X80" s="9"/>
      <c r="Y80" s="9"/>
      <c r="Z80" s="9"/>
    </row>
    <row r="81">
      <c r="A81" s="388"/>
      <c r="B81" s="396"/>
      <c r="C81" s="396"/>
      <c r="D81" s="396"/>
      <c r="E81" s="388"/>
      <c r="F81" s="395"/>
      <c r="G81" s="395"/>
      <c r="H81" s="388"/>
      <c r="I81" s="389"/>
      <c r="J81" s="389"/>
      <c r="K81" s="389"/>
      <c r="L81" s="460"/>
      <c r="M81" s="389"/>
      <c r="N81" s="389"/>
      <c r="O81" s="389"/>
      <c r="P81" s="389"/>
      <c r="Q81" s="389"/>
      <c r="R81" s="388"/>
      <c r="S81" s="388"/>
      <c r="T81" s="388"/>
      <c r="U81" s="388"/>
      <c r="V81" s="388"/>
      <c r="W81" s="9"/>
      <c r="X81" s="9"/>
      <c r="Y81" s="9"/>
      <c r="Z81" s="9"/>
    </row>
    <row r="82">
      <c r="A82" s="388"/>
      <c r="B82" s="396"/>
      <c r="C82" s="396"/>
      <c r="D82" s="396"/>
      <c r="E82" s="388"/>
      <c r="F82" s="395"/>
      <c r="G82" s="395"/>
      <c r="H82" s="388"/>
      <c r="I82" s="389"/>
      <c r="J82" s="389"/>
      <c r="K82" s="389"/>
      <c r="L82" s="460"/>
      <c r="M82" s="389"/>
      <c r="N82" s="389"/>
      <c r="O82" s="389"/>
      <c r="P82" s="389"/>
      <c r="Q82" s="389"/>
      <c r="R82" s="388"/>
      <c r="S82" s="388"/>
      <c r="T82" s="388"/>
      <c r="U82" s="388"/>
      <c r="V82" s="388"/>
      <c r="W82" s="9"/>
      <c r="X82" s="9"/>
      <c r="Y82" s="9"/>
      <c r="Z82" s="9"/>
    </row>
    <row r="83">
      <c r="A83" s="388"/>
      <c r="B83" s="396"/>
      <c r="C83" s="396"/>
      <c r="D83" s="396"/>
      <c r="E83" s="388"/>
      <c r="F83" s="395"/>
      <c r="G83" s="395"/>
      <c r="H83" s="388"/>
      <c r="I83" s="389"/>
      <c r="J83" s="389"/>
      <c r="K83" s="389"/>
      <c r="L83" s="460"/>
      <c r="M83" s="389"/>
      <c r="N83" s="389"/>
      <c r="O83" s="389"/>
      <c r="P83" s="389"/>
      <c r="Q83" s="389"/>
      <c r="R83" s="388"/>
      <c r="S83" s="388"/>
      <c r="T83" s="388"/>
      <c r="U83" s="388"/>
      <c r="V83" s="388"/>
      <c r="W83" s="9"/>
      <c r="X83" s="9"/>
      <c r="Y83" s="9"/>
      <c r="Z83" s="9"/>
    </row>
    <row r="84">
      <c r="A84" s="388"/>
      <c r="B84" s="396"/>
      <c r="C84" s="396"/>
      <c r="D84" s="396"/>
      <c r="E84" s="388"/>
      <c r="F84" s="395"/>
      <c r="G84" s="395"/>
      <c r="H84" s="388"/>
      <c r="I84" s="389"/>
      <c r="J84" s="389"/>
      <c r="K84" s="389"/>
      <c r="L84" s="460"/>
      <c r="M84" s="389"/>
      <c r="N84" s="389"/>
      <c r="O84" s="389"/>
      <c r="P84" s="389"/>
      <c r="Q84" s="389"/>
      <c r="R84" s="388"/>
      <c r="S84" s="388"/>
      <c r="T84" s="388"/>
      <c r="U84" s="388"/>
      <c r="V84" s="388"/>
      <c r="W84" s="9"/>
      <c r="X84" s="9"/>
      <c r="Y84" s="9"/>
      <c r="Z84" s="9"/>
    </row>
    <row r="85">
      <c r="A85" s="388"/>
      <c r="B85" s="396"/>
      <c r="C85" s="396"/>
      <c r="D85" s="396"/>
      <c r="E85" s="388"/>
      <c r="F85" s="395"/>
      <c r="G85" s="395"/>
      <c r="H85" s="388"/>
      <c r="I85" s="389"/>
      <c r="J85" s="389"/>
      <c r="K85" s="389"/>
      <c r="L85" s="460"/>
      <c r="M85" s="389"/>
      <c r="N85" s="389"/>
      <c r="O85" s="389"/>
      <c r="P85" s="389"/>
      <c r="Q85" s="389"/>
      <c r="R85" s="388"/>
      <c r="S85" s="388"/>
      <c r="T85" s="388"/>
      <c r="U85" s="388"/>
      <c r="V85" s="388"/>
      <c r="W85" s="9"/>
      <c r="X85" s="9"/>
      <c r="Y85" s="9"/>
      <c r="Z85" s="9"/>
    </row>
    <row r="86">
      <c r="A86" s="388"/>
      <c r="B86" s="396"/>
      <c r="C86" s="396"/>
      <c r="D86" s="396"/>
      <c r="E86" s="388"/>
      <c r="F86" s="395"/>
      <c r="G86" s="395"/>
      <c r="H86" s="388"/>
      <c r="I86" s="389"/>
      <c r="J86" s="389"/>
      <c r="K86" s="389"/>
      <c r="L86" s="460"/>
      <c r="M86" s="389"/>
      <c r="N86" s="389"/>
      <c r="O86" s="389"/>
      <c r="P86" s="389"/>
      <c r="Q86" s="389"/>
      <c r="R86" s="388"/>
      <c r="S86" s="388"/>
      <c r="T86" s="388"/>
      <c r="U86" s="388"/>
      <c r="V86" s="388"/>
      <c r="W86" s="9"/>
      <c r="X86" s="9"/>
      <c r="Y86" s="9"/>
      <c r="Z86" s="9"/>
    </row>
    <row r="87">
      <c r="A87" s="388"/>
      <c r="B87" s="396"/>
      <c r="C87" s="396"/>
      <c r="D87" s="396"/>
      <c r="E87" s="388"/>
      <c r="F87" s="395"/>
      <c r="G87" s="395"/>
      <c r="H87" s="388"/>
      <c r="I87" s="389"/>
      <c r="J87" s="389"/>
      <c r="K87" s="389"/>
      <c r="L87" s="460"/>
      <c r="M87" s="389"/>
      <c r="N87" s="389"/>
      <c r="O87" s="389"/>
      <c r="P87" s="389"/>
      <c r="Q87" s="389"/>
      <c r="R87" s="388"/>
      <c r="S87" s="388"/>
      <c r="T87" s="388"/>
      <c r="U87" s="388"/>
      <c r="V87" s="388"/>
      <c r="W87" s="9"/>
      <c r="X87" s="9"/>
      <c r="Y87" s="9"/>
      <c r="Z87" s="9"/>
    </row>
    <row r="88">
      <c r="A88" s="388"/>
      <c r="B88" s="396"/>
      <c r="C88" s="396"/>
      <c r="D88" s="396"/>
      <c r="E88" s="388"/>
      <c r="F88" s="395"/>
      <c r="G88" s="395"/>
      <c r="H88" s="388"/>
      <c r="I88" s="389"/>
      <c r="J88" s="389"/>
      <c r="K88" s="389"/>
      <c r="L88" s="460"/>
      <c r="M88" s="389"/>
      <c r="N88" s="389"/>
      <c r="O88" s="389"/>
      <c r="P88" s="389"/>
      <c r="Q88" s="389"/>
      <c r="R88" s="388"/>
      <c r="S88" s="388"/>
      <c r="T88" s="388"/>
      <c r="U88" s="388"/>
      <c r="V88" s="388"/>
      <c r="W88" s="9"/>
      <c r="X88" s="9"/>
      <c r="Y88" s="9"/>
      <c r="Z88" s="9"/>
    </row>
    <row r="89">
      <c r="A89" s="388"/>
      <c r="B89" s="396"/>
      <c r="C89" s="396"/>
      <c r="D89" s="396"/>
      <c r="E89" s="388"/>
      <c r="F89" s="395"/>
      <c r="G89" s="395"/>
      <c r="H89" s="388"/>
      <c r="I89" s="389"/>
      <c r="J89" s="389"/>
      <c r="K89" s="389"/>
      <c r="L89" s="460"/>
      <c r="M89" s="389"/>
      <c r="N89" s="389"/>
      <c r="O89" s="389"/>
      <c r="P89" s="389"/>
      <c r="Q89" s="389"/>
      <c r="R89" s="388"/>
      <c r="S89" s="388"/>
      <c r="T89" s="388"/>
      <c r="U89" s="388"/>
      <c r="V89" s="388"/>
      <c r="W89" s="9"/>
      <c r="X89" s="9"/>
      <c r="Y89" s="9"/>
      <c r="Z89" s="9"/>
    </row>
    <row r="90">
      <c r="A90" s="388"/>
      <c r="B90" s="396"/>
      <c r="C90" s="396"/>
      <c r="D90" s="396"/>
      <c r="E90" s="388"/>
      <c r="F90" s="395"/>
      <c r="G90" s="395"/>
      <c r="H90" s="388"/>
      <c r="I90" s="389"/>
      <c r="J90" s="389"/>
      <c r="K90" s="389"/>
      <c r="L90" s="460"/>
      <c r="M90" s="389"/>
      <c r="N90" s="389"/>
      <c r="O90" s="389"/>
      <c r="P90" s="389"/>
      <c r="Q90" s="389"/>
      <c r="R90" s="388"/>
      <c r="S90" s="388"/>
      <c r="T90" s="388"/>
      <c r="U90" s="388"/>
      <c r="V90" s="388"/>
      <c r="W90" s="9"/>
      <c r="X90" s="9"/>
      <c r="Y90" s="9"/>
      <c r="Z90" s="9"/>
    </row>
    <row r="91">
      <c r="A91" s="388"/>
      <c r="B91" s="396"/>
      <c r="C91" s="396"/>
      <c r="D91" s="396"/>
      <c r="E91" s="388"/>
      <c r="F91" s="395"/>
      <c r="G91" s="395"/>
      <c r="H91" s="388"/>
      <c r="I91" s="389"/>
      <c r="J91" s="389"/>
      <c r="K91" s="389"/>
      <c r="L91" s="460"/>
      <c r="M91" s="389"/>
      <c r="N91" s="389"/>
      <c r="O91" s="389"/>
      <c r="P91" s="389"/>
      <c r="Q91" s="389"/>
      <c r="R91" s="388"/>
      <c r="S91" s="388"/>
      <c r="T91" s="388"/>
      <c r="U91" s="388"/>
      <c r="V91" s="388"/>
      <c r="W91" s="9"/>
      <c r="X91" s="9"/>
      <c r="Y91" s="9"/>
      <c r="Z91" s="9"/>
    </row>
    <row r="92">
      <c r="A92" s="388"/>
      <c r="B92" s="396"/>
      <c r="C92" s="396"/>
      <c r="D92" s="396"/>
      <c r="E92" s="388"/>
      <c r="F92" s="395"/>
      <c r="G92" s="395"/>
      <c r="H92" s="388"/>
      <c r="I92" s="389"/>
      <c r="J92" s="389"/>
      <c r="K92" s="389"/>
      <c r="L92" s="460"/>
      <c r="M92" s="389"/>
      <c r="N92" s="389"/>
      <c r="O92" s="389"/>
      <c r="P92" s="389"/>
      <c r="Q92" s="389"/>
      <c r="R92" s="388"/>
      <c r="S92" s="388"/>
      <c r="T92" s="388"/>
      <c r="U92" s="388"/>
      <c r="V92" s="388"/>
      <c r="W92" s="9"/>
      <c r="X92" s="9"/>
      <c r="Y92" s="9"/>
      <c r="Z92" s="9"/>
    </row>
    <row r="93">
      <c r="A93" s="388"/>
      <c r="B93" s="396"/>
      <c r="C93" s="396"/>
      <c r="D93" s="396"/>
      <c r="E93" s="388"/>
      <c r="F93" s="395"/>
      <c r="G93" s="395"/>
      <c r="H93" s="388"/>
      <c r="I93" s="389"/>
      <c r="J93" s="389"/>
      <c r="K93" s="389"/>
      <c r="L93" s="460"/>
      <c r="M93" s="389"/>
      <c r="N93" s="389"/>
      <c r="O93" s="389"/>
      <c r="P93" s="389"/>
      <c r="Q93" s="389"/>
      <c r="R93" s="388"/>
      <c r="S93" s="388"/>
      <c r="T93" s="388"/>
      <c r="U93" s="388"/>
      <c r="V93" s="388"/>
      <c r="W93" s="9"/>
      <c r="X93" s="9"/>
      <c r="Y93" s="9"/>
      <c r="Z93" s="9"/>
    </row>
    <row r="94">
      <c r="A94" s="388"/>
      <c r="B94" s="396"/>
      <c r="C94" s="396"/>
      <c r="D94" s="396"/>
      <c r="E94" s="388"/>
      <c r="F94" s="395"/>
      <c r="G94" s="395"/>
      <c r="H94" s="388"/>
      <c r="I94" s="389"/>
      <c r="J94" s="389"/>
      <c r="K94" s="389"/>
      <c r="L94" s="460"/>
      <c r="M94" s="389"/>
      <c r="N94" s="389"/>
      <c r="O94" s="389"/>
      <c r="P94" s="389"/>
      <c r="Q94" s="389"/>
      <c r="R94" s="388"/>
      <c r="S94" s="388"/>
      <c r="T94" s="388"/>
      <c r="U94" s="388"/>
      <c r="V94" s="388"/>
      <c r="W94" s="9"/>
      <c r="X94" s="9"/>
      <c r="Y94" s="9"/>
      <c r="Z94" s="9"/>
    </row>
    <row r="95">
      <c r="A95" s="388"/>
      <c r="B95" s="396"/>
      <c r="C95" s="396"/>
      <c r="D95" s="396"/>
      <c r="E95" s="388"/>
      <c r="F95" s="395"/>
      <c r="G95" s="395"/>
      <c r="H95" s="388"/>
      <c r="I95" s="389"/>
      <c r="J95" s="389"/>
      <c r="K95" s="389"/>
      <c r="L95" s="460"/>
      <c r="M95" s="389"/>
      <c r="N95" s="389"/>
      <c r="O95" s="389"/>
      <c r="P95" s="389"/>
      <c r="Q95" s="389"/>
      <c r="R95" s="388"/>
      <c r="S95" s="388"/>
      <c r="T95" s="388"/>
      <c r="U95" s="388"/>
      <c r="V95" s="388"/>
      <c r="W95" s="9"/>
      <c r="X95" s="9"/>
      <c r="Y95" s="9"/>
      <c r="Z95" s="9"/>
    </row>
    <row r="96">
      <c r="A96" s="388"/>
      <c r="B96" s="396"/>
      <c r="C96" s="396"/>
      <c r="D96" s="396"/>
      <c r="E96" s="388"/>
      <c r="F96" s="395"/>
      <c r="G96" s="395"/>
      <c r="H96" s="388"/>
      <c r="I96" s="389"/>
      <c r="J96" s="389"/>
      <c r="K96" s="389"/>
      <c r="L96" s="460"/>
      <c r="M96" s="389"/>
      <c r="N96" s="389"/>
      <c r="O96" s="389"/>
      <c r="P96" s="389"/>
      <c r="Q96" s="389"/>
      <c r="R96" s="388"/>
      <c r="S96" s="388"/>
      <c r="T96" s="388"/>
      <c r="U96" s="388"/>
      <c r="V96" s="388"/>
      <c r="W96" s="9"/>
      <c r="X96" s="9"/>
      <c r="Y96" s="9"/>
      <c r="Z96" s="9"/>
    </row>
    <row r="97">
      <c r="A97" s="388"/>
      <c r="B97" s="396"/>
      <c r="C97" s="396"/>
      <c r="D97" s="396"/>
      <c r="E97" s="388"/>
      <c r="F97" s="395"/>
      <c r="G97" s="395"/>
      <c r="H97" s="388"/>
      <c r="I97" s="389"/>
      <c r="J97" s="389"/>
      <c r="K97" s="389"/>
      <c r="L97" s="460"/>
      <c r="M97" s="389"/>
      <c r="N97" s="389"/>
      <c r="O97" s="389"/>
      <c r="P97" s="389"/>
      <c r="Q97" s="389"/>
      <c r="R97" s="388"/>
      <c r="S97" s="388"/>
      <c r="T97" s="388"/>
      <c r="U97" s="388"/>
      <c r="V97" s="388"/>
      <c r="W97" s="9"/>
      <c r="X97" s="9"/>
      <c r="Y97" s="9"/>
      <c r="Z97" s="9"/>
    </row>
    <row r="98">
      <c r="A98" s="388"/>
      <c r="B98" s="396"/>
      <c r="C98" s="396"/>
      <c r="D98" s="396"/>
      <c r="E98" s="388"/>
      <c r="F98" s="395"/>
      <c r="G98" s="395"/>
      <c r="H98" s="388"/>
      <c r="I98" s="389"/>
      <c r="J98" s="389"/>
      <c r="K98" s="389"/>
      <c r="L98" s="460"/>
      <c r="M98" s="389"/>
      <c r="N98" s="389"/>
      <c r="O98" s="389"/>
      <c r="P98" s="389"/>
      <c r="Q98" s="389"/>
      <c r="R98" s="388"/>
      <c r="S98" s="388"/>
      <c r="T98" s="388"/>
      <c r="U98" s="388"/>
      <c r="V98" s="388"/>
      <c r="W98" s="9"/>
      <c r="X98" s="9"/>
      <c r="Y98" s="9"/>
      <c r="Z98" s="9"/>
    </row>
    <row r="99">
      <c r="A99" s="388"/>
      <c r="B99" s="396"/>
      <c r="C99" s="396"/>
      <c r="D99" s="396"/>
      <c r="E99" s="388"/>
      <c r="F99" s="395"/>
      <c r="G99" s="395"/>
      <c r="H99" s="388"/>
      <c r="I99" s="389"/>
      <c r="J99" s="389"/>
      <c r="K99" s="389"/>
      <c r="L99" s="460"/>
      <c r="M99" s="389"/>
      <c r="N99" s="389"/>
      <c r="O99" s="389"/>
      <c r="P99" s="389"/>
      <c r="Q99" s="389"/>
      <c r="R99" s="388"/>
      <c r="S99" s="388"/>
      <c r="T99" s="388"/>
      <c r="U99" s="388"/>
      <c r="V99" s="388"/>
      <c r="W99" s="9"/>
      <c r="X99" s="9"/>
      <c r="Y99" s="9"/>
      <c r="Z99" s="9"/>
    </row>
    <row r="100">
      <c r="A100" s="388"/>
      <c r="B100" s="396"/>
      <c r="C100" s="396"/>
      <c r="D100" s="396"/>
      <c r="E100" s="388"/>
      <c r="F100" s="395"/>
      <c r="G100" s="395"/>
      <c r="H100" s="388"/>
      <c r="I100" s="389"/>
      <c r="J100" s="389"/>
      <c r="K100" s="389"/>
      <c r="L100" s="460"/>
      <c r="M100" s="389"/>
      <c r="N100" s="389"/>
      <c r="O100" s="389"/>
      <c r="P100" s="389"/>
      <c r="Q100" s="389"/>
      <c r="R100" s="388"/>
      <c r="S100" s="388"/>
      <c r="T100" s="388"/>
      <c r="U100" s="388"/>
      <c r="V100" s="388"/>
      <c r="W100" s="9"/>
      <c r="X100" s="9"/>
      <c r="Y100" s="9"/>
      <c r="Z100" s="9"/>
    </row>
    <row r="101">
      <c r="A101" s="388"/>
      <c r="B101" s="396"/>
      <c r="C101" s="396"/>
      <c r="D101" s="396"/>
      <c r="E101" s="388"/>
      <c r="F101" s="395"/>
      <c r="G101" s="395"/>
      <c r="H101" s="388"/>
      <c r="I101" s="389"/>
      <c r="J101" s="389"/>
      <c r="K101" s="389"/>
      <c r="L101" s="460"/>
      <c r="M101" s="389"/>
      <c r="N101" s="389"/>
      <c r="O101" s="389"/>
      <c r="P101" s="389"/>
      <c r="Q101" s="389"/>
      <c r="R101" s="388"/>
      <c r="S101" s="388"/>
      <c r="T101" s="388"/>
      <c r="U101" s="388"/>
      <c r="V101" s="388"/>
      <c r="W101" s="9"/>
      <c r="X101" s="9"/>
      <c r="Y101" s="9"/>
      <c r="Z101" s="9"/>
    </row>
    <row r="102">
      <c r="A102" s="388"/>
      <c r="B102" s="396"/>
      <c r="C102" s="396"/>
      <c r="D102" s="396"/>
      <c r="E102" s="388"/>
      <c r="F102" s="395"/>
      <c r="G102" s="395"/>
      <c r="H102" s="388"/>
      <c r="I102" s="389"/>
      <c r="J102" s="389"/>
      <c r="K102" s="389"/>
      <c r="L102" s="460"/>
      <c r="M102" s="389"/>
      <c r="N102" s="389"/>
      <c r="O102" s="389"/>
      <c r="P102" s="389"/>
      <c r="Q102" s="389"/>
      <c r="R102" s="388"/>
      <c r="S102" s="388"/>
      <c r="T102" s="388"/>
      <c r="U102" s="388"/>
      <c r="V102" s="388"/>
      <c r="W102" s="9"/>
      <c r="X102" s="9"/>
      <c r="Y102" s="9"/>
      <c r="Z102" s="9"/>
    </row>
    <row r="103">
      <c r="A103" s="388"/>
      <c r="B103" s="396"/>
      <c r="C103" s="396"/>
      <c r="D103" s="396"/>
      <c r="E103" s="388"/>
      <c r="F103" s="395"/>
      <c r="G103" s="395"/>
      <c r="H103" s="388"/>
      <c r="I103" s="389"/>
      <c r="J103" s="389"/>
      <c r="K103" s="389"/>
      <c r="L103" s="460"/>
      <c r="M103" s="389"/>
      <c r="N103" s="389"/>
      <c r="O103" s="389"/>
      <c r="P103" s="389"/>
      <c r="Q103" s="389"/>
      <c r="R103" s="388"/>
      <c r="S103" s="388"/>
      <c r="T103" s="388"/>
      <c r="U103" s="388"/>
      <c r="V103" s="388"/>
      <c r="W103" s="9"/>
      <c r="X103" s="9"/>
      <c r="Y103" s="9"/>
      <c r="Z103" s="9"/>
    </row>
    <row r="104">
      <c r="A104" s="388"/>
      <c r="B104" s="396"/>
      <c r="C104" s="396"/>
      <c r="D104" s="396"/>
      <c r="E104" s="388"/>
      <c r="F104" s="395"/>
      <c r="G104" s="395"/>
      <c r="H104" s="388"/>
      <c r="I104" s="389"/>
      <c r="J104" s="389"/>
      <c r="K104" s="389"/>
      <c r="L104" s="460"/>
      <c r="M104" s="389"/>
      <c r="N104" s="389"/>
      <c r="O104" s="389"/>
      <c r="P104" s="389"/>
      <c r="Q104" s="389"/>
      <c r="R104" s="388"/>
      <c r="S104" s="388"/>
      <c r="T104" s="388"/>
      <c r="U104" s="388"/>
      <c r="V104" s="388"/>
      <c r="W104" s="9"/>
      <c r="X104" s="9"/>
      <c r="Y104" s="9"/>
      <c r="Z104" s="9"/>
    </row>
    <row r="105">
      <c r="A105" s="388"/>
      <c r="B105" s="396"/>
      <c r="C105" s="396"/>
      <c r="D105" s="396"/>
      <c r="E105" s="388"/>
      <c r="F105" s="395"/>
      <c r="G105" s="395"/>
      <c r="H105" s="388"/>
      <c r="I105" s="389"/>
      <c r="J105" s="389"/>
      <c r="K105" s="389"/>
      <c r="L105" s="460"/>
      <c r="M105" s="389"/>
      <c r="N105" s="389"/>
      <c r="O105" s="389"/>
      <c r="P105" s="389"/>
      <c r="Q105" s="389"/>
      <c r="R105" s="388"/>
      <c r="S105" s="388"/>
      <c r="T105" s="388"/>
      <c r="U105" s="388"/>
      <c r="V105" s="388"/>
      <c r="W105" s="9"/>
      <c r="X105" s="9"/>
      <c r="Y105" s="9"/>
      <c r="Z105" s="9"/>
    </row>
    <row r="106">
      <c r="A106" s="388"/>
      <c r="B106" s="396"/>
      <c r="C106" s="396"/>
      <c r="D106" s="396"/>
      <c r="E106" s="388"/>
      <c r="F106" s="395"/>
      <c r="G106" s="395"/>
      <c r="H106" s="388"/>
      <c r="I106" s="389"/>
      <c r="J106" s="389"/>
      <c r="K106" s="389"/>
      <c r="L106" s="460"/>
      <c r="M106" s="389"/>
      <c r="N106" s="389"/>
      <c r="O106" s="389"/>
      <c r="P106" s="389"/>
      <c r="Q106" s="389"/>
      <c r="R106" s="388"/>
      <c r="S106" s="388"/>
      <c r="T106" s="388"/>
      <c r="U106" s="388"/>
      <c r="V106" s="388"/>
      <c r="W106" s="9"/>
      <c r="X106" s="9"/>
      <c r="Y106" s="9"/>
      <c r="Z106" s="9"/>
    </row>
    <row r="107">
      <c r="A107" s="388"/>
      <c r="B107" s="396"/>
      <c r="C107" s="396"/>
      <c r="D107" s="396"/>
      <c r="E107" s="388"/>
      <c r="F107" s="395"/>
      <c r="G107" s="395"/>
      <c r="H107" s="388"/>
      <c r="I107" s="389"/>
      <c r="J107" s="389"/>
      <c r="K107" s="389"/>
      <c r="L107" s="460"/>
      <c r="M107" s="389"/>
      <c r="N107" s="389"/>
      <c r="O107" s="389"/>
      <c r="P107" s="389"/>
      <c r="Q107" s="389"/>
      <c r="R107" s="388"/>
      <c r="S107" s="388"/>
      <c r="T107" s="388"/>
      <c r="U107" s="388"/>
      <c r="V107" s="388"/>
      <c r="W107" s="9"/>
      <c r="X107" s="9"/>
      <c r="Y107" s="9"/>
      <c r="Z107" s="9"/>
    </row>
    <row r="108">
      <c r="A108" s="388"/>
      <c r="B108" s="396"/>
      <c r="C108" s="396"/>
      <c r="D108" s="396"/>
      <c r="E108" s="388"/>
      <c r="F108" s="395"/>
      <c r="G108" s="395"/>
      <c r="H108" s="388"/>
      <c r="I108" s="389"/>
      <c r="J108" s="389"/>
      <c r="K108" s="389"/>
      <c r="L108" s="460"/>
      <c r="M108" s="389"/>
      <c r="N108" s="389"/>
      <c r="O108" s="389"/>
      <c r="P108" s="389"/>
      <c r="Q108" s="389"/>
      <c r="R108" s="388"/>
      <c r="S108" s="388"/>
      <c r="T108" s="388"/>
      <c r="U108" s="388"/>
      <c r="V108" s="388"/>
      <c r="W108" s="9"/>
      <c r="X108" s="9"/>
      <c r="Y108" s="9"/>
      <c r="Z108" s="9"/>
    </row>
    <row r="109">
      <c r="A109" s="388"/>
      <c r="B109" s="396"/>
      <c r="C109" s="396"/>
      <c r="D109" s="396"/>
      <c r="E109" s="388"/>
      <c r="F109" s="395"/>
      <c r="G109" s="395"/>
      <c r="H109" s="388"/>
      <c r="I109" s="389"/>
      <c r="J109" s="389"/>
      <c r="K109" s="389"/>
      <c r="L109" s="460"/>
      <c r="M109" s="389"/>
      <c r="N109" s="389"/>
      <c r="O109" s="389"/>
      <c r="P109" s="389"/>
      <c r="Q109" s="389"/>
      <c r="R109" s="388"/>
      <c r="S109" s="388"/>
      <c r="T109" s="388"/>
      <c r="U109" s="388"/>
      <c r="V109" s="388"/>
      <c r="W109" s="9"/>
      <c r="X109" s="9"/>
      <c r="Y109" s="9"/>
      <c r="Z109" s="9"/>
    </row>
    <row r="110">
      <c r="A110" s="388"/>
      <c r="B110" s="396"/>
      <c r="C110" s="396"/>
      <c r="D110" s="396"/>
      <c r="E110" s="388"/>
      <c r="F110" s="395"/>
      <c r="G110" s="395"/>
      <c r="H110" s="388"/>
      <c r="I110" s="389"/>
      <c r="J110" s="389"/>
      <c r="K110" s="389"/>
      <c r="L110" s="460"/>
      <c r="M110" s="389"/>
      <c r="N110" s="389"/>
      <c r="O110" s="389"/>
      <c r="P110" s="389"/>
      <c r="Q110" s="389"/>
      <c r="R110" s="388"/>
      <c r="S110" s="388"/>
      <c r="T110" s="388"/>
      <c r="U110" s="388"/>
      <c r="V110" s="388"/>
      <c r="W110" s="9"/>
      <c r="X110" s="9"/>
      <c r="Y110" s="9"/>
      <c r="Z110" s="9"/>
    </row>
    <row r="111">
      <c r="A111" s="388"/>
      <c r="B111" s="396"/>
      <c r="C111" s="396"/>
      <c r="D111" s="396"/>
      <c r="E111" s="388"/>
      <c r="F111" s="395"/>
      <c r="G111" s="395"/>
      <c r="H111" s="388"/>
      <c r="I111" s="389"/>
      <c r="J111" s="389"/>
      <c r="K111" s="389"/>
      <c r="L111" s="460"/>
      <c r="M111" s="389"/>
      <c r="N111" s="389"/>
      <c r="O111" s="389"/>
      <c r="P111" s="389"/>
      <c r="Q111" s="389"/>
      <c r="R111" s="388"/>
      <c r="S111" s="388"/>
      <c r="T111" s="388"/>
      <c r="U111" s="388"/>
      <c r="V111" s="388"/>
      <c r="W111" s="9"/>
      <c r="X111" s="9"/>
      <c r="Y111" s="9"/>
      <c r="Z111" s="9"/>
    </row>
    <row r="112">
      <c r="A112" s="388"/>
      <c r="B112" s="396"/>
      <c r="C112" s="396"/>
      <c r="D112" s="396"/>
      <c r="E112" s="388"/>
      <c r="F112" s="395"/>
      <c r="G112" s="395"/>
      <c r="H112" s="388"/>
      <c r="I112" s="389"/>
      <c r="J112" s="389"/>
      <c r="K112" s="389"/>
      <c r="L112" s="460"/>
      <c r="M112" s="389"/>
      <c r="N112" s="389"/>
      <c r="O112" s="389"/>
      <c r="P112" s="389"/>
      <c r="Q112" s="389"/>
      <c r="R112" s="388"/>
      <c r="S112" s="388"/>
      <c r="T112" s="388"/>
      <c r="U112" s="388"/>
      <c r="V112" s="388"/>
      <c r="W112" s="9"/>
      <c r="X112" s="9"/>
      <c r="Y112" s="9"/>
      <c r="Z112" s="9"/>
    </row>
    <row r="113">
      <c r="A113" s="388"/>
      <c r="B113" s="396"/>
      <c r="C113" s="396"/>
      <c r="D113" s="396"/>
      <c r="E113" s="388"/>
      <c r="F113" s="395"/>
      <c r="G113" s="395"/>
      <c r="H113" s="388"/>
      <c r="I113" s="389"/>
      <c r="J113" s="389"/>
      <c r="K113" s="389"/>
      <c r="L113" s="460"/>
      <c r="M113" s="389"/>
      <c r="N113" s="389"/>
      <c r="O113" s="389"/>
      <c r="P113" s="389"/>
      <c r="Q113" s="389"/>
      <c r="R113" s="388"/>
      <c r="S113" s="388"/>
      <c r="T113" s="388"/>
      <c r="U113" s="388"/>
      <c r="V113" s="388"/>
      <c r="W113" s="9"/>
      <c r="X113" s="9"/>
      <c r="Y113" s="9"/>
      <c r="Z113" s="9"/>
    </row>
    <row r="114">
      <c r="A114" s="388"/>
      <c r="B114" s="396"/>
      <c r="C114" s="396"/>
      <c r="D114" s="396"/>
      <c r="E114" s="388"/>
      <c r="F114" s="395"/>
      <c r="G114" s="395"/>
      <c r="H114" s="388"/>
      <c r="I114" s="389"/>
      <c r="J114" s="389"/>
      <c r="K114" s="389"/>
      <c r="L114" s="460"/>
      <c r="M114" s="389"/>
      <c r="N114" s="389"/>
      <c r="O114" s="389"/>
      <c r="P114" s="389"/>
      <c r="Q114" s="389"/>
      <c r="R114" s="388"/>
      <c r="S114" s="388"/>
      <c r="T114" s="388"/>
      <c r="U114" s="388"/>
      <c r="V114" s="388"/>
      <c r="W114" s="9"/>
      <c r="X114" s="9"/>
      <c r="Y114" s="9"/>
      <c r="Z114" s="9"/>
    </row>
    <row r="115">
      <c r="A115" s="388"/>
      <c r="B115" s="396"/>
      <c r="C115" s="396"/>
      <c r="D115" s="396"/>
      <c r="E115" s="388"/>
      <c r="F115" s="395"/>
      <c r="G115" s="395"/>
      <c r="H115" s="388"/>
      <c r="I115" s="389"/>
      <c r="J115" s="389"/>
      <c r="K115" s="389"/>
      <c r="L115" s="460"/>
      <c r="M115" s="389"/>
      <c r="N115" s="389"/>
      <c r="O115" s="389"/>
      <c r="P115" s="389"/>
      <c r="Q115" s="389"/>
      <c r="R115" s="388"/>
      <c r="S115" s="388"/>
      <c r="T115" s="388"/>
      <c r="U115" s="388"/>
      <c r="V115" s="388"/>
      <c r="W115" s="9"/>
      <c r="X115" s="9"/>
      <c r="Y115" s="9"/>
      <c r="Z115" s="9"/>
    </row>
    <row r="116">
      <c r="A116" s="388"/>
      <c r="B116" s="396"/>
      <c r="C116" s="396"/>
      <c r="D116" s="396"/>
      <c r="E116" s="388"/>
      <c r="F116" s="395"/>
      <c r="G116" s="395"/>
      <c r="H116" s="388"/>
      <c r="I116" s="389"/>
      <c r="J116" s="389"/>
      <c r="K116" s="389"/>
      <c r="L116" s="460"/>
      <c r="M116" s="389"/>
      <c r="N116" s="389"/>
      <c r="O116" s="389"/>
      <c r="P116" s="389"/>
      <c r="Q116" s="389"/>
      <c r="R116" s="388"/>
      <c r="S116" s="388"/>
      <c r="T116" s="388"/>
      <c r="U116" s="388"/>
      <c r="V116" s="388"/>
      <c r="W116" s="9"/>
      <c r="X116" s="9"/>
      <c r="Y116" s="9"/>
      <c r="Z116" s="9"/>
    </row>
    <row r="117">
      <c r="A117" s="388"/>
      <c r="B117" s="396"/>
      <c r="C117" s="396"/>
      <c r="D117" s="396"/>
      <c r="E117" s="388"/>
      <c r="F117" s="395"/>
      <c r="G117" s="395"/>
      <c r="H117" s="388"/>
      <c r="I117" s="389"/>
      <c r="J117" s="389"/>
      <c r="K117" s="389"/>
      <c r="L117" s="460"/>
      <c r="M117" s="389"/>
      <c r="N117" s="389"/>
      <c r="O117" s="389"/>
      <c r="P117" s="389"/>
      <c r="Q117" s="389"/>
      <c r="R117" s="388"/>
      <c r="S117" s="388"/>
      <c r="T117" s="388"/>
      <c r="U117" s="388"/>
      <c r="V117" s="388"/>
      <c r="W117" s="9"/>
      <c r="X117" s="9"/>
      <c r="Y117" s="9"/>
      <c r="Z117" s="9"/>
    </row>
    <row r="118">
      <c r="A118" s="388"/>
      <c r="B118" s="396"/>
      <c r="C118" s="396"/>
      <c r="D118" s="396"/>
      <c r="E118" s="388"/>
      <c r="F118" s="395"/>
      <c r="G118" s="395"/>
      <c r="H118" s="388"/>
      <c r="I118" s="389"/>
      <c r="J118" s="389"/>
      <c r="K118" s="389"/>
      <c r="L118" s="460"/>
      <c r="M118" s="389"/>
      <c r="N118" s="389"/>
      <c r="O118" s="389"/>
      <c r="P118" s="389"/>
      <c r="Q118" s="389"/>
      <c r="R118" s="388"/>
      <c r="S118" s="388"/>
      <c r="T118" s="388"/>
      <c r="U118" s="388"/>
      <c r="V118" s="388"/>
      <c r="W118" s="9"/>
      <c r="X118" s="9"/>
      <c r="Y118" s="9"/>
      <c r="Z118" s="9"/>
    </row>
    <row r="119">
      <c r="A119" s="388"/>
      <c r="B119" s="396"/>
      <c r="C119" s="396"/>
      <c r="D119" s="396"/>
      <c r="E119" s="388"/>
      <c r="F119" s="395"/>
      <c r="G119" s="395"/>
      <c r="H119" s="388"/>
      <c r="I119" s="389"/>
      <c r="J119" s="389"/>
      <c r="K119" s="389"/>
      <c r="L119" s="460"/>
      <c r="M119" s="389"/>
      <c r="N119" s="389"/>
      <c r="O119" s="389"/>
      <c r="P119" s="389"/>
      <c r="Q119" s="389"/>
      <c r="R119" s="388"/>
      <c r="S119" s="388"/>
      <c r="T119" s="388"/>
      <c r="U119" s="388"/>
      <c r="V119" s="388"/>
      <c r="W119" s="9"/>
      <c r="X119" s="9"/>
      <c r="Y119" s="9"/>
      <c r="Z119" s="9"/>
    </row>
    <row r="120">
      <c r="A120" s="388"/>
      <c r="B120" s="396"/>
      <c r="C120" s="396"/>
      <c r="D120" s="396"/>
      <c r="E120" s="388"/>
      <c r="F120" s="395"/>
      <c r="G120" s="395"/>
      <c r="H120" s="388"/>
      <c r="I120" s="389"/>
      <c r="J120" s="389"/>
      <c r="K120" s="389"/>
      <c r="L120" s="460"/>
      <c r="M120" s="389"/>
      <c r="N120" s="389"/>
      <c r="O120" s="389"/>
      <c r="P120" s="389"/>
      <c r="Q120" s="389"/>
      <c r="R120" s="388"/>
      <c r="S120" s="388"/>
      <c r="T120" s="388"/>
      <c r="U120" s="388"/>
      <c r="V120" s="388"/>
      <c r="W120" s="9"/>
      <c r="X120" s="9"/>
      <c r="Y120" s="9"/>
      <c r="Z120" s="9"/>
    </row>
    <row r="121">
      <c r="A121" s="388"/>
      <c r="B121" s="396"/>
      <c r="C121" s="396"/>
      <c r="D121" s="396"/>
      <c r="E121" s="388"/>
      <c r="F121" s="395"/>
      <c r="G121" s="395"/>
      <c r="H121" s="388"/>
      <c r="I121" s="389"/>
      <c r="J121" s="389"/>
      <c r="K121" s="389"/>
      <c r="L121" s="460"/>
      <c r="M121" s="389"/>
      <c r="N121" s="389"/>
      <c r="O121" s="389"/>
      <c r="P121" s="389"/>
      <c r="Q121" s="389"/>
      <c r="R121" s="388"/>
      <c r="S121" s="388"/>
      <c r="T121" s="388"/>
      <c r="U121" s="388"/>
      <c r="V121" s="388"/>
      <c r="W121" s="9"/>
      <c r="X121" s="9"/>
      <c r="Y121" s="9"/>
      <c r="Z121" s="9"/>
    </row>
    <row r="122">
      <c r="A122" s="388"/>
      <c r="B122" s="396"/>
      <c r="C122" s="396"/>
      <c r="D122" s="396"/>
      <c r="E122" s="388"/>
      <c r="F122" s="395"/>
      <c r="G122" s="395"/>
      <c r="H122" s="388"/>
      <c r="I122" s="389"/>
      <c r="J122" s="389"/>
      <c r="K122" s="389"/>
      <c r="L122" s="460"/>
      <c r="M122" s="389"/>
      <c r="N122" s="389"/>
      <c r="O122" s="389"/>
      <c r="P122" s="389"/>
      <c r="Q122" s="389"/>
      <c r="R122" s="388"/>
      <c r="S122" s="388"/>
      <c r="T122" s="388"/>
      <c r="U122" s="388"/>
      <c r="V122" s="388"/>
      <c r="W122" s="9"/>
      <c r="X122" s="9"/>
      <c r="Y122" s="9"/>
      <c r="Z122" s="9"/>
    </row>
    <row r="123">
      <c r="A123" s="388"/>
      <c r="B123" s="396"/>
      <c r="C123" s="396"/>
      <c r="D123" s="396"/>
      <c r="E123" s="388"/>
      <c r="F123" s="395"/>
      <c r="G123" s="395"/>
      <c r="H123" s="388"/>
      <c r="I123" s="389"/>
      <c r="J123" s="389"/>
      <c r="K123" s="389"/>
      <c r="L123" s="460"/>
      <c r="M123" s="389"/>
      <c r="N123" s="389"/>
      <c r="O123" s="389"/>
      <c r="P123" s="389"/>
      <c r="Q123" s="389"/>
      <c r="R123" s="388"/>
      <c r="S123" s="388"/>
      <c r="T123" s="388"/>
      <c r="U123" s="388"/>
      <c r="V123" s="388"/>
      <c r="W123" s="9"/>
      <c r="X123" s="9"/>
      <c r="Y123" s="9"/>
      <c r="Z123" s="9"/>
    </row>
    <row r="124">
      <c r="A124" s="388"/>
      <c r="B124" s="396"/>
      <c r="C124" s="396"/>
      <c r="D124" s="396"/>
      <c r="E124" s="388"/>
      <c r="F124" s="395"/>
      <c r="G124" s="395"/>
      <c r="H124" s="388"/>
      <c r="I124" s="389"/>
      <c r="J124" s="389"/>
      <c r="K124" s="389"/>
      <c r="L124" s="460"/>
      <c r="M124" s="389"/>
      <c r="N124" s="389"/>
      <c r="O124" s="389"/>
      <c r="P124" s="389"/>
      <c r="Q124" s="389"/>
      <c r="R124" s="388"/>
      <c r="S124" s="388"/>
      <c r="T124" s="388"/>
      <c r="U124" s="388"/>
      <c r="V124" s="388"/>
      <c r="W124" s="9"/>
      <c r="X124" s="9"/>
      <c r="Y124" s="9"/>
      <c r="Z124" s="9"/>
    </row>
    <row r="125">
      <c r="A125" s="388"/>
      <c r="B125" s="396"/>
      <c r="C125" s="396"/>
      <c r="D125" s="396"/>
      <c r="E125" s="388"/>
      <c r="F125" s="395"/>
      <c r="G125" s="395"/>
      <c r="H125" s="388"/>
      <c r="I125" s="389"/>
      <c r="J125" s="389"/>
      <c r="K125" s="389"/>
      <c r="L125" s="460"/>
      <c r="M125" s="389"/>
      <c r="N125" s="389"/>
      <c r="O125" s="389"/>
      <c r="P125" s="389"/>
      <c r="Q125" s="389"/>
      <c r="R125" s="388"/>
      <c r="S125" s="388"/>
      <c r="T125" s="388"/>
      <c r="U125" s="388"/>
      <c r="V125" s="388"/>
      <c r="W125" s="9"/>
      <c r="X125" s="9"/>
      <c r="Y125" s="9"/>
      <c r="Z125" s="9"/>
    </row>
    <row r="126">
      <c r="A126" s="388"/>
      <c r="B126" s="396"/>
      <c r="C126" s="396"/>
      <c r="D126" s="396"/>
      <c r="E126" s="388"/>
      <c r="F126" s="395"/>
      <c r="G126" s="395"/>
      <c r="H126" s="388"/>
      <c r="I126" s="389"/>
      <c r="J126" s="389"/>
      <c r="K126" s="389"/>
      <c r="L126" s="460"/>
      <c r="M126" s="389"/>
      <c r="N126" s="389"/>
      <c r="O126" s="389"/>
      <c r="P126" s="389"/>
      <c r="Q126" s="389"/>
      <c r="R126" s="388"/>
      <c r="S126" s="388"/>
      <c r="T126" s="388"/>
      <c r="U126" s="388"/>
      <c r="V126" s="388"/>
      <c r="W126" s="9"/>
      <c r="X126" s="9"/>
      <c r="Y126" s="9"/>
      <c r="Z126" s="9"/>
    </row>
    <row r="127">
      <c r="A127" s="388"/>
      <c r="B127" s="396"/>
      <c r="C127" s="396"/>
      <c r="D127" s="396"/>
      <c r="E127" s="388"/>
      <c r="F127" s="395"/>
      <c r="G127" s="395"/>
      <c r="H127" s="388"/>
      <c r="I127" s="389"/>
      <c r="J127" s="389"/>
      <c r="K127" s="389"/>
      <c r="L127" s="460"/>
      <c r="M127" s="389"/>
      <c r="N127" s="389"/>
      <c r="O127" s="389"/>
      <c r="P127" s="389"/>
      <c r="Q127" s="389"/>
      <c r="R127" s="388"/>
      <c r="S127" s="388"/>
      <c r="T127" s="388"/>
      <c r="U127" s="388"/>
      <c r="V127" s="388"/>
      <c r="W127" s="9"/>
      <c r="X127" s="9"/>
      <c r="Y127" s="9"/>
      <c r="Z127" s="9"/>
    </row>
    <row r="128">
      <c r="A128" s="388"/>
      <c r="B128" s="396"/>
      <c r="C128" s="396"/>
      <c r="D128" s="396"/>
      <c r="E128" s="388"/>
      <c r="F128" s="395"/>
      <c r="G128" s="395"/>
      <c r="H128" s="388"/>
      <c r="I128" s="389"/>
      <c r="J128" s="389"/>
      <c r="K128" s="389"/>
      <c r="L128" s="460"/>
      <c r="M128" s="389"/>
      <c r="N128" s="389"/>
      <c r="O128" s="389"/>
      <c r="P128" s="389"/>
      <c r="Q128" s="389"/>
      <c r="R128" s="388"/>
      <c r="S128" s="388"/>
      <c r="T128" s="388"/>
      <c r="U128" s="388"/>
      <c r="V128" s="388"/>
      <c r="W128" s="9"/>
      <c r="X128" s="9"/>
      <c r="Y128" s="9"/>
      <c r="Z128" s="9"/>
    </row>
    <row r="129">
      <c r="A129" s="388"/>
      <c r="B129" s="396"/>
      <c r="C129" s="396"/>
      <c r="D129" s="396"/>
      <c r="E129" s="388"/>
      <c r="F129" s="395"/>
      <c r="G129" s="395"/>
      <c r="H129" s="388"/>
      <c r="I129" s="389"/>
      <c r="J129" s="389"/>
      <c r="K129" s="389"/>
      <c r="L129" s="460"/>
      <c r="M129" s="389"/>
      <c r="N129" s="389"/>
      <c r="O129" s="389"/>
      <c r="P129" s="389"/>
      <c r="Q129" s="389"/>
      <c r="R129" s="388"/>
      <c r="S129" s="388"/>
      <c r="T129" s="388"/>
      <c r="U129" s="388"/>
      <c r="V129" s="388"/>
      <c r="W129" s="9"/>
      <c r="X129" s="9"/>
      <c r="Y129" s="9"/>
      <c r="Z129" s="9"/>
    </row>
    <row r="130">
      <c r="A130" s="388"/>
      <c r="B130" s="396"/>
      <c r="C130" s="396"/>
      <c r="D130" s="396"/>
      <c r="E130" s="388"/>
      <c r="F130" s="395"/>
      <c r="G130" s="395"/>
      <c r="H130" s="388"/>
      <c r="I130" s="389"/>
      <c r="J130" s="389"/>
      <c r="K130" s="389"/>
      <c r="L130" s="460"/>
      <c r="M130" s="389"/>
      <c r="N130" s="389"/>
      <c r="O130" s="389"/>
      <c r="P130" s="389"/>
      <c r="Q130" s="389"/>
      <c r="R130" s="388"/>
      <c r="S130" s="388"/>
      <c r="T130" s="388"/>
      <c r="U130" s="388"/>
      <c r="V130" s="388"/>
      <c r="W130" s="9"/>
      <c r="X130" s="9"/>
      <c r="Y130" s="9"/>
      <c r="Z130" s="9"/>
    </row>
    <row r="131">
      <c r="A131" s="388"/>
      <c r="B131" s="396"/>
      <c r="C131" s="396"/>
      <c r="D131" s="396"/>
      <c r="E131" s="388"/>
      <c r="F131" s="395"/>
      <c r="G131" s="395"/>
      <c r="H131" s="388"/>
      <c r="I131" s="389"/>
      <c r="J131" s="389"/>
      <c r="K131" s="389"/>
      <c r="L131" s="460"/>
      <c r="M131" s="389"/>
      <c r="N131" s="389"/>
      <c r="O131" s="389"/>
      <c r="P131" s="389"/>
      <c r="Q131" s="389"/>
      <c r="R131" s="388"/>
      <c r="S131" s="388"/>
      <c r="T131" s="388"/>
      <c r="U131" s="388"/>
      <c r="V131" s="388"/>
      <c r="W131" s="9"/>
      <c r="X131" s="9"/>
      <c r="Y131" s="9"/>
      <c r="Z131" s="9"/>
    </row>
    <row r="132">
      <c r="A132" s="388"/>
      <c r="B132" s="396"/>
      <c r="C132" s="396"/>
      <c r="D132" s="396"/>
      <c r="E132" s="388"/>
      <c r="F132" s="395"/>
      <c r="G132" s="395"/>
      <c r="H132" s="388"/>
      <c r="I132" s="389"/>
      <c r="J132" s="389"/>
      <c r="K132" s="389"/>
      <c r="L132" s="460"/>
      <c r="M132" s="389"/>
      <c r="N132" s="389"/>
      <c r="O132" s="389"/>
      <c r="P132" s="389"/>
      <c r="Q132" s="389"/>
      <c r="R132" s="388"/>
      <c r="S132" s="388"/>
      <c r="T132" s="388"/>
      <c r="U132" s="388"/>
      <c r="V132" s="388"/>
      <c r="W132" s="9"/>
      <c r="X132" s="9"/>
      <c r="Y132" s="9"/>
      <c r="Z132" s="9"/>
    </row>
    <row r="133">
      <c r="A133" s="388"/>
      <c r="B133" s="396"/>
      <c r="C133" s="396"/>
      <c r="D133" s="396"/>
      <c r="E133" s="388"/>
      <c r="F133" s="395"/>
      <c r="G133" s="395"/>
      <c r="H133" s="388"/>
      <c r="I133" s="389"/>
      <c r="J133" s="389"/>
      <c r="K133" s="389"/>
      <c r="L133" s="460"/>
      <c r="M133" s="389"/>
      <c r="N133" s="389"/>
      <c r="O133" s="389"/>
      <c r="P133" s="389"/>
      <c r="Q133" s="389"/>
      <c r="R133" s="388"/>
      <c r="S133" s="388"/>
      <c r="T133" s="388"/>
      <c r="U133" s="388"/>
      <c r="V133" s="388"/>
      <c r="W133" s="9"/>
      <c r="X133" s="9"/>
      <c r="Y133" s="9"/>
      <c r="Z133" s="9"/>
    </row>
    <row r="134">
      <c r="A134" s="388"/>
      <c r="B134" s="396"/>
      <c r="C134" s="396"/>
      <c r="D134" s="396"/>
      <c r="E134" s="388"/>
      <c r="F134" s="395"/>
      <c r="G134" s="395"/>
      <c r="H134" s="388"/>
      <c r="I134" s="389"/>
      <c r="J134" s="389"/>
      <c r="K134" s="389"/>
      <c r="L134" s="460"/>
      <c r="M134" s="389"/>
      <c r="N134" s="389"/>
      <c r="O134" s="389"/>
      <c r="P134" s="389"/>
      <c r="Q134" s="389"/>
      <c r="R134" s="388"/>
      <c r="S134" s="388"/>
      <c r="T134" s="388"/>
      <c r="U134" s="388"/>
      <c r="V134" s="388"/>
      <c r="W134" s="9"/>
      <c r="X134" s="9"/>
      <c r="Y134" s="9"/>
      <c r="Z134" s="9"/>
    </row>
    <row r="135">
      <c r="A135" s="388"/>
      <c r="B135" s="396"/>
      <c r="C135" s="396"/>
      <c r="D135" s="396"/>
      <c r="E135" s="388"/>
      <c r="F135" s="395"/>
      <c r="G135" s="395"/>
      <c r="H135" s="388"/>
      <c r="I135" s="389"/>
      <c r="J135" s="389"/>
      <c r="K135" s="389"/>
      <c r="L135" s="460"/>
      <c r="M135" s="389"/>
      <c r="N135" s="389"/>
      <c r="O135" s="389"/>
      <c r="P135" s="389"/>
      <c r="Q135" s="389"/>
      <c r="R135" s="388"/>
      <c r="S135" s="388"/>
      <c r="T135" s="388"/>
      <c r="U135" s="388"/>
      <c r="V135" s="388"/>
      <c r="W135" s="9"/>
      <c r="X135" s="9"/>
      <c r="Y135" s="9"/>
      <c r="Z135" s="9"/>
    </row>
    <row r="136">
      <c r="A136" s="388"/>
      <c r="B136" s="396"/>
      <c r="C136" s="396"/>
      <c r="D136" s="396"/>
      <c r="E136" s="388"/>
      <c r="F136" s="395"/>
      <c r="G136" s="395"/>
      <c r="H136" s="388"/>
      <c r="I136" s="389"/>
      <c r="J136" s="389"/>
      <c r="K136" s="389"/>
      <c r="L136" s="460"/>
      <c r="M136" s="389"/>
      <c r="N136" s="389"/>
      <c r="O136" s="389"/>
      <c r="P136" s="389"/>
      <c r="Q136" s="389"/>
      <c r="R136" s="388"/>
      <c r="S136" s="388"/>
      <c r="T136" s="388"/>
      <c r="U136" s="388"/>
      <c r="V136" s="388"/>
      <c r="W136" s="9"/>
      <c r="X136" s="9"/>
      <c r="Y136" s="9"/>
      <c r="Z136" s="9"/>
    </row>
    <row r="137">
      <c r="A137" s="388"/>
      <c r="B137" s="396"/>
      <c r="C137" s="396"/>
      <c r="D137" s="396"/>
      <c r="E137" s="388"/>
      <c r="F137" s="395"/>
      <c r="G137" s="395"/>
      <c r="H137" s="388"/>
      <c r="I137" s="389"/>
      <c r="J137" s="389"/>
      <c r="K137" s="389"/>
      <c r="L137" s="460"/>
      <c r="M137" s="389"/>
      <c r="N137" s="389"/>
      <c r="O137" s="389"/>
      <c r="P137" s="389"/>
      <c r="Q137" s="389"/>
      <c r="R137" s="388"/>
      <c r="S137" s="388"/>
      <c r="T137" s="388"/>
      <c r="U137" s="388"/>
      <c r="V137" s="388"/>
      <c r="W137" s="9"/>
      <c r="X137" s="9"/>
      <c r="Y137" s="9"/>
      <c r="Z137" s="9"/>
    </row>
    <row r="138">
      <c r="A138" s="388"/>
      <c r="B138" s="396"/>
      <c r="C138" s="396"/>
      <c r="D138" s="396"/>
      <c r="E138" s="388"/>
      <c r="F138" s="395"/>
      <c r="G138" s="395"/>
      <c r="H138" s="388"/>
      <c r="I138" s="389"/>
      <c r="J138" s="389"/>
      <c r="K138" s="389"/>
      <c r="L138" s="460"/>
      <c r="M138" s="389"/>
      <c r="N138" s="389"/>
      <c r="O138" s="389"/>
      <c r="P138" s="389"/>
      <c r="Q138" s="389"/>
      <c r="R138" s="388"/>
      <c r="S138" s="388"/>
      <c r="T138" s="388"/>
      <c r="U138" s="388"/>
      <c r="V138" s="388"/>
      <c r="W138" s="9"/>
      <c r="X138" s="9"/>
      <c r="Y138" s="9"/>
      <c r="Z138" s="9"/>
    </row>
    <row r="139">
      <c r="A139" s="388"/>
      <c r="B139" s="396"/>
      <c r="C139" s="396"/>
      <c r="D139" s="396"/>
      <c r="E139" s="388"/>
      <c r="F139" s="395"/>
      <c r="G139" s="395"/>
      <c r="H139" s="388"/>
      <c r="I139" s="389"/>
      <c r="J139" s="389"/>
      <c r="K139" s="389"/>
      <c r="L139" s="460"/>
      <c r="M139" s="389"/>
      <c r="N139" s="389"/>
      <c r="O139" s="389"/>
      <c r="P139" s="389"/>
      <c r="Q139" s="389"/>
      <c r="R139" s="388"/>
      <c r="S139" s="388"/>
      <c r="T139" s="388"/>
      <c r="U139" s="388"/>
      <c r="V139" s="388"/>
      <c r="W139" s="9"/>
      <c r="X139" s="9"/>
      <c r="Y139" s="9"/>
      <c r="Z139" s="9"/>
    </row>
    <row r="140">
      <c r="A140" s="388"/>
      <c r="B140" s="396"/>
      <c r="C140" s="396"/>
      <c r="D140" s="396"/>
      <c r="E140" s="388"/>
      <c r="F140" s="395"/>
      <c r="G140" s="395"/>
      <c r="H140" s="388"/>
      <c r="I140" s="389"/>
      <c r="J140" s="389"/>
      <c r="K140" s="389"/>
      <c r="L140" s="460"/>
      <c r="M140" s="389"/>
      <c r="N140" s="389"/>
      <c r="O140" s="389"/>
      <c r="P140" s="389"/>
      <c r="Q140" s="389"/>
      <c r="R140" s="388"/>
      <c r="S140" s="388"/>
      <c r="T140" s="388"/>
      <c r="U140" s="388"/>
      <c r="V140" s="388"/>
      <c r="W140" s="9"/>
      <c r="X140" s="9"/>
      <c r="Y140" s="9"/>
      <c r="Z140" s="9"/>
    </row>
    <row r="141">
      <c r="A141" s="388"/>
      <c r="B141" s="396"/>
      <c r="C141" s="396"/>
      <c r="D141" s="396"/>
      <c r="E141" s="388"/>
      <c r="F141" s="395"/>
      <c r="G141" s="395"/>
      <c r="H141" s="388"/>
      <c r="I141" s="389"/>
      <c r="J141" s="389"/>
      <c r="K141" s="389"/>
      <c r="L141" s="460"/>
      <c r="M141" s="389"/>
      <c r="N141" s="389"/>
      <c r="O141" s="389"/>
      <c r="P141" s="389"/>
      <c r="Q141" s="389"/>
      <c r="R141" s="388"/>
      <c r="S141" s="388"/>
      <c r="T141" s="388"/>
      <c r="U141" s="388"/>
      <c r="V141" s="388"/>
      <c r="W141" s="9"/>
      <c r="X141" s="9"/>
      <c r="Y141" s="9"/>
      <c r="Z141" s="9"/>
    </row>
    <row r="142">
      <c r="A142" s="388"/>
      <c r="B142" s="396"/>
      <c r="C142" s="396"/>
      <c r="D142" s="396"/>
      <c r="E142" s="388"/>
      <c r="F142" s="395"/>
      <c r="G142" s="395"/>
      <c r="H142" s="388"/>
      <c r="I142" s="389"/>
      <c r="J142" s="389"/>
      <c r="K142" s="389"/>
      <c r="L142" s="460"/>
      <c r="M142" s="389"/>
      <c r="N142" s="389"/>
      <c r="O142" s="389"/>
      <c r="P142" s="389"/>
      <c r="Q142" s="389"/>
      <c r="R142" s="388"/>
      <c r="S142" s="388"/>
      <c r="T142" s="388"/>
      <c r="U142" s="388"/>
      <c r="V142" s="388"/>
      <c r="W142" s="9"/>
      <c r="X142" s="9"/>
      <c r="Y142" s="9"/>
      <c r="Z142" s="9"/>
    </row>
    <row r="143">
      <c r="A143" s="388"/>
      <c r="B143" s="396"/>
      <c r="C143" s="396"/>
      <c r="D143" s="396"/>
      <c r="E143" s="388"/>
      <c r="F143" s="395"/>
      <c r="G143" s="395"/>
      <c r="H143" s="388"/>
      <c r="I143" s="389"/>
      <c r="J143" s="389"/>
      <c r="K143" s="389"/>
      <c r="L143" s="460"/>
      <c r="M143" s="389"/>
      <c r="N143" s="389"/>
      <c r="O143" s="389"/>
      <c r="P143" s="389"/>
      <c r="Q143" s="389"/>
      <c r="R143" s="388"/>
      <c r="S143" s="388"/>
      <c r="T143" s="388"/>
      <c r="U143" s="388"/>
      <c r="V143" s="388"/>
      <c r="W143" s="9"/>
      <c r="X143" s="9"/>
      <c r="Y143" s="9"/>
      <c r="Z143" s="9"/>
    </row>
    <row r="144">
      <c r="A144" s="388"/>
      <c r="B144" s="396"/>
      <c r="C144" s="396"/>
      <c r="D144" s="396"/>
      <c r="E144" s="388"/>
      <c r="F144" s="395"/>
      <c r="G144" s="395"/>
      <c r="H144" s="388"/>
      <c r="I144" s="389"/>
      <c r="J144" s="389"/>
      <c r="K144" s="389"/>
      <c r="L144" s="460"/>
      <c r="M144" s="389"/>
      <c r="N144" s="389"/>
      <c r="O144" s="389"/>
      <c r="P144" s="389"/>
      <c r="Q144" s="389"/>
      <c r="R144" s="388"/>
      <c r="S144" s="388"/>
      <c r="T144" s="388"/>
      <c r="U144" s="388"/>
      <c r="V144" s="388"/>
      <c r="W144" s="9"/>
      <c r="X144" s="9"/>
      <c r="Y144" s="9"/>
      <c r="Z144" s="9"/>
    </row>
    <row r="145">
      <c r="A145" s="388"/>
      <c r="B145" s="396"/>
      <c r="C145" s="396"/>
      <c r="D145" s="396"/>
      <c r="E145" s="388"/>
      <c r="F145" s="395"/>
      <c r="G145" s="395"/>
      <c r="H145" s="388"/>
      <c r="I145" s="389"/>
      <c r="J145" s="389"/>
      <c r="K145" s="389"/>
      <c r="L145" s="460"/>
      <c r="M145" s="389"/>
      <c r="N145" s="389"/>
      <c r="O145" s="389"/>
      <c r="P145" s="389"/>
      <c r="Q145" s="389"/>
      <c r="R145" s="388"/>
      <c r="S145" s="388"/>
      <c r="T145" s="388"/>
      <c r="U145" s="388"/>
      <c r="V145" s="388"/>
      <c r="W145" s="9"/>
      <c r="X145" s="9"/>
      <c r="Y145" s="9"/>
      <c r="Z145" s="9"/>
    </row>
    <row r="146">
      <c r="A146" s="388"/>
      <c r="B146" s="396"/>
      <c r="C146" s="396"/>
      <c r="D146" s="396"/>
      <c r="E146" s="388"/>
      <c r="F146" s="395"/>
      <c r="G146" s="395"/>
      <c r="H146" s="388"/>
      <c r="I146" s="389"/>
      <c r="J146" s="389"/>
      <c r="K146" s="389"/>
      <c r="L146" s="460"/>
      <c r="M146" s="389"/>
      <c r="N146" s="389"/>
      <c r="O146" s="389"/>
      <c r="P146" s="389"/>
      <c r="Q146" s="389"/>
      <c r="R146" s="388"/>
      <c r="S146" s="388"/>
      <c r="T146" s="388"/>
      <c r="U146" s="388"/>
      <c r="V146" s="388"/>
      <c r="W146" s="9"/>
      <c r="X146" s="9"/>
      <c r="Y146" s="9"/>
      <c r="Z146" s="9"/>
    </row>
    <row r="147">
      <c r="A147" s="388"/>
      <c r="B147" s="396"/>
      <c r="C147" s="396"/>
      <c r="D147" s="396"/>
      <c r="E147" s="388"/>
      <c r="F147" s="395"/>
      <c r="G147" s="395"/>
      <c r="H147" s="388"/>
      <c r="I147" s="389"/>
      <c r="J147" s="389"/>
      <c r="K147" s="389"/>
      <c r="L147" s="460"/>
      <c r="M147" s="389"/>
      <c r="N147" s="389"/>
      <c r="O147" s="389"/>
      <c r="P147" s="389"/>
      <c r="Q147" s="389"/>
      <c r="R147" s="388"/>
      <c r="S147" s="388"/>
      <c r="T147" s="388"/>
      <c r="U147" s="388"/>
      <c r="V147" s="388"/>
      <c r="W147" s="9"/>
      <c r="X147" s="9"/>
      <c r="Y147" s="9"/>
      <c r="Z147" s="9"/>
    </row>
    <row r="148">
      <c r="A148" s="388"/>
      <c r="B148" s="396"/>
      <c r="C148" s="396"/>
      <c r="D148" s="396"/>
      <c r="E148" s="388"/>
      <c r="F148" s="395"/>
      <c r="G148" s="395"/>
      <c r="H148" s="388"/>
      <c r="I148" s="389"/>
      <c r="J148" s="389"/>
      <c r="K148" s="389"/>
      <c r="L148" s="460"/>
      <c r="M148" s="389"/>
      <c r="N148" s="389"/>
      <c r="O148" s="389"/>
      <c r="P148" s="389"/>
      <c r="Q148" s="389"/>
      <c r="R148" s="388"/>
      <c r="S148" s="388"/>
      <c r="T148" s="388"/>
      <c r="U148" s="388"/>
      <c r="V148" s="388"/>
      <c r="W148" s="9"/>
      <c r="X148" s="9"/>
      <c r="Y148" s="9"/>
      <c r="Z148" s="9"/>
    </row>
    <row r="149">
      <c r="A149" s="388"/>
      <c r="B149" s="396"/>
      <c r="C149" s="396"/>
      <c r="D149" s="396"/>
      <c r="E149" s="388"/>
      <c r="F149" s="395"/>
      <c r="G149" s="395"/>
      <c r="H149" s="388"/>
      <c r="I149" s="389"/>
      <c r="J149" s="389"/>
      <c r="K149" s="389"/>
      <c r="L149" s="460"/>
      <c r="M149" s="389"/>
      <c r="N149" s="389"/>
      <c r="O149" s="389"/>
      <c r="P149" s="389"/>
      <c r="Q149" s="389"/>
      <c r="R149" s="388"/>
      <c r="S149" s="388"/>
      <c r="T149" s="388"/>
      <c r="U149" s="388"/>
      <c r="V149" s="388"/>
      <c r="W149" s="9"/>
      <c r="X149" s="9"/>
      <c r="Y149" s="9"/>
      <c r="Z149" s="9"/>
    </row>
    <row r="150">
      <c r="A150" s="388"/>
      <c r="B150" s="396"/>
      <c r="C150" s="396"/>
      <c r="D150" s="396"/>
      <c r="E150" s="388"/>
      <c r="F150" s="395"/>
      <c r="G150" s="395"/>
      <c r="H150" s="388"/>
      <c r="I150" s="389"/>
      <c r="J150" s="389"/>
      <c r="K150" s="389"/>
      <c r="L150" s="460"/>
      <c r="M150" s="389"/>
      <c r="N150" s="389"/>
      <c r="O150" s="389"/>
      <c r="P150" s="389"/>
      <c r="Q150" s="389"/>
      <c r="R150" s="388"/>
      <c r="S150" s="388"/>
      <c r="T150" s="388"/>
      <c r="U150" s="388"/>
      <c r="V150" s="388"/>
      <c r="W150" s="9"/>
      <c r="X150" s="9"/>
      <c r="Y150" s="9"/>
      <c r="Z150" s="9"/>
    </row>
    <row r="151">
      <c r="A151" s="388"/>
      <c r="B151" s="396"/>
      <c r="C151" s="396"/>
      <c r="D151" s="396"/>
      <c r="E151" s="388"/>
      <c r="F151" s="395"/>
      <c r="G151" s="395"/>
      <c r="H151" s="388"/>
      <c r="I151" s="389"/>
      <c r="J151" s="389"/>
      <c r="K151" s="389"/>
      <c r="L151" s="460"/>
      <c r="M151" s="389"/>
      <c r="N151" s="389"/>
      <c r="O151" s="389"/>
      <c r="P151" s="389"/>
      <c r="Q151" s="389"/>
      <c r="R151" s="388"/>
      <c r="S151" s="388"/>
      <c r="T151" s="388"/>
      <c r="U151" s="388"/>
      <c r="V151" s="388"/>
      <c r="W151" s="9"/>
      <c r="X151" s="9"/>
      <c r="Y151" s="9"/>
      <c r="Z151" s="9"/>
    </row>
    <row r="152">
      <c r="A152" s="388"/>
      <c r="B152" s="396"/>
      <c r="C152" s="396"/>
      <c r="D152" s="396"/>
      <c r="E152" s="388"/>
      <c r="F152" s="395"/>
      <c r="G152" s="395"/>
      <c r="H152" s="388"/>
      <c r="I152" s="389"/>
      <c r="J152" s="389"/>
      <c r="K152" s="389"/>
      <c r="L152" s="460"/>
      <c r="M152" s="389"/>
      <c r="N152" s="389"/>
      <c r="O152" s="389"/>
      <c r="P152" s="389"/>
      <c r="Q152" s="389"/>
      <c r="R152" s="388"/>
      <c r="S152" s="388"/>
      <c r="T152" s="388"/>
      <c r="U152" s="388"/>
      <c r="V152" s="388"/>
      <c r="W152" s="9"/>
      <c r="X152" s="9"/>
      <c r="Y152" s="9"/>
      <c r="Z152" s="9"/>
    </row>
    <row r="153">
      <c r="A153" s="388"/>
      <c r="B153" s="396"/>
      <c r="C153" s="396"/>
      <c r="D153" s="396"/>
      <c r="E153" s="388"/>
      <c r="F153" s="395"/>
      <c r="G153" s="395"/>
      <c r="H153" s="388"/>
      <c r="I153" s="389"/>
      <c r="J153" s="389"/>
      <c r="K153" s="389"/>
      <c r="L153" s="460"/>
      <c r="M153" s="389"/>
      <c r="N153" s="389"/>
      <c r="O153" s="389"/>
      <c r="P153" s="389"/>
      <c r="Q153" s="389"/>
      <c r="R153" s="388"/>
      <c r="S153" s="388"/>
      <c r="T153" s="388"/>
      <c r="U153" s="388"/>
      <c r="V153" s="388"/>
      <c r="W153" s="9"/>
      <c r="X153" s="9"/>
      <c r="Y153" s="9"/>
      <c r="Z153" s="9"/>
    </row>
    <row r="154">
      <c r="A154" s="388"/>
      <c r="B154" s="396"/>
      <c r="C154" s="396"/>
      <c r="D154" s="396"/>
      <c r="E154" s="388"/>
      <c r="F154" s="395"/>
      <c r="G154" s="395"/>
      <c r="H154" s="388"/>
      <c r="I154" s="389"/>
      <c r="J154" s="389"/>
      <c r="K154" s="389"/>
      <c r="L154" s="460"/>
      <c r="M154" s="389"/>
      <c r="N154" s="389"/>
      <c r="O154" s="389"/>
      <c r="P154" s="389"/>
      <c r="Q154" s="389"/>
      <c r="R154" s="388"/>
      <c r="S154" s="388"/>
      <c r="T154" s="388"/>
      <c r="U154" s="388"/>
      <c r="V154" s="388"/>
      <c r="W154" s="9"/>
      <c r="X154" s="9"/>
      <c r="Y154" s="9"/>
      <c r="Z154" s="9"/>
    </row>
    <row r="155">
      <c r="A155" s="388"/>
      <c r="B155" s="396"/>
      <c r="C155" s="396"/>
      <c r="D155" s="396"/>
      <c r="E155" s="388"/>
      <c r="F155" s="395"/>
      <c r="G155" s="395"/>
      <c r="H155" s="388"/>
      <c r="I155" s="389"/>
      <c r="J155" s="389"/>
      <c r="K155" s="389"/>
      <c r="L155" s="460"/>
      <c r="M155" s="389"/>
      <c r="N155" s="389"/>
      <c r="O155" s="389"/>
      <c r="P155" s="389"/>
      <c r="Q155" s="389"/>
      <c r="R155" s="388"/>
      <c r="S155" s="388"/>
      <c r="T155" s="388"/>
      <c r="U155" s="388"/>
      <c r="V155" s="388"/>
      <c r="W155" s="9"/>
      <c r="X155" s="9"/>
      <c r="Y155" s="9"/>
      <c r="Z155" s="9"/>
    </row>
    <row r="156">
      <c r="A156" s="388"/>
      <c r="B156" s="396"/>
      <c r="C156" s="396"/>
      <c r="D156" s="396"/>
      <c r="E156" s="388"/>
      <c r="F156" s="395"/>
      <c r="G156" s="395"/>
      <c r="H156" s="388"/>
      <c r="I156" s="389"/>
      <c r="J156" s="389"/>
      <c r="K156" s="389"/>
      <c r="L156" s="460"/>
      <c r="M156" s="389"/>
      <c r="N156" s="389"/>
      <c r="O156" s="389"/>
      <c r="P156" s="389"/>
      <c r="Q156" s="389"/>
      <c r="R156" s="388"/>
      <c r="S156" s="388"/>
      <c r="T156" s="388"/>
      <c r="U156" s="388"/>
      <c r="V156" s="388"/>
      <c r="W156" s="9"/>
      <c r="X156" s="9"/>
      <c r="Y156" s="9"/>
      <c r="Z156" s="9"/>
    </row>
    <row r="157">
      <c r="A157" s="388"/>
      <c r="B157" s="396"/>
      <c r="C157" s="396"/>
      <c r="D157" s="396"/>
      <c r="E157" s="388"/>
      <c r="F157" s="395"/>
      <c r="G157" s="395"/>
      <c r="H157" s="388"/>
      <c r="I157" s="389"/>
      <c r="J157" s="389"/>
      <c r="K157" s="389"/>
      <c r="L157" s="460"/>
      <c r="M157" s="389"/>
      <c r="N157" s="389"/>
      <c r="O157" s="389"/>
      <c r="P157" s="389"/>
      <c r="Q157" s="389"/>
      <c r="R157" s="388"/>
      <c r="S157" s="388"/>
      <c r="T157" s="388"/>
      <c r="U157" s="388"/>
      <c r="V157" s="388"/>
      <c r="W157" s="9"/>
      <c r="X157" s="9"/>
      <c r="Y157" s="9"/>
      <c r="Z157" s="9"/>
    </row>
    <row r="158">
      <c r="A158" s="388"/>
      <c r="B158" s="396"/>
      <c r="C158" s="396"/>
      <c r="D158" s="396"/>
      <c r="E158" s="388"/>
      <c r="F158" s="395"/>
      <c r="G158" s="395"/>
      <c r="H158" s="388"/>
      <c r="I158" s="389"/>
      <c r="J158" s="389"/>
      <c r="K158" s="389"/>
      <c r="L158" s="460"/>
      <c r="M158" s="389"/>
      <c r="N158" s="389"/>
      <c r="O158" s="389"/>
      <c r="P158" s="389"/>
      <c r="Q158" s="389"/>
      <c r="R158" s="388"/>
      <c r="S158" s="388"/>
      <c r="T158" s="388"/>
      <c r="U158" s="388"/>
      <c r="V158" s="388"/>
      <c r="W158" s="9"/>
      <c r="X158" s="9"/>
      <c r="Y158" s="9"/>
      <c r="Z158" s="9"/>
    </row>
    <row r="159">
      <c r="A159" s="388"/>
      <c r="B159" s="396"/>
      <c r="C159" s="396"/>
      <c r="D159" s="396"/>
      <c r="E159" s="388"/>
      <c r="F159" s="395"/>
      <c r="G159" s="395"/>
      <c r="H159" s="388"/>
      <c r="I159" s="389"/>
      <c r="J159" s="389"/>
      <c r="K159" s="389"/>
      <c r="L159" s="460"/>
      <c r="M159" s="389"/>
      <c r="N159" s="389"/>
      <c r="O159" s="389"/>
      <c r="P159" s="389"/>
      <c r="Q159" s="389"/>
      <c r="R159" s="388"/>
      <c r="S159" s="388"/>
      <c r="T159" s="388"/>
      <c r="U159" s="388"/>
      <c r="V159" s="388"/>
      <c r="W159" s="9"/>
      <c r="X159" s="9"/>
      <c r="Y159" s="9"/>
      <c r="Z159" s="9"/>
    </row>
    <row r="160">
      <c r="A160" s="388"/>
      <c r="B160" s="396"/>
      <c r="C160" s="396"/>
      <c r="D160" s="396"/>
      <c r="E160" s="388"/>
      <c r="F160" s="395"/>
      <c r="G160" s="395"/>
      <c r="H160" s="388"/>
      <c r="I160" s="389"/>
      <c r="J160" s="389"/>
      <c r="K160" s="389"/>
      <c r="L160" s="460"/>
      <c r="M160" s="389"/>
      <c r="N160" s="389"/>
      <c r="O160" s="389"/>
      <c r="P160" s="389"/>
      <c r="Q160" s="389"/>
      <c r="R160" s="388"/>
      <c r="S160" s="388"/>
      <c r="T160" s="388"/>
      <c r="U160" s="388"/>
      <c r="V160" s="388"/>
      <c r="W160" s="9"/>
      <c r="X160" s="9"/>
      <c r="Y160" s="9"/>
      <c r="Z160" s="9"/>
    </row>
    <row r="161">
      <c r="A161" s="388"/>
      <c r="B161" s="396"/>
      <c r="C161" s="396"/>
      <c r="D161" s="396"/>
      <c r="E161" s="388"/>
      <c r="F161" s="395"/>
      <c r="G161" s="395"/>
      <c r="H161" s="388"/>
      <c r="I161" s="389"/>
      <c r="J161" s="389"/>
      <c r="K161" s="389"/>
      <c r="L161" s="460"/>
      <c r="M161" s="389"/>
      <c r="N161" s="389"/>
      <c r="O161" s="389"/>
      <c r="P161" s="389"/>
      <c r="Q161" s="389"/>
      <c r="R161" s="388"/>
      <c r="S161" s="388"/>
      <c r="T161" s="388"/>
      <c r="U161" s="388"/>
      <c r="V161" s="388"/>
      <c r="W161" s="9"/>
      <c r="X161" s="9"/>
      <c r="Y161" s="9"/>
      <c r="Z161" s="9"/>
    </row>
    <row r="162">
      <c r="A162" s="388"/>
      <c r="B162" s="396"/>
      <c r="C162" s="396"/>
      <c r="D162" s="396"/>
      <c r="E162" s="388"/>
      <c r="F162" s="395"/>
      <c r="G162" s="395"/>
      <c r="H162" s="388"/>
      <c r="I162" s="389"/>
      <c r="J162" s="389"/>
      <c r="K162" s="389"/>
      <c r="L162" s="460"/>
      <c r="M162" s="389"/>
      <c r="N162" s="389"/>
      <c r="O162" s="389"/>
      <c r="P162" s="389"/>
      <c r="Q162" s="389"/>
      <c r="R162" s="388"/>
      <c r="S162" s="388"/>
      <c r="T162" s="388"/>
      <c r="U162" s="388"/>
      <c r="V162" s="388"/>
      <c r="W162" s="9"/>
      <c r="X162" s="9"/>
      <c r="Y162" s="9"/>
      <c r="Z162" s="9"/>
    </row>
    <row r="163">
      <c r="A163" s="388"/>
      <c r="B163" s="396"/>
      <c r="C163" s="396"/>
      <c r="D163" s="396"/>
      <c r="E163" s="388"/>
      <c r="F163" s="395"/>
      <c r="G163" s="395"/>
      <c r="H163" s="388"/>
      <c r="I163" s="389"/>
      <c r="J163" s="389"/>
      <c r="K163" s="389"/>
      <c r="L163" s="460"/>
      <c r="M163" s="389"/>
      <c r="N163" s="389"/>
      <c r="O163" s="389"/>
      <c r="P163" s="389"/>
      <c r="Q163" s="389"/>
      <c r="R163" s="388"/>
      <c r="S163" s="388"/>
      <c r="T163" s="388"/>
      <c r="U163" s="388"/>
      <c r="V163" s="388"/>
      <c r="W163" s="9"/>
      <c r="X163" s="9"/>
      <c r="Y163" s="9"/>
      <c r="Z163" s="9"/>
    </row>
    <row r="164">
      <c r="A164" s="388"/>
      <c r="B164" s="396"/>
      <c r="C164" s="396"/>
      <c r="D164" s="396"/>
      <c r="E164" s="388"/>
      <c r="F164" s="395"/>
      <c r="G164" s="395"/>
      <c r="H164" s="388"/>
      <c r="I164" s="389"/>
      <c r="J164" s="389"/>
      <c r="K164" s="389"/>
      <c r="L164" s="460"/>
      <c r="M164" s="389"/>
      <c r="N164" s="389"/>
      <c r="O164" s="389"/>
      <c r="P164" s="389"/>
      <c r="Q164" s="389"/>
      <c r="R164" s="388"/>
      <c r="S164" s="388"/>
      <c r="T164" s="388"/>
      <c r="U164" s="388"/>
      <c r="V164" s="388"/>
      <c r="W164" s="9"/>
      <c r="X164" s="9"/>
      <c r="Y164" s="9"/>
      <c r="Z164" s="9"/>
    </row>
    <row r="165">
      <c r="A165" s="388"/>
      <c r="B165" s="396"/>
      <c r="C165" s="396"/>
      <c r="D165" s="396"/>
      <c r="E165" s="388"/>
      <c r="F165" s="395"/>
      <c r="G165" s="395"/>
      <c r="H165" s="388"/>
      <c r="I165" s="389"/>
      <c r="J165" s="389"/>
      <c r="K165" s="389"/>
      <c r="L165" s="460"/>
      <c r="M165" s="389"/>
      <c r="N165" s="389"/>
      <c r="O165" s="389"/>
      <c r="P165" s="389"/>
      <c r="Q165" s="389"/>
      <c r="R165" s="388"/>
      <c r="S165" s="388"/>
      <c r="T165" s="388"/>
      <c r="U165" s="388"/>
      <c r="V165" s="388"/>
      <c r="W165" s="9"/>
      <c r="X165" s="9"/>
      <c r="Y165" s="9"/>
      <c r="Z165" s="9"/>
    </row>
    <row r="166">
      <c r="A166" s="388"/>
      <c r="B166" s="396"/>
      <c r="C166" s="396"/>
      <c r="D166" s="396"/>
      <c r="E166" s="388"/>
      <c r="F166" s="395"/>
      <c r="G166" s="395"/>
      <c r="H166" s="388"/>
      <c r="I166" s="389"/>
      <c r="J166" s="389"/>
      <c r="K166" s="389"/>
      <c r="L166" s="460"/>
      <c r="M166" s="389"/>
      <c r="N166" s="389"/>
      <c r="O166" s="389"/>
      <c r="P166" s="389"/>
      <c r="Q166" s="389"/>
      <c r="R166" s="388"/>
      <c r="S166" s="388"/>
      <c r="T166" s="388"/>
      <c r="U166" s="388"/>
      <c r="V166" s="388"/>
      <c r="W166" s="9"/>
      <c r="X166" s="9"/>
      <c r="Y166" s="9"/>
      <c r="Z166" s="9"/>
    </row>
    <row r="167">
      <c r="A167" s="388"/>
      <c r="B167" s="396"/>
      <c r="C167" s="396"/>
      <c r="D167" s="396"/>
      <c r="E167" s="388"/>
      <c r="F167" s="395"/>
      <c r="G167" s="395"/>
      <c r="H167" s="388"/>
      <c r="I167" s="389"/>
      <c r="J167" s="389"/>
      <c r="K167" s="389"/>
      <c r="L167" s="460"/>
      <c r="M167" s="389"/>
      <c r="N167" s="389"/>
      <c r="O167" s="389"/>
      <c r="P167" s="389"/>
      <c r="Q167" s="389"/>
      <c r="R167" s="388"/>
      <c r="S167" s="388"/>
      <c r="T167" s="388"/>
      <c r="U167" s="388"/>
      <c r="V167" s="388"/>
      <c r="W167" s="9"/>
      <c r="X167" s="9"/>
      <c r="Y167" s="9"/>
      <c r="Z167" s="9"/>
    </row>
    <row r="168">
      <c r="A168" s="388"/>
      <c r="B168" s="396"/>
      <c r="C168" s="396"/>
      <c r="D168" s="396"/>
      <c r="E168" s="388"/>
      <c r="F168" s="395"/>
      <c r="G168" s="395"/>
      <c r="H168" s="388"/>
      <c r="I168" s="389"/>
      <c r="J168" s="389"/>
      <c r="K168" s="389"/>
      <c r="L168" s="460"/>
      <c r="M168" s="389"/>
      <c r="N168" s="389"/>
      <c r="O168" s="389"/>
      <c r="P168" s="389"/>
      <c r="Q168" s="389"/>
      <c r="R168" s="388"/>
      <c r="S168" s="388"/>
      <c r="T168" s="388"/>
      <c r="U168" s="388"/>
      <c r="V168" s="388"/>
      <c r="W168" s="9"/>
      <c r="X168" s="9"/>
      <c r="Y168" s="9"/>
      <c r="Z168" s="9"/>
    </row>
    <row r="169">
      <c r="A169" s="388"/>
      <c r="B169" s="396"/>
      <c r="C169" s="396"/>
      <c r="D169" s="396"/>
      <c r="E169" s="388"/>
      <c r="F169" s="395"/>
      <c r="G169" s="395"/>
      <c r="H169" s="388"/>
      <c r="I169" s="389"/>
      <c r="J169" s="389"/>
      <c r="K169" s="389"/>
      <c r="L169" s="460"/>
      <c r="M169" s="389"/>
      <c r="N169" s="389"/>
      <c r="O169" s="389"/>
      <c r="P169" s="389"/>
      <c r="Q169" s="389"/>
      <c r="R169" s="388"/>
      <c r="S169" s="388"/>
      <c r="T169" s="388"/>
      <c r="U169" s="388"/>
      <c r="V169" s="388"/>
      <c r="W169" s="9"/>
      <c r="X169" s="9"/>
      <c r="Y169" s="9"/>
      <c r="Z169" s="9"/>
    </row>
    <row r="170">
      <c r="A170" s="388"/>
      <c r="B170" s="396"/>
      <c r="C170" s="396"/>
      <c r="D170" s="396"/>
      <c r="E170" s="388"/>
      <c r="F170" s="395"/>
      <c r="G170" s="395"/>
      <c r="H170" s="388"/>
      <c r="I170" s="389"/>
      <c r="J170" s="389"/>
      <c r="K170" s="389"/>
      <c r="L170" s="460"/>
      <c r="M170" s="389"/>
      <c r="N170" s="389"/>
      <c r="O170" s="389"/>
      <c r="P170" s="389"/>
      <c r="Q170" s="389"/>
      <c r="R170" s="388"/>
      <c r="S170" s="388"/>
      <c r="T170" s="388"/>
      <c r="U170" s="388"/>
      <c r="V170" s="388"/>
      <c r="W170" s="9"/>
      <c r="X170" s="9"/>
      <c r="Y170" s="9"/>
      <c r="Z170" s="9"/>
    </row>
    <row r="171">
      <c r="A171" s="388"/>
      <c r="B171" s="396"/>
      <c r="C171" s="396"/>
      <c r="D171" s="396"/>
      <c r="E171" s="388"/>
      <c r="F171" s="395"/>
      <c r="G171" s="395"/>
      <c r="H171" s="388"/>
      <c r="I171" s="389"/>
      <c r="J171" s="389"/>
      <c r="K171" s="389"/>
      <c r="L171" s="460"/>
      <c r="M171" s="389"/>
      <c r="N171" s="389"/>
      <c r="O171" s="389"/>
      <c r="P171" s="389"/>
      <c r="Q171" s="389"/>
      <c r="R171" s="388"/>
      <c r="S171" s="388"/>
      <c r="T171" s="388"/>
      <c r="U171" s="388"/>
      <c r="V171" s="388"/>
      <c r="W171" s="9"/>
      <c r="X171" s="9"/>
      <c r="Y171" s="9"/>
      <c r="Z171" s="9"/>
    </row>
    <row r="172">
      <c r="A172" s="388"/>
      <c r="B172" s="396"/>
      <c r="C172" s="396"/>
      <c r="D172" s="396"/>
      <c r="E172" s="388"/>
      <c r="F172" s="395"/>
      <c r="G172" s="395"/>
      <c r="H172" s="388"/>
      <c r="I172" s="389"/>
      <c r="J172" s="389"/>
      <c r="K172" s="389"/>
      <c r="L172" s="460"/>
      <c r="M172" s="389"/>
      <c r="N172" s="389"/>
      <c r="O172" s="389"/>
      <c r="P172" s="389"/>
      <c r="Q172" s="389"/>
      <c r="R172" s="388"/>
      <c r="S172" s="388"/>
      <c r="T172" s="388"/>
      <c r="U172" s="388"/>
      <c r="V172" s="388"/>
      <c r="W172" s="9"/>
      <c r="X172" s="9"/>
      <c r="Y172" s="9"/>
      <c r="Z172" s="9"/>
    </row>
    <row r="173">
      <c r="A173" s="388"/>
      <c r="B173" s="396"/>
      <c r="C173" s="396"/>
      <c r="D173" s="396"/>
      <c r="E173" s="388"/>
      <c r="F173" s="395"/>
      <c r="G173" s="395"/>
      <c r="H173" s="388"/>
      <c r="I173" s="389"/>
      <c r="J173" s="389"/>
      <c r="K173" s="389"/>
      <c r="L173" s="460"/>
      <c r="M173" s="389"/>
      <c r="N173" s="389"/>
      <c r="O173" s="389"/>
      <c r="P173" s="389"/>
      <c r="Q173" s="389"/>
      <c r="R173" s="388"/>
      <c r="S173" s="388"/>
      <c r="T173" s="388"/>
      <c r="U173" s="388"/>
      <c r="V173" s="388"/>
      <c r="W173" s="9"/>
      <c r="X173" s="9"/>
      <c r="Y173" s="9"/>
      <c r="Z173" s="9"/>
    </row>
    <row r="174">
      <c r="A174" s="388"/>
      <c r="B174" s="396"/>
      <c r="C174" s="396"/>
      <c r="D174" s="396"/>
      <c r="E174" s="388"/>
      <c r="F174" s="395"/>
      <c r="G174" s="395"/>
      <c r="H174" s="388"/>
      <c r="I174" s="389"/>
      <c r="J174" s="389"/>
      <c r="K174" s="389"/>
      <c r="L174" s="460"/>
      <c r="M174" s="389"/>
      <c r="N174" s="389"/>
      <c r="O174" s="389"/>
      <c r="P174" s="389"/>
      <c r="Q174" s="389"/>
      <c r="R174" s="388"/>
      <c r="S174" s="388"/>
      <c r="T174" s="388"/>
      <c r="U174" s="388"/>
      <c r="V174" s="388"/>
      <c r="W174" s="9"/>
      <c r="X174" s="9"/>
      <c r="Y174" s="9"/>
      <c r="Z174" s="9"/>
    </row>
    <row r="175">
      <c r="A175" s="388"/>
      <c r="B175" s="396"/>
      <c r="C175" s="396"/>
      <c r="D175" s="396"/>
      <c r="E175" s="388"/>
      <c r="F175" s="395"/>
      <c r="G175" s="395"/>
      <c r="H175" s="388"/>
      <c r="I175" s="389"/>
      <c r="J175" s="389"/>
      <c r="K175" s="389"/>
      <c r="L175" s="460"/>
      <c r="M175" s="389"/>
      <c r="N175" s="389"/>
      <c r="O175" s="389"/>
      <c r="P175" s="389"/>
      <c r="Q175" s="389"/>
      <c r="R175" s="388"/>
      <c r="S175" s="388"/>
      <c r="T175" s="388"/>
      <c r="U175" s="388"/>
      <c r="V175" s="388"/>
      <c r="W175" s="9"/>
      <c r="X175" s="9"/>
      <c r="Y175" s="9"/>
      <c r="Z175" s="9"/>
    </row>
    <row r="176">
      <c r="A176" s="388"/>
      <c r="B176" s="396"/>
      <c r="C176" s="396"/>
      <c r="D176" s="396"/>
      <c r="E176" s="388"/>
      <c r="F176" s="395"/>
      <c r="G176" s="395"/>
      <c r="H176" s="388"/>
      <c r="I176" s="389"/>
      <c r="J176" s="389"/>
      <c r="K176" s="389"/>
      <c r="L176" s="460"/>
      <c r="M176" s="389"/>
      <c r="N176" s="389"/>
      <c r="O176" s="389"/>
      <c r="P176" s="389"/>
      <c r="Q176" s="389"/>
      <c r="R176" s="388"/>
      <c r="S176" s="388"/>
      <c r="T176" s="388"/>
      <c r="U176" s="388"/>
      <c r="V176" s="388"/>
      <c r="W176" s="9"/>
      <c r="X176" s="9"/>
      <c r="Y176" s="9"/>
      <c r="Z176" s="9"/>
    </row>
    <row r="177">
      <c r="A177" s="388"/>
      <c r="B177" s="396"/>
      <c r="C177" s="396"/>
      <c r="D177" s="396"/>
      <c r="E177" s="388"/>
      <c r="F177" s="395"/>
      <c r="G177" s="395"/>
      <c r="H177" s="388"/>
      <c r="I177" s="389"/>
      <c r="J177" s="389"/>
      <c r="K177" s="389"/>
      <c r="L177" s="460"/>
      <c r="M177" s="389"/>
      <c r="N177" s="389"/>
      <c r="O177" s="389"/>
      <c r="P177" s="389"/>
      <c r="Q177" s="389"/>
      <c r="R177" s="388"/>
      <c r="S177" s="388"/>
      <c r="T177" s="388"/>
      <c r="U177" s="388"/>
      <c r="V177" s="388"/>
      <c r="W177" s="9"/>
      <c r="X177" s="9"/>
      <c r="Y177" s="9"/>
      <c r="Z177" s="9"/>
    </row>
    <row r="178">
      <c r="A178" s="388"/>
      <c r="B178" s="396"/>
      <c r="C178" s="396"/>
      <c r="D178" s="396"/>
      <c r="E178" s="388"/>
      <c r="F178" s="395"/>
      <c r="G178" s="395"/>
      <c r="H178" s="388"/>
      <c r="I178" s="389"/>
      <c r="J178" s="389"/>
      <c r="K178" s="389"/>
      <c r="L178" s="460"/>
      <c r="M178" s="389"/>
      <c r="N178" s="389"/>
      <c r="O178" s="389"/>
      <c r="P178" s="389"/>
      <c r="Q178" s="389"/>
      <c r="R178" s="388"/>
      <c r="S178" s="388"/>
      <c r="T178" s="388"/>
      <c r="U178" s="388"/>
      <c r="V178" s="388"/>
      <c r="W178" s="9"/>
      <c r="X178" s="9"/>
      <c r="Y178" s="9"/>
      <c r="Z178" s="9"/>
    </row>
    <row r="179">
      <c r="A179" s="388"/>
      <c r="B179" s="396"/>
      <c r="C179" s="396"/>
      <c r="D179" s="396"/>
      <c r="E179" s="388"/>
      <c r="F179" s="395"/>
      <c r="G179" s="395"/>
      <c r="H179" s="388"/>
      <c r="I179" s="389"/>
      <c r="J179" s="389"/>
      <c r="K179" s="389"/>
      <c r="L179" s="460"/>
      <c r="M179" s="389"/>
      <c r="N179" s="389"/>
      <c r="O179" s="389"/>
      <c r="P179" s="389"/>
      <c r="Q179" s="389"/>
      <c r="R179" s="388"/>
      <c r="S179" s="388"/>
      <c r="T179" s="388"/>
      <c r="U179" s="388"/>
      <c r="V179" s="388"/>
      <c r="W179" s="9"/>
      <c r="X179" s="9"/>
      <c r="Y179" s="9"/>
      <c r="Z179" s="9"/>
    </row>
    <row r="180">
      <c r="A180" s="388"/>
      <c r="B180" s="396"/>
      <c r="C180" s="396"/>
      <c r="D180" s="396"/>
      <c r="E180" s="388"/>
      <c r="F180" s="395"/>
      <c r="G180" s="395"/>
      <c r="H180" s="388"/>
      <c r="I180" s="389"/>
      <c r="J180" s="389"/>
      <c r="K180" s="389"/>
      <c r="L180" s="460"/>
      <c r="M180" s="389"/>
      <c r="N180" s="389"/>
      <c r="O180" s="389"/>
      <c r="P180" s="389"/>
      <c r="Q180" s="389"/>
      <c r="R180" s="388"/>
      <c r="S180" s="388"/>
      <c r="T180" s="388"/>
      <c r="U180" s="388"/>
      <c r="V180" s="388"/>
      <c r="W180" s="9"/>
      <c r="X180" s="9"/>
      <c r="Y180" s="9"/>
      <c r="Z180" s="9"/>
    </row>
    <row r="181">
      <c r="A181" s="388"/>
      <c r="B181" s="396"/>
      <c r="C181" s="396"/>
      <c r="D181" s="396"/>
      <c r="E181" s="388"/>
      <c r="F181" s="395"/>
      <c r="G181" s="395"/>
      <c r="H181" s="388"/>
      <c r="I181" s="389"/>
      <c r="J181" s="389"/>
      <c r="K181" s="389"/>
      <c r="L181" s="460"/>
      <c r="M181" s="389"/>
      <c r="N181" s="389"/>
      <c r="O181" s="389"/>
      <c r="P181" s="389"/>
      <c r="Q181" s="389"/>
      <c r="R181" s="388"/>
      <c r="S181" s="388"/>
      <c r="T181" s="388"/>
      <c r="U181" s="388"/>
      <c r="V181" s="388"/>
      <c r="W181" s="9"/>
      <c r="X181" s="9"/>
      <c r="Y181" s="9"/>
      <c r="Z181" s="9"/>
    </row>
    <row r="182">
      <c r="A182" s="388"/>
      <c r="B182" s="396"/>
      <c r="C182" s="396"/>
      <c r="D182" s="396"/>
      <c r="E182" s="388"/>
      <c r="F182" s="395"/>
      <c r="G182" s="395"/>
      <c r="H182" s="388"/>
      <c r="I182" s="389"/>
      <c r="J182" s="389"/>
      <c r="K182" s="389"/>
      <c r="L182" s="460"/>
      <c r="M182" s="389"/>
      <c r="N182" s="389"/>
      <c r="O182" s="389"/>
      <c r="P182" s="389"/>
      <c r="Q182" s="389"/>
      <c r="R182" s="388"/>
      <c r="S182" s="388"/>
      <c r="T182" s="388"/>
      <c r="U182" s="388"/>
      <c r="V182" s="388"/>
      <c r="W182" s="9"/>
      <c r="X182" s="9"/>
      <c r="Y182" s="9"/>
      <c r="Z182" s="9"/>
    </row>
    <row r="183">
      <c r="A183" s="388"/>
      <c r="B183" s="396"/>
      <c r="C183" s="396"/>
      <c r="D183" s="396"/>
      <c r="E183" s="388"/>
      <c r="F183" s="395"/>
      <c r="G183" s="395"/>
      <c r="H183" s="388"/>
      <c r="I183" s="389"/>
      <c r="J183" s="389"/>
      <c r="K183" s="389"/>
      <c r="L183" s="460"/>
      <c r="M183" s="389"/>
      <c r="N183" s="389"/>
      <c r="O183" s="389"/>
      <c r="P183" s="389"/>
      <c r="Q183" s="389"/>
      <c r="R183" s="388"/>
      <c r="S183" s="388"/>
      <c r="T183" s="388"/>
      <c r="U183" s="388"/>
      <c r="V183" s="388"/>
      <c r="W183" s="9"/>
      <c r="X183" s="9"/>
      <c r="Y183" s="9"/>
      <c r="Z183" s="9"/>
    </row>
    <row r="184">
      <c r="A184" s="388"/>
      <c r="B184" s="396"/>
      <c r="C184" s="396"/>
      <c r="D184" s="396"/>
      <c r="E184" s="388"/>
      <c r="F184" s="395"/>
      <c r="G184" s="395"/>
      <c r="H184" s="388"/>
      <c r="I184" s="389"/>
      <c r="J184" s="389"/>
      <c r="K184" s="389"/>
      <c r="L184" s="460"/>
      <c r="M184" s="389"/>
      <c r="N184" s="389"/>
      <c r="O184" s="389"/>
      <c r="P184" s="389"/>
      <c r="Q184" s="389"/>
      <c r="R184" s="388"/>
      <c r="S184" s="388"/>
      <c r="T184" s="388"/>
      <c r="U184" s="388"/>
      <c r="V184" s="388"/>
      <c r="W184" s="9"/>
      <c r="X184" s="9"/>
      <c r="Y184" s="9"/>
      <c r="Z184" s="9"/>
    </row>
    <row r="185">
      <c r="A185" s="388"/>
      <c r="B185" s="396"/>
      <c r="C185" s="396"/>
      <c r="D185" s="396"/>
      <c r="E185" s="388"/>
      <c r="F185" s="395"/>
      <c r="G185" s="395"/>
      <c r="H185" s="388"/>
      <c r="I185" s="389"/>
      <c r="J185" s="389"/>
      <c r="K185" s="389"/>
      <c r="L185" s="460"/>
      <c r="M185" s="389"/>
      <c r="N185" s="389"/>
      <c r="O185" s="389"/>
      <c r="P185" s="389"/>
      <c r="Q185" s="389"/>
      <c r="R185" s="388"/>
      <c r="S185" s="388"/>
      <c r="T185" s="388"/>
      <c r="U185" s="388"/>
      <c r="V185" s="388"/>
      <c r="W185" s="9"/>
      <c r="X185" s="9"/>
      <c r="Y185" s="9"/>
      <c r="Z185" s="9"/>
    </row>
    <row r="186">
      <c r="A186" s="388"/>
      <c r="B186" s="396"/>
      <c r="C186" s="396"/>
      <c r="D186" s="396"/>
      <c r="E186" s="388"/>
      <c r="F186" s="395"/>
      <c r="G186" s="395"/>
      <c r="H186" s="388"/>
      <c r="I186" s="389"/>
      <c r="J186" s="389"/>
      <c r="K186" s="389"/>
      <c r="L186" s="460"/>
      <c r="M186" s="389"/>
      <c r="N186" s="389"/>
      <c r="O186" s="389"/>
      <c r="P186" s="389"/>
      <c r="Q186" s="389"/>
      <c r="R186" s="388"/>
      <c r="S186" s="388"/>
      <c r="T186" s="388"/>
      <c r="U186" s="388"/>
      <c r="V186" s="388"/>
      <c r="W186" s="9"/>
      <c r="X186" s="9"/>
      <c r="Y186" s="9"/>
      <c r="Z186" s="9"/>
    </row>
    <row r="187">
      <c r="A187" s="388"/>
      <c r="B187" s="396"/>
      <c r="C187" s="396"/>
      <c r="D187" s="396"/>
      <c r="E187" s="388"/>
      <c r="F187" s="395"/>
      <c r="G187" s="395"/>
      <c r="H187" s="388"/>
      <c r="I187" s="389"/>
      <c r="J187" s="389"/>
      <c r="K187" s="389"/>
      <c r="L187" s="460"/>
      <c r="M187" s="389"/>
      <c r="N187" s="389"/>
      <c r="O187" s="389"/>
      <c r="P187" s="389"/>
      <c r="Q187" s="389"/>
      <c r="R187" s="388"/>
      <c r="S187" s="388"/>
      <c r="T187" s="388"/>
      <c r="U187" s="388"/>
      <c r="V187" s="388"/>
      <c r="W187" s="9"/>
      <c r="X187" s="9"/>
      <c r="Y187" s="9"/>
      <c r="Z187" s="9"/>
    </row>
    <row r="188">
      <c r="A188" s="388"/>
      <c r="B188" s="396"/>
      <c r="C188" s="396"/>
      <c r="D188" s="396"/>
      <c r="E188" s="388"/>
      <c r="F188" s="395"/>
      <c r="G188" s="395"/>
      <c r="H188" s="388"/>
      <c r="I188" s="389"/>
      <c r="J188" s="389"/>
      <c r="K188" s="389"/>
      <c r="L188" s="460"/>
      <c r="M188" s="389"/>
      <c r="N188" s="389"/>
      <c r="O188" s="389"/>
      <c r="P188" s="389"/>
      <c r="Q188" s="389"/>
      <c r="R188" s="388"/>
      <c r="S188" s="388"/>
      <c r="T188" s="388"/>
      <c r="U188" s="388"/>
      <c r="V188" s="388"/>
      <c r="W188" s="9"/>
      <c r="X188" s="9"/>
      <c r="Y188" s="9"/>
      <c r="Z188" s="9"/>
    </row>
    <row r="189">
      <c r="A189" s="388"/>
      <c r="B189" s="396"/>
      <c r="C189" s="396"/>
      <c r="D189" s="396"/>
      <c r="E189" s="388"/>
      <c r="F189" s="395"/>
      <c r="G189" s="395"/>
      <c r="H189" s="388"/>
      <c r="I189" s="389"/>
      <c r="J189" s="389"/>
      <c r="K189" s="389"/>
      <c r="L189" s="460"/>
      <c r="M189" s="389"/>
      <c r="N189" s="389"/>
      <c r="O189" s="389"/>
      <c r="P189" s="389"/>
      <c r="Q189" s="389"/>
      <c r="R189" s="388"/>
      <c r="S189" s="388"/>
      <c r="T189" s="388"/>
      <c r="U189" s="388"/>
      <c r="V189" s="388"/>
      <c r="W189" s="9"/>
      <c r="X189" s="9"/>
      <c r="Y189" s="9"/>
      <c r="Z189" s="9"/>
    </row>
    <row r="190">
      <c r="A190" s="388"/>
      <c r="B190" s="396"/>
      <c r="C190" s="396"/>
      <c r="D190" s="396"/>
      <c r="E190" s="388"/>
      <c r="F190" s="395"/>
      <c r="G190" s="395"/>
      <c r="H190" s="388"/>
      <c r="I190" s="389"/>
      <c r="J190" s="389"/>
      <c r="K190" s="389"/>
      <c r="L190" s="460"/>
      <c r="M190" s="389"/>
      <c r="N190" s="389"/>
      <c r="O190" s="389"/>
      <c r="P190" s="389"/>
      <c r="Q190" s="389"/>
      <c r="R190" s="388"/>
      <c r="S190" s="388"/>
      <c r="T190" s="388"/>
      <c r="U190" s="388"/>
      <c r="V190" s="388"/>
      <c r="W190" s="9"/>
      <c r="X190" s="9"/>
      <c r="Y190" s="9"/>
      <c r="Z190" s="9"/>
    </row>
    <row r="191">
      <c r="A191" s="388"/>
      <c r="B191" s="396"/>
      <c r="C191" s="396"/>
      <c r="D191" s="396"/>
      <c r="E191" s="388"/>
      <c r="F191" s="395"/>
      <c r="G191" s="395"/>
      <c r="H191" s="388"/>
      <c r="I191" s="389"/>
      <c r="J191" s="389"/>
      <c r="K191" s="389"/>
      <c r="L191" s="460"/>
      <c r="M191" s="389"/>
      <c r="N191" s="389"/>
      <c r="O191" s="389"/>
      <c r="P191" s="389"/>
      <c r="Q191" s="389"/>
      <c r="R191" s="388"/>
      <c r="S191" s="388"/>
      <c r="T191" s="388"/>
      <c r="U191" s="388"/>
      <c r="V191" s="388"/>
      <c r="W191" s="9"/>
      <c r="X191" s="9"/>
      <c r="Y191" s="9"/>
      <c r="Z191" s="9"/>
    </row>
    <row r="192">
      <c r="A192" s="388"/>
      <c r="B192" s="396"/>
      <c r="C192" s="396"/>
      <c r="D192" s="396"/>
      <c r="E192" s="388"/>
      <c r="F192" s="395"/>
      <c r="G192" s="395"/>
      <c r="H192" s="388"/>
      <c r="I192" s="389"/>
      <c r="J192" s="389"/>
      <c r="K192" s="389"/>
      <c r="L192" s="460"/>
      <c r="M192" s="389"/>
      <c r="N192" s="389"/>
      <c r="O192" s="389"/>
      <c r="P192" s="389"/>
      <c r="Q192" s="389"/>
      <c r="R192" s="388"/>
      <c r="S192" s="388"/>
      <c r="T192" s="388"/>
      <c r="U192" s="388"/>
      <c r="V192" s="388"/>
      <c r="W192" s="9"/>
      <c r="X192" s="9"/>
      <c r="Y192" s="9"/>
      <c r="Z192" s="9"/>
    </row>
    <row r="193">
      <c r="A193" s="388"/>
      <c r="B193" s="396"/>
      <c r="C193" s="396"/>
      <c r="D193" s="396"/>
      <c r="E193" s="388"/>
      <c r="F193" s="395"/>
      <c r="G193" s="395"/>
      <c r="H193" s="388"/>
      <c r="I193" s="389"/>
      <c r="J193" s="389"/>
      <c r="K193" s="389"/>
      <c r="L193" s="460"/>
      <c r="M193" s="389"/>
      <c r="N193" s="389"/>
      <c r="O193" s="389"/>
      <c r="P193" s="389"/>
      <c r="Q193" s="389"/>
      <c r="R193" s="388"/>
      <c r="S193" s="388"/>
      <c r="T193" s="388"/>
      <c r="U193" s="388"/>
      <c r="V193" s="388"/>
      <c r="W193" s="9"/>
      <c r="X193" s="9"/>
      <c r="Y193" s="9"/>
      <c r="Z193" s="9"/>
    </row>
    <row r="194">
      <c r="A194" s="388"/>
      <c r="B194" s="396"/>
      <c r="C194" s="396"/>
      <c r="D194" s="396"/>
      <c r="E194" s="388"/>
      <c r="F194" s="395"/>
      <c r="G194" s="395"/>
      <c r="H194" s="388"/>
      <c r="I194" s="389"/>
      <c r="J194" s="389"/>
      <c r="K194" s="389"/>
      <c r="L194" s="460"/>
      <c r="M194" s="389"/>
      <c r="N194" s="389"/>
      <c r="O194" s="389"/>
      <c r="P194" s="389"/>
      <c r="Q194" s="389"/>
      <c r="R194" s="388"/>
      <c r="S194" s="388"/>
      <c r="T194" s="388"/>
      <c r="U194" s="388"/>
      <c r="V194" s="388"/>
      <c r="W194" s="9"/>
      <c r="X194" s="9"/>
      <c r="Y194" s="9"/>
      <c r="Z194" s="9"/>
    </row>
    <row r="195">
      <c r="A195" s="388"/>
      <c r="B195" s="396"/>
      <c r="C195" s="396"/>
      <c r="D195" s="396"/>
      <c r="E195" s="388"/>
      <c r="F195" s="395"/>
      <c r="G195" s="395"/>
      <c r="H195" s="388"/>
      <c r="I195" s="389"/>
      <c r="J195" s="389"/>
      <c r="K195" s="389"/>
      <c r="L195" s="460"/>
      <c r="M195" s="389"/>
      <c r="N195" s="389"/>
      <c r="O195" s="389"/>
      <c r="P195" s="389"/>
      <c r="Q195" s="389"/>
      <c r="R195" s="388"/>
      <c r="S195" s="388"/>
      <c r="T195" s="388"/>
      <c r="U195" s="388"/>
      <c r="V195" s="388"/>
      <c r="W195" s="9"/>
      <c r="X195" s="9"/>
      <c r="Y195" s="9"/>
      <c r="Z195" s="9"/>
    </row>
    <row r="196">
      <c r="A196" s="388"/>
      <c r="B196" s="396"/>
      <c r="C196" s="396"/>
      <c r="D196" s="396"/>
      <c r="E196" s="388"/>
      <c r="F196" s="395"/>
      <c r="G196" s="395"/>
      <c r="H196" s="388"/>
      <c r="I196" s="389"/>
      <c r="J196" s="389"/>
      <c r="K196" s="389"/>
      <c r="L196" s="460"/>
      <c r="M196" s="389"/>
      <c r="N196" s="389"/>
      <c r="O196" s="389"/>
      <c r="P196" s="389"/>
      <c r="Q196" s="389"/>
      <c r="R196" s="388"/>
      <c r="S196" s="388"/>
      <c r="T196" s="388"/>
      <c r="U196" s="388"/>
      <c r="V196" s="388"/>
      <c r="W196" s="9"/>
      <c r="X196" s="9"/>
      <c r="Y196" s="9"/>
      <c r="Z196" s="9"/>
    </row>
    <row r="197">
      <c r="A197" s="388"/>
      <c r="B197" s="396"/>
      <c r="C197" s="396"/>
      <c r="D197" s="396"/>
      <c r="E197" s="388"/>
      <c r="F197" s="395"/>
      <c r="G197" s="395"/>
      <c r="H197" s="388"/>
      <c r="I197" s="389"/>
      <c r="J197" s="389"/>
      <c r="K197" s="389"/>
      <c r="L197" s="460"/>
      <c r="M197" s="389"/>
      <c r="N197" s="389"/>
      <c r="O197" s="389"/>
      <c r="P197" s="389"/>
      <c r="Q197" s="389"/>
      <c r="R197" s="388"/>
      <c r="S197" s="388"/>
      <c r="T197" s="388"/>
      <c r="U197" s="388"/>
      <c r="V197" s="388"/>
      <c r="W197" s="9"/>
      <c r="X197" s="9"/>
      <c r="Y197" s="9"/>
      <c r="Z197" s="9"/>
    </row>
    <row r="198">
      <c r="A198" s="388"/>
      <c r="B198" s="396"/>
      <c r="C198" s="396"/>
      <c r="D198" s="396"/>
      <c r="E198" s="388"/>
      <c r="F198" s="395"/>
      <c r="G198" s="395"/>
      <c r="H198" s="388"/>
      <c r="I198" s="389"/>
      <c r="J198" s="389"/>
      <c r="K198" s="389"/>
      <c r="L198" s="460"/>
      <c r="M198" s="389"/>
      <c r="N198" s="389"/>
      <c r="O198" s="389"/>
      <c r="P198" s="389"/>
      <c r="Q198" s="389"/>
      <c r="R198" s="388"/>
      <c r="S198" s="388"/>
      <c r="T198" s="388"/>
      <c r="U198" s="388"/>
      <c r="V198" s="388"/>
      <c r="W198" s="9"/>
      <c r="X198" s="9"/>
      <c r="Y198" s="9"/>
      <c r="Z198" s="9"/>
    </row>
    <row r="199">
      <c r="A199" s="388"/>
      <c r="B199" s="396"/>
      <c r="C199" s="396"/>
      <c r="D199" s="396"/>
      <c r="E199" s="388"/>
      <c r="F199" s="395"/>
      <c r="G199" s="395"/>
      <c r="H199" s="388"/>
      <c r="I199" s="389"/>
      <c r="J199" s="389"/>
      <c r="K199" s="389"/>
      <c r="L199" s="460"/>
      <c r="M199" s="389"/>
      <c r="N199" s="389"/>
      <c r="O199" s="389"/>
      <c r="P199" s="389"/>
      <c r="Q199" s="389"/>
      <c r="R199" s="388"/>
      <c r="S199" s="388"/>
      <c r="T199" s="388"/>
      <c r="U199" s="388"/>
      <c r="V199" s="388"/>
      <c r="W199" s="9"/>
      <c r="X199" s="9"/>
      <c r="Y199" s="9"/>
      <c r="Z199" s="9"/>
    </row>
    <row r="200">
      <c r="A200" s="388"/>
      <c r="B200" s="396"/>
      <c r="C200" s="396"/>
      <c r="D200" s="396"/>
      <c r="E200" s="388"/>
      <c r="F200" s="395"/>
      <c r="G200" s="395"/>
      <c r="H200" s="388"/>
      <c r="I200" s="389"/>
      <c r="J200" s="389"/>
      <c r="K200" s="389"/>
      <c r="L200" s="460"/>
      <c r="M200" s="389"/>
      <c r="N200" s="389"/>
      <c r="O200" s="389"/>
      <c r="P200" s="389"/>
      <c r="Q200" s="389"/>
      <c r="R200" s="388"/>
      <c r="S200" s="388"/>
      <c r="T200" s="388"/>
      <c r="U200" s="388"/>
      <c r="V200" s="388"/>
      <c r="W200" s="9"/>
      <c r="X200" s="9"/>
      <c r="Y200" s="9"/>
      <c r="Z200" s="9"/>
    </row>
    <row r="201">
      <c r="A201" s="388"/>
      <c r="B201" s="396"/>
      <c r="C201" s="396"/>
      <c r="D201" s="396"/>
      <c r="E201" s="388"/>
      <c r="F201" s="395"/>
      <c r="G201" s="395"/>
      <c r="H201" s="388"/>
      <c r="I201" s="389"/>
      <c r="J201" s="389"/>
      <c r="K201" s="389"/>
      <c r="L201" s="460"/>
      <c r="M201" s="389"/>
      <c r="N201" s="389"/>
      <c r="O201" s="389"/>
      <c r="P201" s="389"/>
      <c r="Q201" s="389"/>
      <c r="R201" s="388"/>
      <c r="S201" s="388"/>
      <c r="T201" s="388"/>
      <c r="U201" s="388"/>
      <c r="V201" s="388"/>
      <c r="W201" s="9"/>
      <c r="X201" s="9"/>
      <c r="Y201" s="9"/>
      <c r="Z201" s="9"/>
    </row>
    <row r="202">
      <c r="A202" s="388"/>
      <c r="B202" s="396"/>
      <c r="C202" s="396"/>
      <c r="D202" s="396"/>
      <c r="E202" s="388"/>
      <c r="F202" s="395"/>
      <c r="G202" s="395"/>
      <c r="H202" s="388"/>
      <c r="I202" s="389"/>
      <c r="J202" s="389"/>
      <c r="K202" s="389"/>
      <c r="L202" s="460"/>
      <c r="M202" s="389"/>
      <c r="N202" s="389"/>
      <c r="O202" s="389"/>
      <c r="P202" s="389"/>
      <c r="Q202" s="389"/>
      <c r="R202" s="388"/>
      <c r="S202" s="388"/>
      <c r="T202" s="388"/>
      <c r="U202" s="388"/>
      <c r="V202" s="388"/>
      <c r="W202" s="9"/>
      <c r="X202" s="9"/>
      <c r="Y202" s="9"/>
      <c r="Z202" s="9"/>
    </row>
    <row r="203">
      <c r="A203" s="388"/>
      <c r="B203" s="396"/>
      <c r="C203" s="396"/>
      <c r="D203" s="396"/>
      <c r="E203" s="388"/>
      <c r="F203" s="395"/>
      <c r="G203" s="395"/>
      <c r="H203" s="388"/>
      <c r="I203" s="389"/>
      <c r="J203" s="389"/>
      <c r="K203" s="389"/>
      <c r="L203" s="460"/>
      <c r="M203" s="389"/>
      <c r="N203" s="389"/>
      <c r="O203" s="389"/>
      <c r="P203" s="389"/>
      <c r="Q203" s="389"/>
      <c r="R203" s="388"/>
      <c r="S203" s="388"/>
      <c r="T203" s="388"/>
      <c r="U203" s="388"/>
      <c r="V203" s="388"/>
      <c r="W203" s="9"/>
      <c r="X203" s="9"/>
      <c r="Y203" s="9"/>
      <c r="Z203" s="9"/>
    </row>
    <row r="204">
      <c r="A204" s="388"/>
      <c r="B204" s="396"/>
      <c r="C204" s="396"/>
      <c r="D204" s="396"/>
      <c r="E204" s="388"/>
      <c r="F204" s="395"/>
      <c r="G204" s="395"/>
      <c r="H204" s="388"/>
      <c r="I204" s="389"/>
      <c r="J204" s="389"/>
      <c r="K204" s="389"/>
      <c r="L204" s="460"/>
      <c r="M204" s="389"/>
      <c r="N204" s="389"/>
      <c r="O204" s="389"/>
      <c r="P204" s="389"/>
      <c r="Q204" s="389"/>
      <c r="R204" s="388"/>
      <c r="S204" s="388"/>
      <c r="T204" s="388"/>
      <c r="U204" s="388"/>
      <c r="V204" s="388"/>
      <c r="W204" s="9"/>
      <c r="X204" s="9"/>
      <c r="Y204" s="9"/>
      <c r="Z204" s="9"/>
    </row>
    <row r="205">
      <c r="A205" s="388"/>
      <c r="B205" s="396"/>
      <c r="C205" s="396"/>
      <c r="D205" s="396"/>
      <c r="E205" s="388"/>
      <c r="F205" s="395"/>
      <c r="G205" s="395"/>
      <c r="H205" s="388"/>
      <c r="I205" s="389"/>
      <c r="J205" s="389"/>
      <c r="K205" s="389"/>
      <c r="L205" s="460"/>
      <c r="M205" s="389"/>
      <c r="N205" s="389"/>
      <c r="O205" s="389"/>
      <c r="P205" s="389"/>
      <c r="Q205" s="389"/>
      <c r="R205" s="388"/>
      <c r="S205" s="388"/>
      <c r="T205" s="388"/>
      <c r="U205" s="388"/>
      <c r="V205" s="388"/>
      <c r="W205" s="9"/>
      <c r="X205" s="9"/>
      <c r="Y205" s="9"/>
      <c r="Z205" s="9"/>
    </row>
    <row r="206">
      <c r="A206" s="388"/>
      <c r="B206" s="396"/>
      <c r="C206" s="396"/>
      <c r="D206" s="396"/>
      <c r="E206" s="388"/>
      <c r="F206" s="395"/>
      <c r="G206" s="395"/>
      <c r="H206" s="388"/>
      <c r="I206" s="389"/>
      <c r="J206" s="389"/>
      <c r="K206" s="389"/>
      <c r="L206" s="460"/>
      <c r="M206" s="389"/>
      <c r="N206" s="389"/>
      <c r="O206" s="389"/>
      <c r="P206" s="389"/>
      <c r="Q206" s="389"/>
      <c r="R206" s="388"/>
      <c r="S206" s="388"/>
      <c r="T206" s="388"/>
      <c r="U206" s="388"/>
      <c r="V206" s="388"/>
      <c r="W206" s="9"/>
      <c r="X206" s="9"/>
      <c r="Y206" s="9"/>
      <c r="Z206" s="9"/>
    </row>
    <row r="207">
      <c r="A207" s="388"/>
      <c r="B207" s="396"/>
      <c r="C207" s="396"/>
      <c r="D207" s="396"/>
      <c r="E207" s="388"/>
      <c r="F207" s="395"/>
      <c r="G207" s="395"/>
      <c r="H207" s="388"/>
      <c r="I207" s="389"/>
      <c r="J207" s="389"/>
      <c r="K207" s="389"/>
      <c r="L207" s="460"/>
      <c r="M207" s="389"/>
      <c r="N207" s="389"/>
      <c r="O207" s="389"/>
      <c r="P207" s="389"/>
      <c r="Q207" s="389"/>
      <c r="R207" s="388"/>
      <c r="S207" s="388"/>
      <c r="T207" s="388"/>
      <c r="U207" s="388"/>
      <c r="V207" s="388"/>
      <c r="W207" s="9"/>
      <c r="X207" s="9"/>
      <c r="Y207" s="9"/>
      <c r="Z207" s="9"/>
    </row>
    <row r="208">
      <c r="A208" s="388"/>
      <c r="B208" s="396"/>
      <c r="C208" s="396"/>
      <c r="D208" s="396"/>
      <c r="E208" s="388"/>
      <c r="F208" s="395"/>
      <c r="G208" s="395"/>
      <c r="H208" s="388"/>
      <c r="I208" s="389"/>
      <c r="J208" s="389"/>
      <c r="K208" s="389"/>
      <c r="L208" s="460"/>
      <c r="M208" s="389"/>
      <c r="N208" s="389"/>
      <c r="O208" s="389"/>
      <c r="P208" s="389"/>
      <c r="Q208" s="389"/>
      <c r="R208" s="388"/>
      <c r="S208" s="388"/>
      <c r="T208" s="388"/>
      <c r="U208" s="388"/>
      <c r="V208" s="388"/>
      <c r="W208" s="9"/>
      <c r="X208" s="9"/>
      <c r="Y208" s="9"/>
      <c r="Z208" s="9"/>
    </row>
    <row r="209">
      <c r="A209" s="388"/>
      <c r="B209" s="396"/>
      <c r="C209" s="396"/>
      <c r="D209" s="396"/>
      <c r="E209" s="388"/>
      <c r="F209" s="395"/>
      <c r="G209" s="395"/>
      <c r="H209" s="388"/>
      <c r="I209" s="389"/>
      <c r="J209" s="389"/>
      <c r="K209" s="389"/>
      <c r="L209" s="460"/>
      <c r="M209" s="389"/>
      <c r="N209" s="389"/>
      <c r="O209" s="389"/>
      <c r="P209" s="389"/>
      <c r="Q209" s="389"/>
      <c r="R209" s="388"/>
      <c r="S209" s="388"/>
      <c r="T209" s="388"/>
      <c r="U209" s="388"/>
      <c r="V209" s="388"/>
      <c r="W209" s="9"/>
      <c r="X209" s="9"/>
      <c r="Y209" s="9"/>
      <c r="Z209" s="9"/>
    </row>
    <row r="210">
      <c r="A210" s="388"/>
      <c r="B210" s="396"/>
      <c r="C210" s="396"/>
      <c r="D210" s="396"/>
      <c r="E210" s="388"/>
      <c r="F210" s="395"/>
      <c r="G210" s="395"/>
      <c r="H210" s="388"/>
      <c r="I210" s="389"/>
      <c r="J210" s="389"/>
      <c r="K210" s="389"/>
      <c r="L210" s="460"/>
      <c r="M210" s="389"/>
      <c r="N210" s="389"/>
      <c r="O210" s="389"/>
      <c r="P210" s="389"/>
      <c r="Q210" s="389"/>
      <c r="R210" s="388"/>
      <c r="S210" s="388"/>
      <c r="T210" s="388"/>
      <c r="U210" s="388"/>
      <c r="V210" s="388"/>
      <c r="W210" s="9"/>
      <c r="X210" s="9"/>
      <c r="Y210" s="9"/>
      <c r="Z210" s="9"/>
    </row>
    <row r="211">
      <c r="A211" s="388"/>
      <c r="B211" s="396"/>
      <c r="C211" s="396"/>
      <c r="D211" s="396"/>
      <c r="E211" s="388"/>
      <c r="F211" s="395"/>
      <c r="G211" s="395"/>
      <c r="H211" s="388"/>
      <c r="I211" s="389"/>
      <c r="J211" s="389"/>
      <c r="K211" s="389"/>
      <c r="L211" s="460"/>
      <c r="M211" s="389"/>
      <c r="N211" s="389"/>
      <c r="O211" s="389"/>
      <c r="P211" s="389"/>
      <c r="Q211" s="389"/>
      <c r="R211" s="388"/>
      <c r="S211" s="388"/>
      <c r="T211" s="388"/>
      <c r="U211" s="388"/>
      <c r="V211" s="388"/>
      <c r="W211" s="9"/>
      <c r="X211" s="9"/>
      <c r="Y211" s="9"/>
      <c r="Z211" s="9"/>
    </row>
    <row r="212">
      <c r="A212" s="388"/>
      <c r="B212" s="396"/>
      <c r="C212" s="396"/>
      <c r="D212" s="396"/>
      <c r="E212" s="388"/>
      <c r="F212" s="395"/>
      <c r="G212" s="395"/>
      <c r="H212" s="388"/>
      <c r="I212" s="389"/>
      <c r="J212" s="389"/>
      <c r="K212" s="389"/>
      <c r="L212" s="460"/>
      <c r="M212" s="389"/>
      <c r="N212" s="389"/>
      <c r="O212" s="389"/>
      <c r="P212" s="389"/>
      <c r="Q212" s="389"/>
      <c r="R212" s="388"/>
      <c r="S212" s="388"/>
      <c r="T212" s="388"/>
      <c r="U212" s="388"/>
      <c r="V212" s="388"/>
      <c r="W212" s="9"/>
      <c r="X212" s="9"/>
      <c r="Y212" s="9"/>
      <c r="Z212" s="9"/>
    </row>
    <row r="213">
      <c r="A213" s="388"/>
      <c r="B213" s="396"/>
      <c r="C213" s="396"/>
      <c r="D213" s="396"/>
      <c r="E213" s="388"/>
      <c r="F213" s="395"/>
      <c r="G213" s="395"/>
      <c r="H213" s="388"/>
      <c r="I213" s="389"/>
      <c r="J213" s="389"/>
      <c r="K213" s="389"/>
      <c r="L213" s="460"/>
      <c r="M213" s="389"/>
      <c r="N213" s="389"/>
      <c r="O213" s="389"/>
      <c r="P213" s="389"/>
      <c r="Q213" s="389"/>
      <c r="R213" s="388"/>
      <c r="S213" s="388"/>
      <c r="T213" s="388"/>
      <c r="U213" s="388"/>
      <c r="V213" s="388"/>
      <c r="W213" s="9"/>
      <c r="X213" s="9"/>
      <c r="Y213" s="9"/>
      <c r="Z213" s="9"/>
    </row>
    <row r="214">
      <c r="A214" s="388"/>
      <c r="B214" s="396"/>
      <c r="C214" s="396"/>
      <c r="D214" s="396"/>
      <c r="E214" s="388"/>
      <c r="F214" s="395"/>
      <c r="G214" s="395"/>
      <c r="H214" s="388"/>
      <c r="I214" s="389"/>
      <c r="J214" s="389"/>
      <c r="K214" s="389"/>
      <c r="L214" s="460"/>
      <c r="M214" s="389"/>
      <c r="N214" s="389"/>
      <c r="O214" s="389"/>
      <c r="P214" s="389"/>
      <c r="Q214" s="389"/>
      <c r="R214" s="388"/>
      <c r="S214" s="388"/>
      <c r="T214" s="388"/>
      <c r="U214" s="388"/>
      <c r="V214" s="388"/>
      <c r="W214" s="9"/>
      <c r="X214" s="9"/>
      <c r="Y214" s="9"/>
      <c r="Z214" s="9"/>
    </row>
    <row r="215">
      <c r="A215" s="388"/>
      <c r="B215" s="396"/>
      <c r="C215" s="396"/>
      <c r="D215" s="396"/>
      <c r="E215" s="388"/>
      <c r="F215" s="395"/>
      <c r="G215" s="395"/>
      <c r="H215" s="388"/>
      <c r="I215" s="389"/>
      <c r="J215" s="389"/>
      <c r="K215" s="389"/>
      <c r="L215" s="460"/>
      <c r="M215" s="389"/>
      <c r="N215" s="389"/>
      <c r="O215" s="389"/>
      <c r="P215" s="389"/>
      <c r="Q215" s="389"/>
      <c r="R215" s="388"/>
      <c r="S215" s="388"/>
      <c r="T215" s="388"/>
      <c r="U215" s="388"/>
      <c r="V215" s="388"/>
      <c r="W215" s="9"/>
      <c r="X215" s="9"/>
      <c r="Y215" s="9"/>
      <c r="Z215" s="9"/>
    </row>
    <row r="216">
      <c r="A216" s="388"/>
      <c r="B216" s="396"/>
      <c r="C216" s="396"/>
      <c r="D216" s="396"/>
      <c r="E216" s="388"/>
      <c r="F216" s="395"/>
      <c r="G216" s="395"/>
      <c r="H216" s="388"/>
      <c r="I216" s="389"/>
      <c r="J216" s="389"/>
      <c r="K216" s="389"/>
      <c r="L216" s="460"/>
      <c r="M216" s="389"/>
      <c r="N216" s="389"/>
      <c r="O216" s="389"/>
      <c r="P216" s="389"/>
      <c r="Q216" s="389"/>
      <c r="R216" s="388"/>
      <c r="S216" s="388"/>
      <c r="T216" s="388"/>
      <c r="U216" s="388"/>
      <c r="V216" s="388"/>
      <c r="W216" s="9"/>
      <c r="X216" s="9"/>
      <c r="Y216" s="9"/>
      <c r="Z216" s="9"/>
    </row>
    <row r="217">
      <c r="A217" s="388"/>
      <c r="B217" s="396"/>
      <c r="C217" s="396"/>
      <c r="D217" s="396"/>
      <c r="E217" s="388"/>
      <c r="F217" s="395"/>
      <c r="G217" s="395"/>
      <c r="H217" s="388"/>
      <c r="I217" s="389"/>
      <c r="J217" s="389"/>
      <c r="K217" s="389"/>
      <c r="L217" s="460"/>
      <c r="M217" s="389"/>
      <c r="N217" s="389"/>
      <c r="O217" s="389"/>
      <c r="P217" s="389"/>
      <c r="Q217" s="389"/>
      <c r="R217" s="388"/>
      <c r="S217" s="388"/>
      <c r="T217" s="388"/>
      <c r="U217" s="388"/>
      <c r="V217" s="388"/>
      <c r="W217" s="9"/>
      <c r="X217" s="9"/>
      <c r="Y217" s="9"/>
      <c r="Z217" s="9"/>
    </row>
    <row r="218">
      <c r="A218" s="388"/>
      <c r="B218" s="396"/>
      <c r="C218" s="396"/>
      <c r="D218" s="396"/>
      <c r="E218" s="388"/>
      <c r="F218" s="395"/>
      <c r="G218" s="395"/>
      <c r="H218" s="388"/>
      <c r="I218" s="389"/>
      <c r="J218" s="389"/>
      <c r="K218" s="389"/>
      <c r="L218" s="460"/>
      <c r="M218" s="389"/>
      <c r="N218" s="389"/>
      <c r="O218" s="389"/>
      <c r="P218" s="389"/>
      <c r="Q218" s="389"/>
      <c r="R218" s="388"/>
      <c r="S218" s="388"/>
      <c r="T218" s="388"/>
      <c r="U218" s="388"/>
      <c r="V218" s="388"/>
      <c r="W218" s="9"/>
      <c r="X218" s="9"/>
      <c r="Y218" s="9"/>
      <c r="Z218" s="9"/>
    </row>
    <row r="219">
      <c r="A219" s="388"/>
      <c r="B219" s="396"/>
      <c r="C219" s="396"/>
      <c r="D219" s="396"/>
      <c r="E219" s="388"/>
      <c r="F219" s="395"/>
      <c r="G219" s="395"/>
      <c r="H219" s="388"/>
      <c r="I219" s="389"/>
      <c r="J219" s="389"/>
      <c r="K219" s="389"/>
      <c r="L219" s="460"/>
      <c r="M219" s="389"/>
      <c r="N219" s="389"/>
      <c r="O219" s="389"/>
      <c r="P219" s="389"/>
      <c r="Q219" s="389"/>
      <c r="R219" s="388"/>
      <c r="S219" s="388"/>
      <c r="T219" s="388"/>
      <c r="U219" s="388"/>
      <c r="V219" s="388"/>
      <c r="W219" s="9"/>
      <c r="X219" s="9"/>
      <c r="Y219" s="9"/>
      <c r="Z219" s="9"/>
    </row>
    <row r="220">
      <c r="A220" s="388"/>
      <c r="B220" s="396"/>
      <c r="C220" s="396"/>
      <c r="D220" s="396"/>
      <c r="E220" s="388"/>
      <c r="F220" s="395"/>
      <c r="G220" s="395"/>
      <c r="H220" s="388"/>
      <c r="I220" s="389"/>
      <c r="J220" s="389"/>
      <c r="K220" s="389"/>
      <c r="L220" s="460"/>
      <c r="M220" s="389"/>
      <c r="N220" s="389"/>
      <c r="O220" s="389"/>
      <c r="P220" s="389"/>
      <c r="Q220" s="389"/>
      <c r="R220" s="388"/>
      <c r="S220" s="388"/>
      <c r="T220" s="388"/>
      <c r="U220" s="388"/>
      <c r="V220" s="388"/>
      <c r="W220" s="9"/>
      <c r="X220" s="9"/>
      <c r="Y220" s="9"/>
      <c r="Z220" s="9"/>
    </row>
    <row r="221">
      <c r="A221" s="388"/>
      <c r="B221" s="396"/>
      <c r="C221" s="396"/>
      <c r="D221" s="396"/>
      <c r="E221" s="388"/>
      <c r="F221" s="395"/>
      <c r="G221" s="395"/>
      <c r="H221" s="388"/>
      <c r="I221" s="389"/>
      <c r="J221" s="389"/>
      <c r="K221" s="389"/>
      <c r="L221" s="460"/>
      <c r="M221" s="389"/>
      <c r="N221" s="389"/>
      <c r="O221" s="389"/>
      <c r="P221" s="389"/>
      <c r="Q221" s="389"/>
      <c r="R221" s="388"/>
      <c r="S221" s="388"/>
      <c r="T221" s="388"/>
      <c r="U221" s="388"/>
      <c r="V221" s="388"/>
      <c r="W221" s="9"/>
      <c r="X221" s="9"/>
      <c r="Y221" s="9"/>
      <c r="Z221" s="9"/>
    </row>
    <row r="222">
      <c r="A222" s="388"/>
      <c r="B222" s="396"/>
      <c r="C222" s="396"/>
      <c r="D222" s="396"/>
      <c r="E222" s="388"/>
      <c r="F222" s="395"/>
      <c r="G222" s="395"/>
      <c r="H222" s="388"/>
      <c r="I222" s="389"/>
      <c r="J222" s="389"/>
      <c r="K222" s="389"/>
      <c r="L222" s="460"/>
      <c r="M222" s="389"/>
      <c r="N222" s="389"/>
      <c r="O222" s="389"/>
      <c r="P222" s="389"/>
      <c r="Q222" s="389"/>
      <c r="R222" s="388"/>
      <c r="S222" s="388"/>
      <c r="T222" s="388"/>
      <c r="U222" s="388"/>
      <c r="V222" s="388"/>
      <c r="W222" s="9"/>
      <c r="X222" s="9"/>
      <c r="Y222" s="9"/>
      <c r="Z222" s="9"/>
    </row>
    <row r="223">
      <c r="A223" s="388"/>
      <c r="B223" s="396"/>
      <c r="C223" s="396"/>
      <c r="D223" s="396"/>
      <c r="E223" s="388"/>
      <c r="F223" s="395"/>
      <c r="G223" s="395"/>
      <c r="H223" s="388"/>
      <c r="I223" s="389"/>
      <c r="J223" s="389"/>
      <c r="K223" s="389"/>
      <c r="L223" s="460"/>
      <c r="M223" s="389"/>
      <c r="N223" s="389"/>
      <c r="O223" s="389"/>
      <c r="P223" s="389"/>
      <c r="Q223" s="389"/>
      <c r="R223" s="388"/>
      <c r="S223" s="388"/>
      <c r="T223" s="388"/>
      <c r="U223" s="388"/>
      <c r="V223" s="388"/>
      <c r="W223" s="9"/>
      <c r="X223" s="9"/>
      <c r="Y223" s="9"/>
      <c r="Z223" s="9"/>
    </row>
    <row r="224">
      <c r="A224" s="388"/>
      <c r="B224" s="396"/>
      <c r="C224" s="396"/>
      <c r="D224" s="396"/>
      <c r="E224" s="388"/>
      <c r="F224" s="395"/>
      <c r="G224" s="395"/>
      <c r="H224" s="388"/>
      <c r="I224" s="389"/>
      <c r="J224" s="389"/>
      <c r="K224" s="389"/>
      <c r="L224" s="460"/>
      <c r="M224" s="389"/>
      <c r="N224" s="389"/>
      <c r="O224" s="389"/>
      <c r="P224" s="389"/>
      <c r="Q224" s="389"/>
      <c r="R224" s="388"/>
      <c r="S224" s="388"/>
      <c r="T224" s="388"/>
      <c r="U224" s="388"/>
      <c r="V224" s="388"/>
      <c r="W224" s="9"/>
      <c r="X224" s="9"/>
      <c r="Y224" s="9"/>
      <c r="Z224" s="9"/>
    </row>
    <row r="225">
      <c r="A225" s="388"/>
      <c r="B225" s="396"/>
      <c r="C225" s="396"/>
      <c r="D225" s="396"/>
      <c r="E225" s="388"/>
      <c r="F225" s="395"/>
      <c r="G225" s="395"/>
      <c r="H225" s="388"/>
      <c r="I225" s="389"/>
      <c r="J225" s="389"/>
      <c r="K225" s="389"/>
      <c r="L225" s="460"/>
      <c r="M225" s="389"/>
      <c r="N225" s="389"/>
      <c r="O225" s="389"/>
      <c r="P225" s="389"/>
      <c r="Q225" s="389"/>
      <c r="R225" s="388"/>
      <c r="S225" s="388"/>
      <c r="T225" s="388"/>
      <c r="U225" s="388"/>
      <c r="V225" s="388"/>
      <c r="W225" s="9"/>
      <c r="X225" s="9"/>
      <c r="Y225" s="9"/>
      <c r="Z225" s="9"/>
    </row>
    <row r="226">
      <c r="A226" s="388"/>
      <c r="B226" s="396"/>
      <c r="C226" s="396"/>
      <c r="D226" s="396"/>
      <c r="E226" s="388"/>
      <c r="F226" s="395"/>
      <c r="G226" s="395"/>
      <c r="H226" s="388"/>
      <c r="I226" s="389"/>
      <c r="J226" s="389"/>
      <c r="K226" s="389"/>
      <c r="L226" s="460"/>
      <c r="M226" s="389"/>
      <c r="N226" s="389"/>
      <c r="O226" s="389"/>
      <c r="P226" s="389"/>
      <c r="Q226" s="389"/>
      <c r="R226" s="388"/>
      <c r="S226" s="388"/>
      <c r="T226" s="388"/>
      <c r="U226" s="388"/>
      <c r="V226" s="388"/>
      <c r="W226" s="9"/>
      <c r="X226" s="9"/>
      <c r="Y226" s="9"/>
      <c r="Z226" s="9"/>
    </row>
    <row r="227">
      <c r="A227" s="388"/>
      <c r="B227" s="396"/>
      <c r="C227" s="396"/>
      <c r="D227" s="396"/>
      <c r="E227" s="388"/>
      <c r="F227" s="395"/>
      <c r="G227" s="395"/>
      <c r="H227" s="388"/>
      <c r="I227" s="389"/>
      <c r="J227" s="389"/>
      <c r="K227" s="389"/>
      <c r="L227" s="460"/>
      <c r="M227" s="389"/>
      <c r="N227" s="389"/>
      <c r="O227" s="389"/>
      <c r="P227" s="389"/>
      <c r="Q227" s="389"/>
      <c r="R227" s="388"/>
      <c r="S227" s="388"/>
      <c r="T227" s="388"/>
      <c r="U227" s="388"/>
      <c r="V227" s="388"/>
      <c r="W227" s="9"/>
      <c r="X227" s="9"/>
      <c r="Y227" s="9"/>
      <c r="Z227" s="9"/>
    </row>
    <row r="228">
      <c r="A228" s="388"/>
      <c r="B228" s="396"/>
      <c r="C228" s="396"/>
      <c r="D228" s="396"/>
      <c r="E228" s="388"/>
      <c r="F228" s="395"/>
      <c r="G228" s="395"/>
      <c r="H228" s="388"/>
      <c r="I228" s="389"/>
      <c r="J228" s="389"/>
      <c r="K228" s="389"/>
      <c r="L228" s="460"/>
      <c r="M228" s="389"/>
      <c r="N228" s="389"/>
      <c r="O228" s="389"/>
      <c r="P228" s="389"/>
      <c r="Q228" s="389"/>
      <c r="R228" s="388"/>
      <c r="S228" s="388"/>
      <c r="T228" s="388"/>
      <c r="U228" s="388"/>
      <c r="V228" s="388"/>
      <c r="W228" s="9"/>
      <c r="X228" s="9"/>
      <c r="Y228" s="9"/>
      <c r="Z228" s="9"/>
    </row>
    <row r="229">
      <c r="A229" s="388"/>
      <c r="B229" s="396"/>
      <c r="C229" s="396"/>
      <c r="D229" s="396"/>
      <c r="E229" s="388"/>
      <c r="F229" s="395"/>
      <c r="G229" s="395"/>
      <c r="H229" s="388"/>
      <c r="I229" s="389"/>
      <c r="J229" s="389"/>
      <c r="K229" s="389"/>
      <c r="L229" s="460"/>
      <c r="M229" s="389"/>
      <c r="N229" s="389"/>
      <c r="O229" s="389"/>
      <c r="P229" s="389"/>
      <c r="Q229" s="389"/>
      <c r="R229" s="388"/>
      <c r="S229" s="388"/>
      <c r="T229" s="388"/>
      <c r="U229" s="388"/>
      <c r="V229" s="388"/>
      <c r="W229" s="9"/>
      <c r="X229" s="9"/>
      <c r="Y229" s="9"/>
      <c r="Z229" s="9"/>
    </row>
    <row r="230">
      <c r="A230" s="388"/>
      <c r="B230" s="396"/>
      <c r="C230" s="396"/>
      <c r="D230" s="396"/>
      <c r="E230" s="388"/>
      <c r="F230" s="395"/>
      <c r="G230" s="395"/>
      <c r="H230" s="388"/>
      <c r="I230" s="389"/>
      <c r="J230" s="389"/>
      <c r="K230" s="389"/>
      <c r="L230" s="460"/>
      <c r="M230" s="389"/>
      <c r="N230" s="389"/>
      <c r="O230" s="389"/>
      <c r="P230" s="389"/>
      <c r="Q230" s="389"/>
      <c r="R230" s="388"/>
      <c r="S230" s="388"/>
      <c r="T230" s="388"/>
      <c r="U230" s="388"/>
      <c r="V230" s="388"/>
      <c r="W230" s="9"/>
      <c r="X230" s="9"/>
      <c r="Y230" s="9"/>
      <c r="Z230" s="9"/>
    </row>
    <row r="231">
      <c r="A231" s="388"/>
      <c r="B231" s="396"/>
      <c r="C231" s="396"/>
      <c r="D231" s="396"/>
      <c r="E231" s="388"/>
      <c r="F231" s="395"/>
      <c r="G231" s="395"/>
      <c r="H231" s="388"/>
      <c r="I231" s="389"/>
      <c r="J231" s="389"/>
      <c r="K231" s="389"/>
      <c r="L231" s="460"/>
      <c r="M231" s="389"/>
      <c r="N231" s="389"/>
      <c r="O231" s="389"/>
      <c r="P231" s="389"/>
      <c r="Q231" s="389"/>
      <c r="R231" s="388"/>
      <c r="S231" s="388"/>
      <c r="T231" s="388"/>
      <c r="U231" s="388"/>
      <c r="V231" s="388"/>
      <c r="W231" s="9"/>
      <c r="X231" s="9"/>
      <c r="Y231" s="9"/>
      <c r="Z231" s="9"/>
    </row>
    <row r="232">
      <c r="A232" s="388"/>
      <c r="B232" s="396"/>
      <c r="C232" s="396"/>
      <c r="D232" s="396"/>
      <c r="E232" s="388"/>
      <c r="F232" s="395"/>
      <c r="G232" s="395"/>
      <c r="H232" s="388"/>
      <c r="I232" s="389"/>
      <c r="J232" s="389"/>
      <c r="K232" s="389"/>
      <c r="L232" s="460"/>
      <c r="M232" s="389"/>
      <c r="N232" s="389"/>
      <c r="O232" s="389"/>
      <c r="P232" s="389"/>
      <c r="Q232" s="389"/>
      <c r="R232" s="388"/>
      <c r="S232" s="388"/>
      <c r="T232" s="388"/>
      <c r="U232" s="388"/>
      <c r="V232" s="388"/>
      <c r="W232" s="9"/>
      <c r="X232" s="9"/>
      <c r="Y232" s="9"/>
      <c r="Z232" s="9"/>
    </row>
    <row r="233">
      <c r="A233" s="388"/>
      <c r="B233" s="396"/>
      <c r="C233" s="396"/>
      <c r="D233" s="396"/>
      <c r="E233" s="388"/>
      <c r="F233" s="395"/>
      <c r="G233" s="395"/>
      <c r="H233" s="388"/>
      <c r="I233" s="389"/>
      <c r="J233" s="389"/>
      <c r="K233" s="389"/>
      <c r="L233" s="460"/>
      <c r="M233" s="389"/>
      <c r="N233" s="389"/>
      <c r="O233" s="389"/>
      <c r="P233" s="389"/>
      <c r="Q233" s="389"/>
      <c r="R233" s="388"/>
      <c r="S233" s="388"/>
      <c r="T233" s="388"/>
      <c r="U233" s="388"/>
      <c r="V233" s="388"/>
      <c r="W233" s="9"/>
      <c r="X233" s="9"/>
      <c r="Y233" s="9"/>
      <c r="Z233" s="9"/>
    </row>
    <row r="234">
      <c r="A234" s="388"/>
      <c r="B234" s="396"/>
      <c r="C234" s="396"/>
      <c r="D234" s="396"/>
      <c r="E234" s="388"/>
      <c r="F234" s="395"/>
      <c r="G234" s="395"/>
      <c r="H234" s="388"/>
      <c r="I234" s="389"/>
      <c r="J234" s="389"/>
      <c r="K234" s="389"/>
      <c r="L234" s="460"/>
      <c r="M234" s="389"/>
      <c r="N234" s="389"/>
      <c r="O234" s="389"/>
      <c r="P234" s="389"/>
      <c r="Q234" s="389"/>
      <c r="R234" s="388"/>
      <c r="S234" s="388"/>
      <c r="T234" s="388"/>
      <c r="U234" s="388"/>
      <c r="V234" s="388"/>
      <c r="W234" s="9"/>
      <c r="X234" s="9"/>
      <c r="Y234" s="9"/>
      <c r="Z234" s="9"/>
    </row>
    <row r="235">
      <c r="A235" s="388"/>
      <c r="B235" s="396"/>
      <c r="C235" s="396"/>
      <c r="D235" s="396"/>
      <c r="E235" s="388"/>
      <c r="F235" s="395"/>
      <c r="G235" s="395"/>
      <c r="H235" s="388"/>
      <c r="I235" s="389"/>
      <c r="J235" s="389"/>
      <c r="K235" s="389"/>
      <c r="L235" s="460"/>
      <c r="M235" s="389"/>
      <c r="N235" s="389"/>
      <c r="O235" s="389"/>
      <c r="P235" s="389"/>
      <c r="Q235" s="389"/>
      <c r="R235" s="388"/>
      <c r="S235" s="388"/>
      <c r="T235" s="388"/>
      <c r="U235" s="388"/>
      <c r="V235" s="388"/>
      <c r="W235" s="9"/>
      <c r="X235" s="9"/>
      <c r="Y235" s="9"/>
      <c r="Z235" s="9"/>
    </row>
    <row r="236">
      <c r="A236" s="388"/>
      <c r="B236" s="396"/>
      <c r="C236" s="396"/>
      <c r="D236" s="396"/>
      <c r="E236" s="388"/>
      <c r="F236" s="395"/>
      <c r="G236" s="395"/>
      <c r="H236" s="388"/>
      <c r="I236" s="389"/>
      <c r="J236" s="389"/>
      <c r="K236" s="389"/>
      <c r="L236" s="460"/>
      <c r="M236" s="389"/>
      <c r="N236" s="389"/>
      <c r="O236" s="389"/>
      <c r="P236" s="389"/>
      <c r="Q236" s="389"/>
      <c r="R236" s="388"/>
      <c r="S236" s="388"/>
      <c r="T236" s="388"/>
      <c r="U236" s="388"/>
      <c r="V236" s="388"/>
      <c r="W236" s="9"/>
      <c r="X236" s="9"/>
      <c r="Y236" s="9"/>
      <c r="Z236" s="9"/>
    </row>
    <row r="237">
      <c r="A237" s="388"/>
      <c r="B237" s="396"/>
      <c r="C237" s="396"/>
      <c r="D237" s="396"/>
      <c r="E237" s="388"/>
      <c r="F237" s="395"/>
      <c r="G237" s="395"/>
      <c r="H237" s="388"/>
      <c r="I237" s="389"/>
      <c r="J237" s="389"/>
      <c r="K237" s="389"/>
      <c r="L237" s="460"/>
      <c r="M237" s="389"/>
      <c r="N237" s="389"/>
      <c r="O237" s="389"/>
      <c r="P237" s="389"/>
      <c r="Q237" s="389"/>
      <c r="R237" s="388"/>
      <c r="S237" s="388"/>
      <c r="T237" s="388"/>
      <c r="U237" s="388"/>
      <c r="V237" s="388"/>
      <c r="W237" s="9"/>
      <c r="X237" s="9"/>
      <c r="Y237" s="9"/>
      <c r="Z237" s="9"/>
    </row>
    <row r="238">
      <c r="A238" s="388"/>
      <c r="B238" s="396"/>
      <c r="C238" s="396"/>
      <c r="D238" s="396"/>
      <c r="E238" s="388"/>
      <c r="F238" s="395"/>
      <c r="G238" s="395"/>
      <c r="H238" s="388"/>
      <c r="I238" s="389"/>
      <c r="J238" s="389"/>
      <c r="K238" s="389"/>
      <c r="L238" s="460"/>
      <c r="M238" s="389"/>
      <c r="N238" s="389"/>
      <c r="O238" s="389"/>
      <c r="P238" s="389"/>
      <c r="Q238" s="389"/>
      <c r="R238" s="388"/>
      <c r="S238" s="388"/>
      <c r="T238" s="388"/>
      <c r="U238" s="388"/>
      <c r="V238" s="388"/>
      <c r="W238" s="9"/>
      <c r="X238" s="9"/>
      <c r="Y238" s="9"/>
      <c r="Z238" s="9"/>
    </row>
    <row r="239">
      <c r="A239" s="388"/>
      <c r="B239" s="396"/>
      <c r="C239" s="396"/>
      <c r="D239" s="396"/>
      <c r="E239" s="388"/>
      <c r="F239" s="395"/>
      <c r="G239" s="395"/>
      <c r="H239" s="388"/>
      <c r="I239" s="389"/>
      <c r="J239" s="389"/>
      <c r="K239" s="389"/>
      <c r="L239" s="460"/>
      <c r="M239" s="389"/>
      <c r="N239" s="389"/>
      <c r="O239" s="389"/>
      <c r="P239" s="389"/>
      <c r="Q239" s="389"/>
      <c r="R239" s="388"/>
      <c r="S239" s="388"/>
      <c r="T239" s="388"/>
      <c r="U239" s="388"/>
      <c r="V239" s="388"/>
      <c r="W239" s="9"/>
      <c r="X239" s="9"/>
      <c r="Y239" s="9"/>
      <c r="Z239" s="9"/>
    </row>
    <row r="240">
      <c r="A240" s="388"/>
      <c r="B240" s="396"/>
      <c r="C240" s="396"/>
      <c r="D240" s="396"/>
      <c r="E240" s="388"/>
      <c r="F240" s="395"/>
      <c r="G240" s="395"/>
      <c r="H240" s="388"/>
      <c r="I240" s="389"/>
      <c r="J240" s="389"/>
      <c r="K240" s="389"/>
      <c r="L240" s="460"/>
      <c r="M240" s="389"/>
      <c r="N240" s="389"/>
      <c r="O240" s="389"/>
      <c r="P240" s="389"/>
      <c r="Q240" s="389"/>
      <c r="R240" s="388"/>
      <c r="S240" s="388"/>
      <c r="T240" s="388"/>
      <c r="U240" s="388"/>
      <c r="V240" s="388"/>
      <c r="W240" s="9"/>
      <c r="X240" s="9"/>
      <c r="Y240" s="9"/>
      <c r="Z240" s="9"/>
    </row>
    <row r="241">
      <c r="A241" s="388"/>
      <c r="B241" s="396"/>
      <c r="C241" s="396"/>
      <c r="D241" s="396"/>
      <c r="E241" s="388"/>
      <c r="F241" s="395"/>
      <c r="G241" s="395"/>
      <c r="H241" s="388"/>
      <c r="I241" s="389"/>
      <c r="J241" s="389"/>
      <c r="K241" s="389"/>
      <c r="L241" s="460"/>
      <c r="M241" s="389"/>
      <c r="N241" s="389"/>
      <c r="O241" s="389"/>
      <c r="P241" s="389"/>
      <c r="Q241" s="389"/>
      <c r="R241" s="388"/>
      <c r="S241" s="388"/>
      <c r="T241" s="388"/>
      <c r="U241" s="388"/>
      <c r="V241" s="388"/>
      <c r="W241" s="9"/>
      <c r="X241" s="9"/>
      <c r="Y241" s="9"/>
      <c r="Z241" s="9"/>
    </row>
    <row r="242">
      <c r="A242" s="388"/>
      <c r="B242" s="396"/>
      <c r="C242" s="396"/>
      <c r="D242" s="396"/>
      <c r="E242" s="388"/>
      <c r="F242" s="395"/>
      <c r="G242" s="395"/>
      <c r="H242" s="388"/>
      <c r="I242" s="389"/>
      <c r="J242" s="389"/>
      <c r="K242" s="389"/>
      <c r="L242" s="460"/>
      <c r="M242" s="389"/>
      <c r="N242" s="389"/>
      <c r="O242" s="389"/>
      <c r="P242" s="389"/>
      <c r="Q242" s="389"/>
      <c r="R242" s="388"/>
      <c r="S242" s="388"/>
      <c r="T242" s="388"/>
      <c r="U242" s="388"/>
      <c r="V242" s="388"/>
      <c r="W242" s="9"/>
      <c r="X242" s="9"/>
      <c r="Y242" s="9"/>
      <c r="Z242" s="9"/>
    </row>
    <row r="243">
      <c r="A243" s="388"/>
      <c r="B243" s="396"/>
      <c r="C243" s="396"/>
      <c r="D243" s="396"/>
      <c r="E243" s="388"/>
      <c r="F243" s="395"/>
      <c r="G243" s="395"/>
      <c r="H243" s="388"/>
      <c r="I243" s="389"/>
      <c r="J243" s="389"/>
      <c r="K243" s="389"/>
      <c r="L243" s="460"/>
      <c r="M243" s="389"/>
      <c r="N243" s="389"/>
      <c r="O243" s="389"/>
      <c r="P243" s="389"/>
      <c r="Q243" s="389"/>
      <c r="R243" s="388"/>
      <c r="S243" s="388"/>
      <c r="T243" s="388"/>
      <c r="U243" s="388"/>
      <c r="V243" s="388"/>
      <c r="W243" s="9"/>
      <c r="X243" s="9"/>
      <c r="Y243" s="9"/>
      <c r="Z243" s="9"/>
    </row>
    <row r="244">
      <c r="A244" s="388"/>
      <c r="B244" s="396"/>
      <c r="C244" s="396"/>
      <c r="D244" s="396"/>
      <c r="E244" s="388"/>
      <c r="F244" s="395"/>
      <c r="G244" s="395"/>
      <c r="H244" s="388"/>
      <c r="I244" s="389"/>
      <c r="J244" s="389"/>
      <c r="K244" s="389"/>
      <c r="L244" s="460"/>
      <c r="M244" s="389"/>
      <c r="N244" s="389"/>
      <c r="O244" s="389"/>
      <c r="P244" s="389"/>
      <c r="Q244" s="389"/>
      <c r="R244" s="388"/>
      <c r="S244" s="388"/>
      <c r="T244" s="388"/>
      <c r="U244" s="388"/>
      <c r="V244" s="388"/>
      <c r="W244" s="9"/>
      <c r="X244" s="9"/>
      <c r="Y244" s="9"/>
      <c r="Z244" s="9"/>
    </row>
    <row r="245">
      <c r="A245" s="388"/>
      <c r="B245" s="396"/>
      <c r="C245" s="396"/>
      <c r="D245" s="396"/>
      <c r="E245" s="388"/>
      <c r="F245" s="395"/>
      <c r="G245" s="395"/>
      <c r="H245" s="388"/>
      <c r="I245" s="389"/>
      <c r="J245" s="389"/>
      <c r="K245" s="389"/>
      <c r="L245" s="460"/>
      <c r="M245" s="389"/>
      <c r="N245" s="389"/>
      <c r="O245" s="389"/>
      <c r="P245" s="389"/>
      <c r="Q245" s="389"/>
      <c r="R245" s="388"/>
      <c r="S245" s="388"/>
      <c r="T245" s="388"/>
      <c r="U245" s="388"/>
      <c r="V245" s="388"/>
      <c r="W245" s="9"/>
      <c r="X245" s="9"/>
      <c r="Y245" s="9"/>
      <c r="Z245" s="9"/>
    </row>
    <row r="246">
      <c r="A246" s="388"/>
      <c r="B246" s="396"/>
      <c r="C246" s="396"/>
      <c r="D246" s="396"/>
      <c r="E246" s="388"/>
      <c r="F246" s="395"/>
      <c r="G246" s="395"/>
      <c r="H246" s="388"/>
      <c r="I246" s="389"/>
      <c r="J246" s="389"/>
      <c r="K246" s="389"/>
      <c r="L246" s="460"/>
      <c r="M246" s="389"/>
      <c r="N246" s="389"/>
      <c r="O246" s="389"/>
      <c r="P246" s="389"/>
      <c r="Q246" s="389"/>
      <c r="R246" s="388"/>
      <c r="S246" s="388"/>
      <c r="T246" s="388"/>
      <c r="U246" s="388"/>
      <c r="V246" s="388"/>
      <c r="W246" s="9"/>
      <c r="X246" s="9"/>
      <c r="Y246" s="9"/>
      <c r="Z246" s="9"/>
    </row>
    <row r="247">
      <c r="A247" s="388"/>
      <c r="B247" s="396"/>
      <c r="C247" s="396"/>
      <c r="D247" s="396"/>
      <c r="E247" s="388"/>
      <c r="F247" s="395"/>
      <c r="G247" s="395"/>
      <c r="H247" s="388"/>
      <c r="I247" s="389"/>
      <c r="J247" s="389"/>
      <c r="K247" s="389"/>
      <c r="L247" s="460"/>
      <c r="M247" s="389"/>
      <c r="N247" s="389"/>
      <c r="O247" s="389"/>
      <c r="P247" s="389"/>
      <c r="Q247" s="389"/>
      <c r="R247" s="388"/>
      <c r="S247" s="388"/>
      <c r="T247" s="388"/>
      <c r="U247" s="388"/>
      <c r="V247" s="388"/>
      <c r="W247" s="9"/>
      <c r="X247" s="9"/>
      <c r="Y247" s="9"/>
      <c r="Z247" s="9"/>
    </row>
    <row r="248">
      <c r="A248" s="388"/>
      <c r="B248" s="396"/>
      <c r="C248" s="396"/>
      <c r="D248" s="396"/>
      <c r="E248" s="388"/>
      <c r="F248" s="395"/>
      <c r="G248" s="395"/>
      <c r="H248" s="388"/>
      <c r="I248" s="389"/>
      <c r="J248" s="389"/>
      <c r="K248" s="389"/>
      <c r="L248" s="460"/>
      <c r="M248" s="389"/>
      <c r="N248" s="389"/>
      <c r="O248" s="389"/>
      <c r="P248" s="389"/>
      <c r="Q248" s="389"/>
      <c r="R248" s="388"/>
      <c r="S248" s="388"/>
      <c r="T248" s="388"/>
      <c r="U248" s="388"/>
      <c r="V248" s="388"/>
      <c r="W248" s="9"/>
      <c r="X248" s="9"/>
      <c r="Y248" s="9"/>
      <c r="Z248" s="9"/>
    </row>
    <row r="249">
      <c r="A249" s="388"/>
      <c r="B249" s="396"/>
      <c r="C249" s="396"/>
      <c r="D249" s="396"/>
      <c r="E249" s="388"/>
      <c r="F249" s="395"/>
      <c r="G249" s="395"/>
      <c r="H249" s="388"/>
      <c r="I249" s="389"/>
      <c r="J249" s="389"/>
      <c r="K249" s="389"/>
      <c r="L249" s="460"/>
      <c r="M249" s="389"/>
      <c r="N249" s="389"/>
      <c r="O249" s="389"/>
      <c r="P249" s="389"/>
      <c r="Q249" s="389"/>
      <c r="R249" s="388"/>
      <c r="S249" s="388"/>
      <c r="T249" s="388"/>
      <c r="U249" s="388"/>
      <c r="V249" s="388"/>
      <c r="W249" s="9"/>
      <c r="X249" s="9"/>
      <c r="Y249" s="9"/>
      <c r="Z249" s="9"/>
    </row>
    <row r="250">
      <c r="A250" s="388"/>
      <c r="B250" s="396"/>
      <c r="C250" s="396"/>
      <c r="D250" s="396"/>
      <c r="E250" s="388"/>
      <c r="F250" s="395"/>
      <c r="G250" s="395"/>
      <c r="H250" s="388"/>
      <c r="I250" s="389"/>
      <c r="J250" s="389"/>
      <c r="K250" s="389"/>
      <c r="L250" s="460"/>
      <c r="M250" s="389"/>
      <c r="N250" s="389"/>
      <c r="O250" s="389"/>
      <c r="P250" s="389"/>
      <c r="Q250" s="389"/>
      <c r="R250" s="388"/>
      <c r="S250" s="388"/>
      <c r="T250" s="388"/>
      <c r="U250" s="388"/>
      <c r="V250" s="388"/>
      <c r="W250" s="9"/>
      <c r="X250" s="9"/>
      <c r="Y250" s="9"/>
      <c r="Z250" s="9"/>
    </row>
    <row r="251">
      <c r="A251" s="388"/>
      <c r="B251" s="396"/>
      <c r="C251" s="396"/>
      <c r="D251" s="396"/>
      <c r="E251" s="388"/>
      <c r="F251" s="395"/>
      <c r="G251" s="395"/>
      <c r="H251" s="388"/>
      <c r="I251" s="389"/>
      <c r="J251" s="389"/>
      <c r="K251" s="389"/>
      <c r="L251" s="460"/>
      <c r="M251" s="389"/>
      <c r="N251" s="389"/>
      <c r="O251" s="389"/>
      <c r="P251" s="389"/>
      <c r="Q251" s="389"/>
      <c r="R251" s="388"/>
      <c r="S251" s="388"/>
      <c r="T251" s="388"/>
      <c r="U251" s="388"/>
      <c r="V251" s="388"/>
      <c r="W251" s="9"/>
      <c r="X251" s="9"/>
      <c r="Y251" s="9"/>
      <c r="Z251" s="9"/>
    </row>
    <row r="252">
      <c r="A252" s="388"/>
      <c r="B252" s="396"/>
      <c r="C252" s="396"/>
      <c r="D252" s="396"/>
      <c r="E252" s="388"/>
      <c r="F252" s="395"/>
      <c r="G252" s="395"/>
      <c r="H252" s="388"/>
      <c r="I252" s="389"/>
      <c r="J252" s="389"/>
      <c r="K252" s="389"/>
      <c r="L252" s="460"/>
      <c r="M252" s="389"/>
      <c r="N252" s="389"/>
      <c r="O252" s="389"/>
      <c r="P252" s="389"/>
      <c r="Q252" s="389"/>
      <c r="R252" s="388"/>
      <c r="S252" s="388"/>
      <c r="T252" s="388"/>
      <c r="U252" s="388"/>
      <c r="V252" s="388"/>
      <c r="W252" s="9"/>
      <c r="X252" s="9"/>
      <c r="Y252" s="9"/>
      <c r="Z252" s="9"/>
    </row>
    <row r="253">
      <c r="A253" s="388"/>
      <c r="B253" s="396"/>
      <c r="C253" s="396"/>
      <c r="D253" s="396"/>
      <c r="E253" s="388"/>
      <c r="F253" s="395"/>
      <c r="G253" s="395"/>
      <c r="H253" s="388"/>
      <c r="I253" s="389"/>
      <c r="J253" s="389"/>
      <c r="K253" s="389"/>
      <c r="L253" s="460"/>
      <c r="M253" s="389"/>
      <c r="N253" s="389"/>
      <c r="O253" s="389"/>
      <c r="P253" s="389"/>
      <c r="Q253" s="389"/>
      <c r="R253" s="388"/>
      <c r="S253" s="388"/>
      <c r="T253" s="388"/>
      <c r="U253" s="388"/>
      <c r="V253" s="388"/>
      <c r="W253" s="9"/>
      <c r="X253" s="9"/>
      <c r="Y253" s="9"/>
      <c r="Z253" s="9"/>
    </row>
    <row r="254">
      <c r="A254" s="388"/>
      <c r="B254" s="396"/>
      <c r="C254" s="396"/>
      <c r="D254" s="396"/>
      <c r="E254" s="388"/>
      <c r="F254" s="395"/>
      <c r="G254" s="395"/>
      <c r="H254" s="388"/>
      <c r="I254" s="389"/>
      <c r="J254" s="389"/>
      <c r="K254" s="389"/>
      <c r="L254" s="460"/>
      <c r="M254" s="389"/>
      <c r="N254" s="389"/>
      <c r="O254" s="389"/>
      <c r="P254" s="389"/>
      <c r="Q254" s="389"/>
      <c r="R254" s="388"/>
      <c r="S254" s="388"/>
      <c r="T254" s="388"/>
      <c r="U254" s="388"/>
      <c r="V254" s="388"/>
      <c r="W254" s="9"/>
      <c r="X254" s="9"/>
      <c r="Y254" s="9"/>
      <c r="Z254" s="9"/>
    </row>
    <row r="255">
      <c r="A255" s="388"/>
      <c r="B255" s="396"/>
      <c r="C255" s="396"/>
      <c r="D255" s="396"/>
      <c r="E255" s="388"/>
      <c r="F255" s="395"/>
      <c r="G255" s="395"/>
      <c r="H255" s="388"/>
      <c r="I255" s="389"/>
      <c r="J255" s="389"/>
      <c r="K255" s="389"/>
      <c r="L255" s="460"/>
      <c r="M255" s="389"/>
      <c r="N255" s="389"/>
      <c r="O255" s="389"/>
      <c r="P255" s="389"/>
      <c r="Q255" s="389"/>
      <c r="R255" s="388"/>
      <c r="S255" s="388"/>
      <c r="T255" s="388"/>
      <c r="U255" s="388"/>
      <c r="V255" s="388"/>
      <c r="W255" s="9"/>
      <c r="X255" s="9"/>
      <c r="Y255" s="9"/>
      <c r="Z255" s="9"/>
    </row>
    <row r="256">
      <c r="A256" s="388"/>
      <c r="B256" s="396"/>
      <c r="C256" s="396"/>
      <c r="D256" s="396"/>
      <c r="E256" s="388"/>
      <c r="F256" s="395"/>
      <c r="G256" s="395"/>
      <c r="H256" s="388"/>
      <c r="I256" s="389"/>
      <c r="J256" s="389"/>
      <c r="K256" s="389"/>
      <c r="L256" s="460"/>
      <c r="M256" s="389"/>
      <c r="N256" s="389"/>
      <c r="O256" s="389"/>
      <c r="P256" s="389"/>
      <c r="Q256" s="389"/>
      <c r="R256" s="388"/>
      <c r="S256" s="388"/>
      <c r="T256" s="388"/>
      <c r="U256" s="388"/>
      <c r="V256" s="388"/>
      <c r="W256" s="9"/>
      <c r="X256" s="9"/>
      <c r="Y256" s="9"/>
      <c r="Z256" s="9"/>
    </row>
    <row r="257">
      <c r="A257" s="388"/>
      <c r="B257" s="396"/>
      <c r="C257" s="396"/>
      <c r="D257" s="396"/>
      <c r="E257" s="388"/>
      <c r="F257" s="395"/>
      <c r="G257" s="395"/>
      <c r="H257" s="388"/>
      <c r="I257" s="389"/>
      <c r="J257" s="389"/>
      <c r="K257" s="389"/>
      <c r="L257" s="460"/>
      <c r="M257" s="389"/>
      <c r="N257" s="389"/>
      <c r="O257" s="389"/>
      <c r="P257" s="389"/>
      <c r="Q257" s="389"/>
      <c r="R257" s="388"/>
      <c r="S257" s="388"/>
      <c r="T257" s="388"/>
      <c r="U257" s="388"/>
      <c r="V257" s="388"/>
      <c r="W257" s="9"/>
      <c r="X257" s="9"/>
      <c r="Y257" s="9"/>
      <c r="Z257" s="9"/>
    </row>
    <row r="258">
      <c r="A258" s="388"/>
      <c r="B258" s="396"/>
      <c r="C258" s="396"/>
      <c r="D258" s="396"/>
      <c r="E258" s="388"/>
      <c r="F258" s="395"/>
      <c r="G258" s="395"/>
      <c r="H258" s="388"/>
      <c r="I258" s="389"/>
      <c r="J258" s="389"/>
      <c r="K258" s="389"/>
      <c r="L258" s="460"/>
      <c r="M258" s="389"/>
      <c r="N258" s="389"/>
      <c r="O258" s="389"/>
      <c r="P258" s="389"/>
      <c r="Q258" s="389"/>
      <c r="R258" s="388"/>
      <c r="S258" s="388"/>
      <c r="T258" s="388"/>
      <c r="U258" s="388"/>
      <c r="V258" s="388"/>
      <c r="W258" s="9"/>
      <c r="X258" s="9"/>
      <c r="Y258" s="9"/>
      <c r="Z258" s="9"/>
    </row>
    <row r="259">
      <c r="A259" s="388"/>
      <c r="B259" s="396"/>
      <c r="C259" s="396"/>
      <c r="D259" s="396"/>
      <c r="E259" s="388"/>
      <c r="F259" s="395"/>
      <c r="G259" s="395"/>
      <c r="H259" s="388"/>
      <c r="I259" s="389"/>
      <c r="J259" s="389"/>
      <c r="K259" s="389"/>
      <c r="L259" s="460"/>
      <c r="M259" s="389"/>
      <c r="N259" s="389"/>
      <c r="O259" s="389"/>
      <c r="P259" s="389"/>
      <c r="Q259" s="389"/>
      <c r="R259" s="388"/>
      <c r="S259" s="388"/>
      <c r="T259" s="388"/>
      <c r="U259" s="388"/>
      <c r="V259" s="388"/>
      <c r="W259" s="9"/>
      <c r="X259" s="9"/>
      <c r="Y259" s="9"/>
      <c r="Z259" s="9"/>
    </row>
    <row r="260">
      <c r="A260" s="388"/>
      <c r="B260" s="396"/>
      <c r="C260" s="396"/>
      <c r="D260" s="396"/>
      <c r="E260" s="388"/>
      <c r="F260" s="395"/>
      <c r="G260" s="395"/>
      <c r="H260" s="388"/>
      <c r="I260" s="389"/>
      <c r="J260" s="389"/>
      <c r="K260" s="389"/>
      <c r="L260" s="460"/>
      <c r="M260" s="389"/>
      <c r="N260" s="389"/>
      <c r="O260" s="389"/>
      <c r="P260" s="389"/>
      <c r="Q260" s="389"/>
      <c r="R260" s="388"/>
      <c r="S260" s="388"/>
      <c r="T260" s="388"/>
      <c r="U260" s="388"/>
      <c r="V260" s="388"/>
      <c r="W260" s="9"/>
      <c r="X260" s="9"/>
      <c r="Y260" s="9"/>
      <c r="Z260" s="9"/>
    </row>
    <row r="261">
      <c r="A261" s="388"/>
      <c r="B261" s="396"/>
      <c r="C261" s="396"/>
      <c r="D261" s="396"/>
      <c r="E261" s="388"/>
      <c r="F261" s="395"/>
      <c r="G261" s="395"/>
      <c r="H261" s="388"/>
      <c r="I261" s="389"/>
      <c r="J261" s="389"/>
      <c r="K261" s="389"/>
      <c r="L261" s="460"/>
      <c r="M261" s="389"/>
      <c r="N261" s="389"/>
      <c r="O261" s="389"/>
      <c r="P261" s="389"/>
      <c r="Q261" s="389"/>
      <c r="R261" s="388"/>
      <c r="S261" s="388"/>
      <c r="T261" s="388"/>
      <c r="U261" s="388"/>
      <c r="V261" s="388"/>
      <c r="W261" s="9"/>
      <c r="X261" s="9"/>
      <c r="Y261" s="9"/>
      <c r="Z261" s="9"/>
    </row>
    <row r="262">
      <c r="A262" s="388"/>
      <c r="B262" s="396"/>
      <c r="C262" s="396"/>
      <c r="D262" s="396"/>
      <c r="E262" s="388"/>
      <c r="F262" s="395"/>
      <c r="G262" s="395"/>
      <c r="H262" s="388"/>
      <c r="I262" s="389"/>
      <c r="J262" s="389"/>
      <c r="K262" s="389"/>
      <c r="L262" s="460"/>
      <c r="M262" s="389"/>
      <c r="N262" s="389"/>
      <c r="O262" s="389"/>
      <c r="P262" s="389"/>
      <c r="Q262" s="389"/>
      <c r="R262" s="388"/>
      <c r="S262" s="388"/>
      <c r="T262" s="388"/>
      <c r="U262" s="388"/>
      <c r="V262" s="388"/>
      <c r="W262" s="9"/>
      <c r="X262" s="9"/>
      <c r="Y262" s="9"/>
      <c r="Z262" s="9"/>
    </row>
    <row r="263">
      <c r="A263" s="388"/>
      <c r="B263" s="396"/>
      <c r="C263" s="396"/>
      <c r="D263" s="396"/>
      <c r="E263" s="388"/>
      <c r="F263" s="395"/>
      <c r="G263" s="395"/>
      <c r="H263" s="388"/>
      <c r="I263" s="389"/>
      <c r="J263" s="389"/>
      <c r="K263" s="389"/>
      <c r="L263" s="460"/>
      <c r="M263" s="389"/>
      <c r="N263" s="389"/>
      <c r="O263" s="389"/>
      <c r="P263" s="389"/>
      <c r="Q263" s="389"/>
      <c r="R263" s="388"/>
      <c r="S263" s="388"/>
      <c r="T263" s="388"/>
      <c r="U263" s="388"/>
      <c r="V263" s="388"/>
      <c r="W263" s="9"/>
      <c r="X263" s="9"/>
      <c r="Y263" s="9"/>
      <c r="Z263" s="9"/>
    </row>
    <row r="264">
      <c r="A264" s="388"/>
      <c r="B264" s="396"/>
      <c r="C264" s="396"/>
      <c r="D264" s="396"/>
      <c r="E264" s="388"/>
      <c r="F264" s="395"/>
      <c r="G264" s="395"/>
      <c r="H264" s="388"/>
      <c r="I264" s="389"/>
      <c r="J264" s="389"/>
      <c r="K264" s="389"/>
      <c r="L264" s="460"/>
      <c r="M264" s="389"/>
      <c r="N264" s="389"/>
      <c r="O264" s="389"/>
      <c r="P264" s="389"/>
      <c r="Q264" s="389"/>
      <c r="R264" s="388"/>
      <c r="S264" s="388"/>
      <c r="T264" s="388"/>
      <c r="U264" s="388"/>
      <c r="V264" s="388"/>
      <c r="W264" s="9"/>
      <c r="X264" s="9"/>
      <c r="Y264" s="9"/>
      <c r="Z264" s="9"/>
    </row>
    <row r="265">
      <c r="A265" s="388"/>
      <c r="B265" s="396"/>
      <c r="C265" s="396"/>
      <c r="D265" s="396"/>
      <c r="E265" s="388"/>
      <c r="F265" s="395"/>
      <c r="G265" s="395"/>
      <c r="H265" s="388"/>
      <c r="I265" s="389"/>
      <c r="J265" s="389"/>
      <c r="K265" s="389"/>
      <c r="L265" s="460"/>
      <c r="M265" s="389"/>
      <c r="N265" s="389"/>
      <c r="O265" s="389"/>
      <c r="P265" s="389"/>
      <c r="Q265" s="389"/>
      <c r="R265" s="388"/>
      <c r="S265" s="388"/>
      <c r="T265" s="388"/>
      <c r="U265" s="388"/>
      <c r="V265" s="388"/>
      <c r="W265" s="9"/>
      <c r="X265" s="9"/>
      <c r="Y265" s="9"/>
      <c r="Z265" s="9"/>
    </row>
    <row r="266">
      <c r="A266" s="388"/>
      <c r="B266" s="396"/>
      <c r="C266" s="396"/>
      <c r="D266" s="396"/>
      <c r="E266" s="388"/>
      <c r="F266" s="395"/>
      <c r="G266" s="395"/>
      <c r="H266" s="388"/>
      <c r="I266" s="389"/>
      <c r="J266" s="389"/>
      <c r="K266" s="389"/>
      <c r="L266" s="460"/>
      <c r="M266" s="389"/>
      <c r="N266" s="389"/>
      <c r="O266" s="389"/>
      <c r="P266" s="389"/>
      <c r="Q266" s="389"/>
      <c r="R266" s="388"/>
      <c r="S266" s="388"/>
      <c r="T266" s="388"/>
      <c r="U266" s="388"/>
      <c r="V266" s="388"/>
      <c r="W266" s="9"/>
      <c r="X266" s="9"/>
      <c r="Y266" s="9"/>
      <c r="Z266" s="9"/>
    </row>
    <row r="267">
      <c r="A267" s="388"/>
      <c r="B267" s="396"/>
      <c r="C267" s="396"/>
      <c r="D267" s="396"/>
      <c r="E267" s="388"/>
      <c r="F267" s="395"/>
      <c r="G267" s="395"/>
      <c r="H267" s="388"/>
      <c r="I267" s="389"/>
      <c r="J267" s="389"/>
      <c r="K267" s="389"/>
      <c r="L267" s="460"/>
      <c r="M267" s="389"/>
      <c r="N267" s="389"/>
      <c r="O267" s="389"/>
      <c r="P267" s="389"/>
      <c r="Q267" s="389"/>
      <c r="R267" s="388"/>
      <c r="S267" s="388"/>
      <c r="T267" s="388"/>
      <c r="U267" s="388"/>
      <c r="V267" s="388"/>
      <c r="W267" s="9"/>
      <c r="X267" s="9"/>
      <c r="Y267" s="9"/>
      <c r="Z267" s="9"/>
    </row>
    <row r="268">
      <c r="A268" s="388"/>
      <c r="B268" s="396"/>
      <c r="C268" s="396"/>
      <c r="D268" s="396"/>
      <c r="E268" s="388"/>
      <c r="F268" s="395"/>
      <c r="G268" s="395"/>
      <c r="H268" s="388"/>
      <c r="I268" s="389"/>
      <c r="J268" s="389"/>
      <c r="K268" s="389"/>
      <c r="L268" s="460"/>
      <c r="M268" s="389"/>
      <c r="N268" s="389"/>
      <c r="O268" s="389"/>
      <c r="P268" s="389"/>
      <c r="Q268" s="389"/>
      <c r="R268" s="388"/>
      <c r="S268" s="388"/>
      <c r="T268" s="388"/>
      <c r="U268" s="388"/>
      <c r="V268" s="388"/>
      <c r="W268" s="9"/>
      <c r="X268" s="9"/>
      <c r="Y268" s="9"/>
      <c r="Z268" s="9"/>
    </row>
    <row r="269">
      <c r="A269" s="388"/>
      <c r="B269" s="396"/>
      <c r="C269" s="396"/>
      <c r="D269" s="396"/>
      <c r="E269" s="388"/>
      <c r="F269" s="395"/>
      <c r="G269" s="395"/>
      <c r="H269" s="388"/>
      <c r="I269" s="389"/>
      <c r="J269" s="389"/>
      <c r="K269" s="389"/>
      <c r="L269" s="460"/>
      <c r="M269" s="389"/>
      <c r="N269" s="389"/>
      <c r="O269" s="389"/>
      <c r="P269" s="389"/>
      <c r="Q269" s="389"/>
      <c r="R269" s="388"/>
      <c r="S269" s="388"/>
      <c r="T269" s="388"/>
      <c r="U269" s="388"/>
      <c r="V269" s="388"/>
      <c r="W269" s="9"/>
      <c r="X269" s="9"/>
      <c r="Y269" s="9"/>
      <c r="Z269" s="9"/>
    </row>
    <row r="270">
      <c r="A270" s="388"/>
      <c r="B270" s="396"/>
      <c r="C270" s="396"/>
      <c r="D270" s="396"/>
      <c r="E270" s="388"/>
      <c r="F270" s="395"/>
      <c r="G270" s="395"/>
      <c r="H270" s="388"/>
      <c r="I270" s="389"/>
      <c r="J270" s="389"/>
      <c r="K270" s="389"/>
      <c r="L270" s="460"/>
      <c r="M270" s="389"/>
      <c r="N270" s="389"/>
      <c r="O270" s="389"/>
      <c r="P270" s="389"/>
      <c r="Q270" s="389"/>
      <c r="R270" s="388"/>
      <c r="S270" s="388"/>
      <c r="T270" s="388"/>
      <c r="U270" s="388"/>
      <c r="V270" s="388"/>
      <c r="W270" s="9"/>
      <c r="X270" s="9"/>
      <c r="Y270" s="9"/>
      <c r="Z270" s="9"/>
    </row>
    <row r="271">
      <c r="A271" s="388"/>
      <c r="B271" s="396"/>
      <c r="C271" s="396"/>
      <c r="D271" s="396"/>
      <c r="E271" s="388"/>
      <c r="F271" s="395"/>
      <c r="G271" s="395"/>
      <c r="H271" s="388"/>
      <c r="I271" s="389"/>
      <c r="J271" s="389"/>
      <c r="K271" s="389"/>
      <c r="L271" s="460"/>
      <c r="M271" s="389"/>
      <c r="N271" s="389"/>
      <c r="O271" s="389"/>
      <c r="P271" s="389"/>
      <c r="Q271" s="389"/>
      <c r="R271" s="388"/>
      <c r="S271" s="388"/>
      <c r="T271" s="388"/>
      <c r="U271" s="388"/>
      <c r="V271" s="388"/>
      <c r="W271" s="9"/>
      <c r="X271" s="9"/>
      <c r="Y271" s="9"/>
      <c r="Z271" s="9"/>
    </row>
    <row r="272">
      <c r="A272" s="388"/>
      <c r="B272" s="396"/>
      <c r="C272" s="396"/>
      <c r="D272" s="396"/>
      <c r="E272" s="388"/>
      <c r="F272" s="395"/>
      <c r="G272" s="395"/>
      <c r="H272" s="388"/>
      <c r="I272" s="389"/>
      <c r="J272" s="389"/>
      <c r="K272" s="389"/>
      <c r="L272" s="460"/>
      <c r="M272" s="389"/>
      <c r="N272" s="389"/>
      <c r="O272" s="389"/>
      <c r="P272" s="389"/>
      <c r="Q272" s="389"/>
      <c r="R272" s="388"/>
      <c r="S272" s="388"/>
      <c r="T272" s="388"/>
      <c r="U272" s="388"/>
      <c r="V272" s="388"/>
      <c r="W272" s="9"/>
      <c r="X272" s="9"/>
      <c r="Y272" s="9"/>
      <c r="Z272" s="9"/>
    </row>
    <row r="273">
      <c r="A273" s="388"/>
      <c r="B273" s="396"/>
      <c r="C273" s="396"/>
      <c r="D273" s="396"/>
      <c r="E273" s="388"/>
      <c r="F273" s="395"/>
      <c r="G273" s="395"/>
      <c r="H273" s="388"/>
      <c r="I273" s="389"/>
      <c r="J273" s="389"/>
      <c r="K273" s="389"/>
      <c r="L273" s="460"/>
      <c r="M273" s="389"/>
      <c r="N273" s="389"/>
      <c r="O273" s="389"/>
      <c r="P273" s="389"/>
      <c r="Q273" s="389"/>
      <c r="R273" s="388"/>
      <c r="S273" s="388"/>
      <c r="T273" s="388"/>
      <c r="U273" s="388"/>
      <c r="V273" s="388"/>
      <c r="W273" s="9"/>
      <c r="X273" s="9"/>
      <c r="Y273" s="9"/>
      <c r="Z273" s="9"/>
    </row>
    <row r="274">
      <c r="A274" s="388"/>
      <c r="B274" s="396"/>
      <c r="C274" s="396"/>
      <c r="D274" s="396"/>
      <c r="E274" s="388"/>
      <c r="F274" s="395"/>
      <c r="G274" s="395"/>
      <c r="H274" s="388"/>
      <c r="I274" s="389"/>
      <c r="J274" s="389"/>
      <c r="K274" s="389"/>
      <c r="L274" s="460"/>
      <c r="M274" s="389"/>
      <c r="N274" s="389"/>
      <c r="O274" s="389"/>
      <c r="P274" s="389"/>
      <c r="Q274" s="389"/>
      <c r="R274" s="388"/>
      <c r="S274" s="388"/>
      <c r="T274" s="388"/>
      <c r="U274" s="388"/>
      <c r="V274" s="388"/>
      <c r="W274" s="9"/>
      <c r="X274" s="9"/>
      <c r="Y274" s="9"/>
      <c r="Z274" s="9"/>
    </row>
    <row r="275">
      <c r="A275" s="388"/>
      <c r="B275" s="396"/>
      <c r="C275" s="396"/>
      <c r="D275" s="396"/>
      <c r="E275" s="388"/>
      <c r="F275" s="395"/>
      <c r="G275" s="395"/>
      <c r="H275" s="388"/>
      <c r="I275" s="389"/>
      <c r="J275" s="389"/>
      <c r="K275" s="389"/>
      <c r="L275" s="460"/>
      <c r="M275" s="389"/>
      <c r="N275" s="389"/>
      <c r="O275" s="389"/>
      <c r="P275" s="389"/>
      <c r="Q275" s="389"/>
      <c r="R275" s="388"/>
      <c r="S275" s="388"/>
      <c r="T275" s="388"/>
      <c r="U275" s="388"/>
      <c r="V275" s="388"/>
      <c r="W275" s="9"/>
      <c r="X275" s="9"/>
      <c r="Y275" s="9"/>
      <c r="Z275" s="9"/>
    </row>
    <row r="276">
      <c r="A276" s="388"/>
      <c r="B276" s="396"/>
      <c r="C276" s="396"/>
      <c r="D276" s="396"/>
      <c r="E276" s="388"/>
      <c r="F276" s="395"/>
      <c r="G276" s="395"/>
      <c r="H276" s="388"/>
      <c r="I276" s="389"/>
      <c r="J276" s="389"/>
      <c r="K276" s="389"/>
      <c r="L276" s="460"/>
      <c r="M276" s="389"/>
      <c r="N276" s="389"/>
      <c r="O276" s="389"/>
      <c r="P276" s="389"/>
      <c r="Q276" s="389"/>
      <c r="R276" s="388"/>
      <c r="S276" s="388"/>
      <c r="T276" s="388"/>
      <c r="U276" s="388"/>
      <c r="V276" s="388"/>
      <c r="W276" s="9"/>
      <c r="X276" s="9"/>
      <c r="Y276" s="9"/>
      <c r="Z276" s="9"/>
    </row>
    <row r="277">
      <c r="A277" s="388"/>
      <c r="B277" s="396"/>
      <c r="C277" s="396"/>
      <c r="D277" s="396"/>
      <c r="E277" s="388"/>
      <c r="F277" s="395"/>
      <c r="G277" s="395"/>
      <c r="H277" s="388"/>
      <c r="I277" s="389"/>
      <c r="J277" s="389"/>
      <c r="K277" s="389"/>
      <c r="L277" s="460"/>
      <c r="M277" s="389"/>
      <c r="N277" s="389"/>
      <c r="O277" s="389"/>
      <c r="P277" s="389"/>
      <c r="Q277" s="389"/>
      <c r="R277" s="388"/>
      <c r="S277" s="388"/>
      <c r="T277" s="388"/>
      <c r="U277" s="388"/>
      <c r="V277" s="388"/>
      <c r="W277" s="9"/>
      <c r="X277" s="9"/>
      <c r="Y277" s="9"/>
      <c r="Z277" s="9"/>
    </row>
    <row r="278">
      <c r="A278" s="388"/>
      <c r="B278" s="396"/>
      <c r="C278" s="396"/>
      <c r="D278" s="396"/>
      <c r="E278" s="388"/>
      <c r="F278" s="395"/>
      <c r="G278" s="395"/>
      <c r="H278" s="388"/>
      <c r="I278" s="389"/>
      <c r="J278" s="389"/>
      <c r="K278" s="389"/>
      <c r="L278" s="460"/>
      <c r="M278" s="389"/>
      <c r="N278" s="389"/>
      <c r="O278" s="389"/>
      <c r="P278" s="389"/>
      <c r="Q278" s="389"/>
      <c r="R278" s="388"/>
      <c r="S278" s="388"/>
      <c r="T278" s="388"/>
      <c r="U278" s="388"/>
      <c r="V278" s="388"/>
      <c r="W278" s="9"/>
      <c r="X278" s="9"/>
      <c r="Y278" s="9"/>
      <c r="Z278" s="9"/>
    </row>
    <row r="279">
      <c r="A279" s="388"/>
      <c r="B279" s="396"/>
      <c r="C279" s="396"/>
      <c r="D279" s="396"/>
      <c r="E279" s="388"/>
      <c r="F279" s="395"/>
      <c r="G279" s="395"/>
      <c r="H279" s="388"/>
      <c r="I279" s="389"/>
      <c r="J279" s="389"/>
      <c r="K279" s="389"/>
      <c r="L279" s="460"/>
      <c r="M279" s="389"/>
      <c r="N279" s="389"/>
      <c r="O279" s="389"/>
      <c r="P279" s="389"/>
      <c r="Q279" s="389"/>
      <c r="R279" s="388"/>
      <c r="S279" s="388"/>
      <c r="T279" s="388"/>
      <c r="U279" s="388"/>
      <c r="V279" s="388"/>
      <c r="W279" s="9"/>
      <c r="X279" s="9"/>
      <c r="Y279" s="9"/>
      <c r="Z279" s="9"/>
    </row>
    <row r="280">
      <c r="A280" s="388"/>
      <c r="B280" s="396"/>
      <c r="C280" s="396"/>
      <c r="D280" s="396"/>
      <c r="E280" s="388"/>
      <c r="F280" s="395"/>
      <c r="G280" s="395"/>
      <c r="H280" s="388"/>
      <c r="I280" s="389"/>
      <c r="J280" s="389"/>
      <c r="K280" s="389"/>
      <c r="L280" s="460"/>
      <c r="M280" s="389"/>
      <c r="N280" s="389"/>
      <c r="O280" s="389"/>
      <c r="P280" s="389"/>
      <c r="Q280" s="389"/>
      <c r="R280" s="388"/>
      <c r="S280" s="388"/>
      <c r="T280" s="388"/>
      <c r="U280" s="388"/>
      <c r="V280" s="388"/>
      <c r="W280" s="9"/>
      <c r="X280" s="9"/>
      <c r="Y280" s="9"/>
      <c r="Z280" s="9"/>
    </row>
    <row r="281">
      <c r="A281" s="388"/>
      <c r="B281" s="396"/>
      <c r="C281" s="396"/>
      <c r="D281" s="396"/>
      <c r="E281" s="388"/>
      <c r="F281" s="395"/>
      <c r="G281" s="395"/>
      <c r="H281" s="388"/>
      <c r="I281" s="389"/>
      <c r="J281" s="389"/>
      <c r="K281" s="389"/>
      <c r="L281" s="460"/>
      <c r="M281" s="389"/>
      <c r="N281" s="389"/>
      <c r="O281" s="389"/>
      <c r="P281" s="389"/>
      <c r="Q281" s="389"/>
      <c r="R281" s="388"/>
      <c r="S281" s="388"/>
      <c r="T281" s="388"/>
      <c r="U281" s="388"/>
      <c r="V281" s="388"/>
      <c r="W281" s="9"/>
      <c r="X281" s="9"/>
      <c r="Y281" s="9"/>
      <c r="Z281" s="9"/>
    </row>
    <row r="282">
      <c r="A282" s="388"/>
      <c r="B282" s="396"/>
      <c r="C282" s="396"/>
      <c r="D282" s="396"/>
      <c r="E282" s="388"/>
      <c r="F282" s="395"/>
      <c r="G282" s="395"/>
      <c r="H282" s="388"/>
      <c r="I282" s="389"/>
      <c r="J282" s="389"/>
      <c r="K282" s="389"/>
      <c r="L282" s="460"/>
      <c r="M282" s="389"/>
      <c r="N282" s="389"/>
      <c r="O282" s="389"/>
      <c r="P282" s="389"/>
      <c r="Q282" s="389"/>
      <c r="R282" s="388"/>
      <c r="S282" s="388"/>
      <c r="T282" s="388"/>
      <c r="U282" s="388"/>
      <c r="V282" s="388"/>
      <c r="W282" s="9"/>
      <c r="X282" s="9"/>
      <c r="Y282" s="9"/>
      <c r="Z282" s="9"/>
    </row>
    <row r="283">
      <c r="A283" s="388"/>
      <c r="B283" s="396"/>
      <c r="C283" s="396"/>
      <c r="D283" s="396"/>
      <c r="E283" s="388"/>
      <c r="F283" s="395"/>
      <c r="G283" s="395"/>
      <c r="H283" s="388"/>
      <c r="I283" s="389"/>
      <c r="J283" s="389"/>
      <c r="K283" s="389"/>
      <c r="L283" s="460"/>
      <c r="M283" s="389"/>
      <c r="N283" s="389"/>
      <c r="O283" s="389"/>
      <c r="P283" s="389"/>
      <c r="Q283" s="389"/>
      <c r="R283" s="388"/>
      <c r="S283" s="388"/>
      <c r="T283" s="388"/>
      <c r="U283" s="388"/>
      <c r="V283" s="388"/>
      <c r="W283" s="9"/>
      <c r="X283" s="9"/>
      <c r="Y283" s="9"/>
      <c r="Z283" s="9"/>
    </row>
    <row r="284">
      <c r="A284" s="388"/>
      <c r="B284" s="396"/>
      <c r="C284" s="396"/>
      <c r="D284" s="396"/>
      <c r="E284" s="388"/>
      <c r="F284" s="395"/>
      <c r="G284" s="395"/>
      <c r="H284" s="388"/>
      <c r="I284" s="389"/>
      <c r="J284" s="389"/>
      <c r="K284" s="389"/>
      <c r="L284" s="460"/>
      <c r="M284" s="389"/>
      <c r="N284" s="389"/>
      <c r="O284" s="389"/>
      <c r="P284" s="389"/>
      <c r="Q284" s="389"/>
      <c r="R284" s="388"/>
      <c r="S284" s="388"/>
      <c r="T284" s="388"/>
      <c r="U284" s="388"/>
      <c r="V284" s="388"/>
      <c r="W284" s="9"/>
      <c r="X284" s="9"/>
      <c r="Y284" s="9"/>
      <c r="Z284" s="9"/>
    </row>
    <row r="285">
      <c r="A285" s="388"/>
      <c r="B285" s="396"/>
      <c r="C285" s="396"/>
      <c r="D285" s="396"/>
      <c r="E285" s="388"/>
      <c r="F285" s="395"/>
      <c r="G285" s="395"/>
      <c r="H285" s="388"/>
      <c r="I285" s="389"/>
      <c r="J285" s="389"/>
      <c r="K285" s="389"/>
      <c r="L285" s="460"/>
      <c r="M285" s="389"/>
      <c r="N285" s="389"/>
      <c r="O285" s="389"/>
      <c r="P285" s="389"/>
      <c r="Q285" s="389"/>
      <c r="R285" s="388"/>
      <c r="S285" s="388"/>
      <c r="T285" s="388"/>
      <c r="U285" s="388"/>
      <c r="V285" s="388"/>
      <c r="W285" s="9"/>
      <c r="X285" s="9"/>
      <c r="Y285" s="9"/>
      <c r="Z285" s="9"/>
    </row>
    <row r="286">
      <c r="A286" s="388"/>
      <c r="B286" s="396"/>
      <c r="C286" s="396"/>
      <c r="D286" s="396"/>
      <c r="E286" s="388"/>
      <c r="F286" s="395"/>
      <c r="G286" s="395"/>
      <c r="H286" s="388"/>
      <c r="I286" s="389"/>
      <c r="J286" s="389"/>
      <c r="K286" s="389"/>
      <c r="L286" s="460"/>
      <c r="M286" s="389"/>
      <c r="N286" s="389"/>
      <c r="O286" s="389"/>
      <c r="P286" s="389"/>
      <c r="Q286" s="389"/>
      <c r="R286" s="388"/>
      <c r="S286" s="388"/>
      <c r="T286" s="388"/>
      <c r="U286" s="388"/>
      <c r="V286" s="388"/>
      <c r="W286" s="9"/>
      <c r="X286" s="9"/>
      <c r="Y286" s="9"/>
      <c r="Z286" s="9"/>
    </row>
    <row r="287">
      <c r="A287" s="388"/>
      <c r="B287" s="396"/>
      <c r="C287" s="396"/>
      <c r="D287" s="396"/>
      <c r="E287" s="388"/>
      <c r="F287" s="395"/>
      <c r="G287" s="395"/>
      <c r="H287" s="388"/>
      <c r="I287" s="389"/>
      <c r="J287" s="389"/>
      <c r="K287" s="389"/>
      <c r="L287" s="460"/>
      <c r="M287" s="389"/>
      <c r="N287" s="389"/>
      <c r="O287" s="389"/>
      <c r="P287" s="389"/>
      <c r="Q287" s="389"/>
      <c r="R287" s="388"/>
      <c r="S287" s="388"/>
      <c r="T287" s="388"/>
      <c r="U287" s="388"/>
      <c r="V287" s="388"/>
      <c r="W287" s="9"/>
      <c r="X287" s="9"/>
      <c r="Y287" s="9"/>
      <c r="Z287" s="9"/>
    </row>
    <row r="288">
      <c r="A288" s="388"/>
      <c r="B288" s="396"/>
      <c r="C288" s="396"/>
      <c r="D288" s="396"/>
      <c r="E288" s="388"/>
      <c r="F288" s="395"/>
      <c r="G288" s="395"/>
      <c r="H288" s="388"/>
      <c r="I288" s="389"/>
      <c r="J288" s="389"/>
      <c r="K288" s="389"/>
      <c r="L288" s="460"/>
      <c r="M288" s="389"/>
      <c r="N288" s="389"/>
      <c r="O288" s="389"/>
      <c r="P288" s="389"/>
      <c r="Q288" s="389"/>
      <c r="R288" s="388"/>
      <c r="S288" s="388"/>
      <c r="T288" s="388"/>
      <c r="U288" s="388"/>
      <c r="V288" s="388"/>
      <c r="W288" s="9"/>
      <c r="X288" s="9"/>
      <c r="Y288" s="9"/>
      <c r="Z288" s="9"/>
    </row>
    <row r="289">
      <c r="A289" s="388"/>
      <c r="B289" s="396"/>
      <c r="C289" s="396"/>
      <c r="D289" s="396"/>
      <c r="E289" s="388"/>
      <c r="F289" s="395"/>
      <c r="G289" s="395"/>
      <c r="H289" s="388"/>
      <c r="I289" s="389"/>
      <c r="J289" s="389"/>
      <c r="K289" s="389"/>
      <c r="L289" s="460"/>
      <c r="M289" s="389"/>
      <c r="N289" s="389"/>
      <c r="O289" s="389"/>
      <c r="P289" s="389"/>
      <c r="Q289" s="389"/>
      <c r="R289" s="388"/>
      <c r="S289" s="388"/>
      <c r="T289" s="388"/>
      <c r="U289" s="388"/>
      <c r="V289" s="388"/>
      <c r="W289" s="9"/>
      <c r="X289" s="9"/>
      <c r="Y289" s="9"/>
      <c r="Z289" s="9"/>
    </row>
    <row r="290">
      <c r="A290" s="388"/>
      <c r="B290" s="396"/>
      <c r="C290" s="396"/>
      <c r="D290" s="396"/>
      <c r="E290" s="388"/>
      <c r="F290" s="395"/>
      <c r="G290" s="395"/>
      <c r="H290" s="388"/>
      <c r="I290" s="389"/>
      <c r="J290" s="389"/>
      <c r="K290" s="389"/>
      <c r="L290" s="460"/>
      <c r="M290" s="389"/>
      <c r="N290" s="389"/>
      <c r="O290" s="389"/>
      <c r="P290" s="389"/>
      <c r="Q290" s="389"/>
      <c r="R290" s="388"/>
      <c r="S290" s="388"/>
      <c r="T290" s="388"/>
      <c r="U290" s="388"/>
      <c r="V290" s="388"/>
      <c r="W290" s="9"/>
      <c r="X290" s="9"/>
      <c r="Y290" s="9"/>
      <c r="Z290" s="9"/>
    </row>
    <row r="291">
      <c r="A291" s="388"/>
      <c r="B291" s="396"/>
      <c r="C291" s="396"/>
      <c r="D291" s="396"/>
      <c r="E291" s="388"/>
      <c r="F291" s="395"/>
      <c r="G291" s="395"/>
      <c r="H291" s="388"/>
      <c r="I291" s="389"/>
      <c r="J291" s="389"/>
      <c r="K291" s="389"/>
      <c r="L291" s="460"/>
      <c r="M291" s="389"/>
      <c r="N291" s="389"/>
      <c r="O291" s="389"/>
      <c r="P291" s="389"/>
      <c r="Q291" s="389"/>
      <c r="R291" s="388"/>
      <c r="S291" s="388"/>
      <c r="T291" s="388"/>
      <c r="U291" s="388"/>
      <c r="V291" s="388"/>
      <c r="W291" s="9"/>
      <c r="X291" s="9"/>
      <c r="Y291" s="9"/>
      <c r="Z291" s="9"/>
    </row>
    <row r="292">
      <c r="A292" s="388"/>
      <c r="B292" s="396"/>
      <c r="C292" s="396"/>
      <c r="D292" s="396"/>
      <c r="E292" s="388"/>
      <c r="F292" s="395"/>
      <c r="G292" s="395"/>
      <c r="H292" s="388"/>
      <c r="I292" s="389"/>
      <c r="J292" s="389"/>
      <c r="K292" s="389"/>
      <c r="L292" s="460"/>
      <c r="M292" s="389"/>
      <c r="N292" s="389"/>
      <c r="O292" s="389"/>
      <c r="P292" s="389"/>
      <c r="Q292" s="389"/>
      <c r="R292" s="388"/>
      <c r="S292" s="388"/>
      <c r="T292" s="388"/>
      <c r="U292" s="388"/>
      <c r="V292" s="388"/>
      <c r="W292" s="9"/>
      <c r="X292" s="9"/>
      <c r="Y292" s="9"/>
      <c r="Z292" s="9"/>
    </row>
    <row r="293">
      <c r="A293" s="388"/>
      <c r="B293" s="396"/>
      <c r="C293" s="396"/>
      <c r="D293" s="396"/>
      <c r="E293" s="388"/>
      <c r="F293" s="395"/>
      <c r="G293" s="395"/>
      <c r="H293" s="388"/>
      <c r="I293" s="389"/>
      <c r="J293" s="389"/>
      <c r="K293" s="389"/>
      <c r="L293" s="460"/>
      <c r="M293" s="389"/>
      <c r="N293" s="389"/>
      <c r="O293" s="389"/>
      <c r="P293" s="389"/>
      <c r="Q293" s="389"/>
      <c r="R293" s="388"/>
      <c r="S293" s="388"/>
      <c r="T293" s="388"/>
      <c r="U293" s="388"/>
      <c r="V293" s="388"/>
      <c r="W293" s="9"/>
      <c r="X293" s="9"/>
      <c r="Y293" s="9"/>
      <c r="Z293" s="9"/>
    </row>
    <row r="294">
      <c r="A294" s="388"/>
      <c r="B294" s="396"/>
      <c r="C294" s="396"/>
      <c r="D294" s="396"/>
      <c r="E294" s="388"/>
      <c r="F294" s="395"/>
      <c r="G294" s="395"/>
      <c r="H294" s="388"/>
      <c r="I294" s="389"/>
      <c r="J294" s="389"/>
      <c r="K294" s="389"/>
      <c r="L294" s="460"/>
      <c r="M294" s="389"/>
      <c r="N294" s="389"/>
      <c r="O294" s="389"/>
      <c r="P294" s="389"/>
      <c r="Q294" s="389"/>
      <c r="R294" s="388"/>
      <c r="S294" s="388"/>
      <c r="T294" s="388"/>
      <c r="U294" s="388"/>
      <c r="V294" s="388"/>
      <c r="W294" s="9"/>
      <c r="X294" s="9"/>
      <c r="Y294" s="9"/>
      <c r="Z294" s="9"/>
    </row>
    <row r="295">
      <c r="A295" s="388"/>
      <c r="B295" s="396"/>
      <c r="C295" s="396"/>
      <c r="D295" s="396"/>
      <c r="E295" s="388"/>
      <c r="F295" s="395"/>
      <c r="G295" s="395"/>
      <c r="H295" s="388"/>
      <c r="I295" s="389"/>
      <c r="J295" s="389"/>
      <c r="K295" s="389"/>
      <c r="L295" s="460"/>
      <c r="M295" s="389"/>
      <c r="N295" s="389"/>
      <c r="O295" s="389"/>
      <c r="P295" s="389"/>
      <c r="Q295" s="389"/>
      <c r="R295" s="388"/>
      <c r="S295" s="388"/>
      <c r="T295" s="388"/>
      <c r="U295" s="388"/>
      <c r="V295" s="388"/>
      <c r="W295" s="9"/>
      <c r="X295" s="9"/>
      <c r="Y295" s="9"/>
      <c r="Z295" s="9"/>
    </row>
    <row r="296">
      <c r="A296" s="388"/>
      <c r="B296" s="396"/>
      <c r="C296" s="396"/>
      <c r="D296" s="396"/>
      <c r="E296" s="388"/>
      <c r="F296" s="395"/>
      <c r="G296" s="395"/>
      <c r="H296" s="388"/>
      <c r="I296" s="389"/>
      <c r="J296" s="389"/>
      <c r="K296" s="389"/>
      <c r="L296" s="460"/>
      <c r="M296" s="389"/>
      <c r="N296" s="389"/>
      <c r="O296" s="389"/>
      <c r="P296" s="389"/>
      <c r="Q296" s="389"/>
      <c r="R296" s="388"/>
      <c r="S296" s="388"/>
      <c r="T296" s="388"/>
      <c r="U296" s="388"/>
      <c r="V296" s="388"/>
      <c r="W296" s="9"/>
      <c r="X296" s="9"/>
      <c r="Y296" s="9"/>
      <c r="Z296" s="9"/>
    </row>
    <row r="297">
      <c r="A297" s="388"/>
      <c r="B297" s="396"/>
      <c r="C297" s="396"/>
      <c r="D297" s="396"/>
      <c r="E297" s="388"/>
      <c r="F297" s="395"/>
      <c r="G297" s="395"/>
      <c r="H297" s="388"/>
      <c r="I297" s="389"/>
      <c r="J297" s="389"/>
      <c r="K297" s="389"/>
      <c r="L297" s="460"/>
      <c r="M297" s="389"/>
      <c r="N297" s="389"/>
      <c r="O297" s="389"/>
      <c r="P297" s="389"/>
      <c r="Q297" s="389"/>
      <c r="R297" s="388"/>
      <c r="S297" s="388"/>
      <c r="T297" s="388"/>
      <c r="U297" s="388"/>
      <c r="V297" s="388"/>
      <c r="W297" s="9"/>
      <c r="X297" s="9"/>
      <c r="Y297" s="9"/>
      <c r="Z297" s="9"/>
    </row>
    <row r="298">
      <c r="A298" s="388"/>
      <c r="B298" s="396"/>
      <c r="C298" s="396"/>
      <c r="D298" s="396"/>
      <c r="E298" s="388"/>
      <c r="F298" s="395"/>
      <c r="G298" s="395"/>
      <c r="H298" s="388"/>
      <c r="I298" s="389"/>
      <c r="J298" s="389"/>
      <c r="K298" s="389"/>
      <c r="L298" s="460"/>
      <c r="M298" s="389"/>
      <c r="N298" s="389"/>
      <c r="O298" s="389"/>
      <c r="P298" s="389"/>
      <c r="Q298" s="389"/>
      <c r="R298" s="388"/>
      <c r="S298" s="388"/>
      <c r="T298" s="388"/>
      <c r="U298" s="388"/>
      <c r="V298" s="388"/>
      <c r="W298" s="9"/>
      <c r="X298" s="9"/>
      <c r="Y298" s="9"/>
      <c r="Z298" s="9"/>
    </row>
    <row r="299">
      <c r="A299" s="388"/>
      <c r="B299" s="396"/>
      <c r="C299" s="396"/>
      <c r="D299" s="396"/>
      <c r="E299" s="388"/>
      <c r="F299" s="395"/>
      <c r="G299" s="395"/>
      <c r="H299" s="388"/>
      <c r="I299" s="389"/>
      <c r="J299" s="389"/>
      <c r="K299" s="389"/>
      <c r="L299" s="460"/>
      <c r="M299" s="389"/>
      <c r="N299" s="389"/>
      <c r="O299" s="389"/>
      <c r="P299" s="389"/>
      <c r="Q299" s="389"/>
      <c r="R299" s="388"/>
      <c r="S299" s="388"/>
      <c r="T299" s="388"/>
      <c r="U299" s="388"/>
      <c r="V299" s="388"/>
      <c r="W299" s="9"/>
      <c r="X299" s="9"/>
      <c r="Y299" s="9"/>
      <c r="Z299" s="9"/>
    </row>
    <row r="300">
      <c r="A300" s="388"/>
      <c r="B300" s="396"/>
      <c r="C300" s="396"/>
      <c r="D300" s="396"/>
      <c r="E300" s="388"/>
      <c r="F300" s="395"/>
      <c r="G300" s="395"/>
      <c r="H300" s="388"/>
      <c r="I300" s="389"/>
      <c r="J300" s="389"/>
      <c r="K300" s="389"/>
      <c r="L300" s="460"/>
      <c r="M300" s="389"/>
      <c r="N300" s="389"/>
      <c r="O300" s="389"/>
      <c r="P300" s="389"/>
      <c r="Q300" s="389"/>
      <c r="R300" s="388"/>
      <c r="S300" s="388"/>
      <c r="T300" s="388"/>
      <c r="U300" s="388"/>
      <c r="V300" s="388"/>
      <c r="W300" s="9"/>
      <c r="X300" s="9"/>
      <c r="Y300" s="9"/>
      <c r="Z300" s="9"/>
    </row>
    <row r="301">
      <c r="A301" s="388"/>
      <c r="B301" s="396"/>
      <c r="C301" s="396"/>
      <c r="D301" s="396"/>
      <c r="E301" s="388"/>
      <c r="F301" s="395"/>
      <c r="G301" s="395"/>
      <c r="H301" s="388"/>
      <c r="I301" s="389"/>
      <c r="J301" s="389"/>
      <c r="K301" s="389"/>
      <c r="L301" s="460"/>
      <c r="M301" s="389"/>
      <c r="N301" s="389"/>
      <c r="O301" s="389"/>
      <c r="P301" s="389"/>
      <c r="Q301" s="389"/>
      <c r="R301" s="388"/>
      <c r="S301" s="388"/>
      <c r="T301" s="388"/>
      <c r="U301" s="388"/>
      <c r="V301" s="388"/>
      <c r="W301" s="9"/>
      <c r="X301" s="9"/>
      <c r="Y301" s="9"/>
      <c r="Z301" s="9"/>
    </row>
    <row r="302">
      <c r="A302" s="388"/>
      <c r="B302" s="396"/>
      <c r="C302" s="396"/>
      <c r="D302" s="396"/>
      <c r="E302" s="388"/>
      <c r="F302" s="395"/>
      <c r="G302" s="395"/>
      <c r="H302" s="388"/>
      <c r="I302" s="389"/>
      <c r="J302" s="389"/>
      <c r="K302" s="389"/>
      <c r="L302" s="460"/>
      <c r="M302" s="389"/>
      <c r="N302" s="389"/>
      <c r="O302" s="389"/>
      <c r="P302" s="389"/>
      <c r="Q302" s="389"/>
      <c r="R302" s="388"/>
      <c r="S302" s="388"/>
      <c r="T302" s="388"/>
      <c r="U302" s="388"/>
      <c r="V302" s="388"/>
      <c r="W302" s="9"/>
      <c r="X302" s="9"/>
      <c r="Y302" s="9"/>
      <c r="Z302" s="9"/>
    </row>
    <row r="303">
      <c r="A303" s="388"/>
      <c r="B303" s="396"/>
      <c r="C303" s="396"/>
      <c r="D303" s="396"/>
      <c r="E303" s="388"/>
      <c r="F303" s="395"/>
      <c r="G303" s="395"/>
      <c r="H303" s="388"/>
      <c r="I303" s="389"/>
      <c r="J303" s="389"/>
      <c r="K303" s="389"/>
      <c r="L303" s="460"/>
      <c r="M303" s="389"/>
      <c r="N303" s="389"/>
      <c r="O303" s="389"/>
      <c r="P303" s="389"/>
      <c r="Q303" s="389"/>
      <c r="R303" s="388"/>
      <c r="S303" s="388"/>
      <c r="T303" s="388"/>
      <c r="U303" s="388"/>
      <c r="V303" s="388"/>
      <c r="W303" s="9"/>
      <c r="X303" s="9"/>
      <c r="Y303" s="9"/>
      <c r="Z303" s="9"/>
    </row>
    <row r="304">
      <c r="A304" s="388"/>
      <c r="B304" s="396"/>
      <c r="C304" s="396"/>
      <c r="D304" s="396"/>
      <c r="E304" s="388"/>
      <c r="F304" s="395"/>
      <c r="G304" s="395"/>
      <c r="H304" s="388"/>
      <c r="I304" s="389"/>
      <c r="J304" s="389"/>
      <c r="K304" s="389"/>
      <c r="L304" s="460"/>
      <c r="M304" s="389"/>
      <c r="N304" s="389"/>
      <c r="O304" s="389"/>
      <c r="P304" s="389"/>
      <c r="Q304" s="389"/>
      <c r="R304" s="388"/>
      <c r="S304" s="388"/>
      <c r="T304" s="388"/>
      <c r="U304" s="388"/>
      <c r="V304" s="388"/>
      <c r="W304" s="9"/>
      <c r="X304" s="9"/>
      <c r="Y304" s="9"/>
      <c r="Z304" s="9"/>
    </row>
    <row r="305">
      <c r="A305" s="388"/>
      <c r="B305" s="396"/>
      <c r="C305" s="396"/>
      <c r="D305" s="396"/>
      <c r="E305" s="388"/>
      <c r="F305" s="395"/>
      <c r="G305" s="395"/>
      <c r="H305" s="388"/>
      <c r="I305" s="389"/>
      <c r="J305" s="389"/>
      <c r="K305" s="389"/>
      <c r="L305" s="460"/>
      <c r="M305" s="389"/>
      <c r="N305" s="389"/>
      <c r="O305" s="389"/>
      <c r="P305" s="389"/>
      <c r="Q305" s="389"/>
      <c r="R305" s="388"/>
      <c r="S305" s="388"/>
      <c r="T305" s="388"/>
      <c r="U305" s="388"/>
      <c r="V305" s="388"/>
      <c r="W305" s="9"/>
      <c r="X305" s="9"/>
      <c r="Y305" s="9"/>
      <c r="Z305" s="9"/>
    </row>
    <row r="306">
      <c r="A306" s="388"/>
      <c r="B306" s="396"/>
      <c r="C306" s="396"/>
      <c r="D306" s="396"/>
      <c r="E306" s="388"/>
      <c r="F306" s="395"/>
      <c r="G306" s="395"/>
      <c r="H306" s="388"/>
      <c r="I306" s="389"/>
      <c r="J306" s="389"/>
      <c r="K306" s="389"/>
      <c r="L306" s="460"/>
      <c r="M306" s="389"/>
      <c r="N306" s="389"/>
      <c r="O306" s="389"/>
      <c r="P306" s="389"/>
      <c r="Q306" s="389"/>
      <c r="R306" s="388"/>
      <c r="S306" s="388"/>
      <c r="T306" s="388"/>
      <c r="U306" s="388"/>
      <c r="V306" s="388"/>
      <c r="W306" s="9"/>
      <c r="X306" s="9"/>
      <c r="Y306" s="9"/>
      <c r="Z306" s="9"/>
    </row>
    <row r="307">
      <c r="A307" s="388"/>
      <c r="B307" s="396"/>
      <c r="C307" s="396"/>
      <c r="D307" s="396"/>
      <c r="E307" s="388"/>
      <c r="F307" s="395"/>
      <c r="G307" s="395"/>
      <c r="H307" s="388"/>
      <c r="I307" s="389"/>
      <c r="J307" s="389"/>
      <c r="K307" s="389"/>
      <c r="L307" s="460"/>
      <c r="M307" s="389"/>
      <c r="N307" s="389"/>
      <c r="O307" s="389"/>
      <c r="P307" s="389"/>
      <c r="Q307" s="389"/>
      <c r="R307" s="388"/>
      <c r="S307" s="388"/>
      <c r="T307" s="388"/>
      <c r="U307" s="388"/>
      <c r="V307" s="388"/>
      <c r="W307" s="9"/>
      <c r="X307" s="9"/>
      <c r="Y307" s="9"/>
      <c r="Z307" s="9"/>
    </row>
    <row r="308">
      <c r="A308" s="388"/>
      <c r="B308" s="396"/>
      <c r="C308" s="396"/>
      <c r="D308" s="396"/>
      <c r="E308" s="388"/>
      <c r="F308" s="395"/>
      <c r="G308" s="395"/>
      <c r="H308" s="388"/>
      <c r="I308" s="389"/>
      <c r="J308" s="389"/>
      <c r="K308" s="389"/>
      <c r="L308" s="460"/>
      <c r="M308" s="389"/>
      <c r="N308" s="389"/>
      <c r="O308" s="389"/>
      <c r="P308" s="389"/>
      <c r="Q308" s="389"/>
      <c r="R308" s="388"/>
      <c r="S308" s="388"/>
      <c r="T308" s="388"/>
      <c r="U308" s="388"/>
      <c r="V308" s="388"/>
      <c r="W308" s="9"/>
      <c r="X308" s="9"/>
      <c r="Y308" s="9"/>
      <c r="Z308" s="9"/>
    </row>
    <row r="309">
      <c r="A309" s="388"/>
      <c r="B309" s="396"/>
      <c r="C309" s="396"/>
      <c r="D309" s="396"/>
      <c r="E309" s="388"/>
      <c r="F309" s="395"/>
      <c r="G309" s="395"/>
      <c r="H309" s="388"/>
      <c r="I309" s="389"/>
      <c r="J309" s="389"/>
      <c r="K309" s="389"/>
      <c r="L309" s="460"/>
      <c r="M309" s="389"/>
      <c r="N309" s="389"/>
      <c r="O309" s="389"/>
      <c r="P309" s="389"/>
      <c r="Q309" s="389"/>
      <c r="R309" s="388"/>
      <c r="S309" s="388"/>
      <c r="T309" s="388"/>
      <c r="U309" s="388"/>
      <c r="V309" s="388"/>
      <c r="W309" s="9"/>
      <c r="X309" s="9"/>
      <c r="Y309" s="9"/>
      <c r="Z309" s="9"/>
    </row>
    <row r="310">
      <c r="A310" s="388"/>
      <c r="B310" s="396"/>
      <c r="C310" s="396"/>
      <c r="D310" s="396"/>
      <c r="E310" s="388"/>
      <c r="F310" s="395"/>
      <c r="G310" s="395"/>
      <c r="H310" s="388"/>
      <c r="I310" s="389"/>
      <c r="J310" s="389"/>
      <c r="K310" s="389"/>
      <c r="L310" s="460"/>
      <c r="M310" s="389"/>
      <c r="N310" s="389"/>
      <c r="O310" s="389"/>
      <c r="P310" s="389"/>
      <c r="Q310" s="389"/>
      <c r="R310" s="388"/>
      <c r="S310" s="388"/>
      <c r="T310" s="388"/>
      <c r="U310" s="388"/>
      <c r="V310" s="388"/>
      <c r="W310" s="9"/>
      <c r="X310" s="9"/>
      <c r="Y310" s="9"/>
      <c r="Z310" s="9"/>
    </row>
    <row r="311">
      <c r="A311" s="388"/>
      <c r="B311" s="396"/>
      <c r="C311" s="396"/>
      <c r="D311" s="396"/>
      <c r="E311" s="388"/>
      <c r="F311" s="395"/>
      <c r="G311" s="395"/>
      <c r="H311" s="388"/>
      <c r="I311" s="389"/>
      <c r="J311" s="389"/>
      <c r="K311" s="389"/>
      <c r="L311" s="460"/>
      <c r="M311" s="389"/>
      <c r="N311" s="389"/>
      <c r="O311" s="389"/>
      <c r="P311" s="389"/>
      <c r="Q311" s="389"/>
      <c r="R311" s="388"/>
      <c r="S311" s="388"/>
      <c r="T311" s="388"/>
      <c r="U311" s="388"/>
      <c r="V311" s="388"/>
      <c r="W311" s="9"/>
      <c r="X311" s="9"/>
      <c r="Y311" s="9"/>
      <c r="Z311" s="9"/>
    </row>
    <row r="312">
      <c r="A312" s="388"/>
      <c r="B312" s="396"/>
      <c r="C312" s="396"/>
      <c r="D312" s="396"/>
      <c r="E312" s="388"/>
      <c r="F312" s="395"/>
      <c r="G312" s="395"/>
      <c r="H312" s="388"/>
      <c r="I312" s="389"/>
      <c r="J312" s="389"/>
      <c r="K312" s="389"/>
      <c r="L312" s="460"/>
      <c r="M312" s="389"/>
      <c r="N312" s="389"/>
      <c r="O312" s="389"/>
      <c r="P312" s="389"/>
      <c r="Q312" s="389"/>
      <c r="R312" s="388"/>
      <c r="S312" s="388"/>
      <c r="T312" s="388"/>
      <c r="U312" s="388"/>
      <c r="V312" s="388"/>
      <c r="W312" s="9"/>
      <c r="X312" s="9"/>
      <c r="Y312" s="9"/>
      <c r="Z312" s="9"/>
    </row>
    <row r="313">
      <c r="A313" s="388"/>
      <c r="B313" s="396"/>
      <c r="C313" s="396"/>
      <c r="D313" s="396"/>
      <c r="E313" s="388"/>
      <c r="F313" s="395"/>
      <c r="G313" s="395"/>
      <c r="H313" s="388"/>
      <c r="I313" s="389"/>
      <c r="J313" s="389"/>
      <c r="K313" s="389"/>
      <c r="L313" s="460"/>
      <c r="M313" s="389"/>
      <c r="N313" s="389"/>
      <c r="O313" s="389"/>
      <c r="P313" s="389"/>
      <c r="Q313" s="389"/>
      <c r="R313" s="388"/>
      <c r="S313" s="388"/>
      <c r="T313" s="388"/>
      <c r="U313" s="388"/>
      <c r="V313" s="388"/>
      <c r="W313" s="9"/>
      <c r="X313" s="9"/>
      <c r="Y313" s="9"/>
      <c r="Z313" s="9"/>
    </row>
    <row r="314">
      <c r="A314" s="388"/>
      <c r="B314" s="396"/>
      <c r="C314" s="396"/>
      <c r="D314" s="396"/>
      <c r="E314" s="388"/>
      <c r="F314" s="395"/>
      <c r="G314" s="395"/>
      <c r="H314" s="388"/>
      <c r="I314" s="389"/>
      <c r="J314" s="389"/>
      <c r="K314" s="389"/>
      <c r="L314" s="460"/>
      <c r="M314" s="389"/>
      <c r="N314" s="389"/>
      <c r="O314" s="389"/>
      <c r="P314" s="389"/>
      <c r="Q314" s="389"/>
      <c r="R314" s="388"/>
      <c r="S314" s="388"/>
      <c r="T314" s="388"/>
      <c r="U314" s="388"/>
      <c r="V314" s="388"/>
      <c r="W314" s="9"/>
      <c r="X314" s="9"/>
      <c r="Y314" s="9"/>
      <c r="Z314" s="9"/>
    </row>
    <row r="315">
      <c r="A315" s="388"/>
      <c r="B315" s="396"/>
      <c r="C315" s="396"/>
      <c r="D315" s="396"/>
      <c r="E315" s="388"/>
      <c r="F315" s="395"/>
      <c r="G315" s="395"/>
      <c r="H315" s="388"/>
      <c r="I315" s="389"/>
      <c r="J315" s="389"/>
      <c r="K315" s="389"/>
      <c r="L315" s="460"/>
      <c r="M315" s="389"/>
      <c r="N315" s="389"/>
      <c r="O315" s="389"/>
      <c r="P315" s="389"/>
      <c r="Q315" s="389"/>
      <c r="R315" s="388"/>
      <c r="S315" s="388"/>
      <c r="T315" s="388"/>
      <c r="U315" s="388"/>
      <c r="V315" s="388"/>
      <c r="W315" s="9"/>
      <c r="X315" s="9"/>
      <c r="Y315" s="9"/>
      <c r="Z315" s="9"/>
    </row>
    <row r="316">
      <c r="A316" s="388"/>
      <c r="B316" s="396"/>
      <c r="C316" s="396"/>
      <c r="D316" s="396"/>
      <c r="E316" s="388"/>
      <c r="F316" s="395"/>
      <c r="G316" s="395"/>
      <c r="H316" s="388"/>
      <c r="I316" s="389"/>
      <c r="J316" s="389"/>
      <c r="K316" s="389"/>
      <c r="L316" s="460"/>
      <c r="M316" s="389"/>
      <c r="N316" s="389"/>
      <c r="O316" s="389"/>
      <c r="P316" s="389"/>
      <c r="Q316" s="389"/>
      <c r="R316" s="388"/>
      <c r="S316" s="388"/>
      <c r="T316" s="388"/>
      <c r="U316" s="388"/>
      <c r="V316" s="388"/>
      <c r="W316" s="9"/>
      <c r="X316" s="9"/>
      <c r="Y316" s="9"/>
      <c r="Z316" s="9"/>
    </row>
    <row r="317">
      <c r="A317" s="388"/>
      <c r="B317" s="396"/>
      <c r="C317" s="396"/>
      <c r="D317" s="396"/>
      <c r="E317" s="388"/>
      <c r="F317" s="395"/>
      <c r="G317" s="395"/>
      <c r="H317" s="388"/>
      <c r="I317" s="389"/>
      <c r="J317" s="389"/>
      <c r="K317" s="389"/>
      <c r="L317" s="460"/>
      <c r="M317" s="389"/>
      <c r="N317" s="389"/>
      <c r="O317" s="389"/>
      <c r="P317" s="389"/>
      <c r="Q317" s="389"/>
      <c r="R317" s="388"/>
      <c r="S317" s="388"/>
      <c r="T317" s="388"/>
      <c r="U317" s="388"/>
      <c r="V317" s="388"/>
      <c r="W317" s="9"/>
      <c r="X317" s="9"/>
      <c r="Y317" s="9"/>
      <c r="Z317" s="9"/>
    </row>
    <row r="318">
      <c r="A318" s="388"/>
      <c r="B318" s="396"/>
      <c r="C318" s="396"/>
      <c r="D318" s="396"/>
      <c r="E318" s="388"/>
      <c r="F318" s="395"/>
      <c r="G318" s="395"/>
      <c r="H318" s="388"/>
      <c r="I318" s="389"/>
      <c r="J318" s="389"/>
      <c r="K318" s="389"/>
      <c r="L318" s="460"/>
      <c r="M318" s="389"/>
      <c r="N318" s="389"/>
      <c r="O318" s="389"/>
      <c r="P318" s="389"/>
      <c r="Q318" s="389"/>
      <c r="R318" s="388"/>
      <c r="S318" s="388"/>
      <c r="T318" s="388"/>
      <c r="U318" s="388"/>
      <c r="V318" s="388"/>
      <c r="W318" s="9"/>
      <c r="X318" s="9"/>
      <c r="Y318" s="9"/>
      <c r="Z318" s="9"/>
    </row>
    <row r="319">
      <c r="A319" s="388"/>
      <c r="B319" s="396"/>
      <c r="C319" s="396"/>
      <c r="D319" s="396"/>
      <c r="E319" s="388"/>
      <c r="F319" s="395"/>
      <c r="G319" s="395"/>
      <c r="H319" s="388"/>
      <c r="I319" s="389"/>
      <c r="J319" s="389"/>
      <c r="K319" s="389"/>
      <c r="L319" s="460"/>
      <c r="M319" s="389"/>
      <c r="N319" s="389"/>
      <c r="O319" s="389"/>
      <c r="P319" s="389"/>
      <c r="Q319" s="389"/>
      <c r="R319" s="388"/>
      <c r="S319" s="388"/>
      <c r="T319" s="388"/>
      <c r="U319" s="388"/>
      <c r="V319" s="388"/>
      <c r="W319" s="9"/>
      <c r="X319" s="9"/>
      <c r="Y319" s="9"/>
      <c r="Z319" s="9"/>
    </row>
    <row r="320">
      <c r="A320" s="388"/>
      <c r="B320" s="396"/>
      <c r="C320" s="396"/>
      <c r="D320" s="396"/>
      <c r="E320" s="388"/>
      <c r="F320" s="395"/>
      <c r="G320" s="395"/>
      <c r="H320" s="388"/>
      <c r="I320" s="389"/>
      <c r="J320" s="389"/>
      <c r="K320" s="389"/>
      <c r="L320" s="460"/>
      <c r="M320" s="389"/>
      <c r="N320" s="389"/>
      <c r="O320" s="389"/>
      <c r="P320" s="389"/>
      <c r="Q320" s="389"/>
      <c r="R320" s="388"/>
      <c r="S320" s="388"/>
      <c r="T320" s="388"/>
      <c r="U320" s="388"/>
      <c r="V320" s="388"/>
      <c r="W320" s="9"/>
      <c r="X320" s="9"/>
      <c r="Y320" s="9"/>
      <c r="Z320" s="9"/>
    </row>
    <row r="321">
      <c r="A321" s="388"/>
      <c r="B321" s="396"/>
      <c r="C321" s="396"/>
      <c r="D321" s="396"/>
      <c r="E321" s="388"/>
      <c r="F321" s="395"/>
      <c r="G321" s="395"/>
      <c r="H321" s="388"/>
      <c r="I321" s="389"/>
      <c r="J321" s="389"/>
      <c r="K321" s="389"/>
      <c r="L321" s="460"/>
      <c r="M321" s="389"/>
      <c r="N321" s="389"/>
      <c r="O321" s="389"/>
      <c r="P321" s="389"/>
      <c r="Q321" s="389"/>
      <c r="R321" s="388"/>
      <c r="S321" s="388"/>
      <c r="T321" s="388"/>
      <c r="U321" s="388"/>
      <c r="V321" s="388"/>
      <c r="W321" s="9"/>
      <c r="X321" s="9"/>
      <c r="Y321" s="9"/>
      <c r="Z321" s="9"/>
    </row>
    <row r="322">
      <c r="A322" s="388"/>
      <c r="B322" s="396"/>
      <c r="C322" s="396"/>
      <c r="D322" s="396"/>
      <c r="E322" s="388"/>
      <c r="F322" s="395"/>
      <c r="G322" s="395"/>
      <c r="H322" s="388"/>
      <c r="I322" s="389"/>
      <c r="J322" s="389"/>
      <c r="K322" s="389"/>
      <c r="L322" s="460"/>
      <c r="M322" s="389"/>
      <c r="N322" s="389"/>
      <c r="O322" s="389"/>
      <c r="P322" s="389"/>
      <c r="Q322" s="389"/>
      <c r="R322" s="388"/>
      <c r="S322" s="388"/>
      <c r="T322" s="388"/>
      <c r="U322" s="388"/>
      <c r="V322" s="388"/>
      <c r="W322" s="9"/>
      <c r="X322" s="9"/>
      <c r="Y322" s="9"/>
      <c r="Z322" s="9"/>
    </row>
    <row r="323">
      <c r="A323" s="388"/>
      <c r="B323" s="396"/>
      <c r="C323" s="396"/>
      <c r="D323" s="396"/>
      <c r="E323" s="388"/>
      <c r="F323" s="395"/>
      <c r="G323" s="395"/>
      <c r="H323" s="388"/>
      <c r="I323" s="389"/>
      <c r="J323" s="389"/>
      <c r="K323" s="389"/>
      <c r="L323" s="460"/>
      <c r="M323" s="389"/>
      <c r="N323" s="389"/>
      <c r="O323" s="389"/>
      <c r="P323" s="389"/>
      <c r="Q323" s="389"/>
      <c r="R323" s="388"/>
      <c r="S323" s="388"/>
      <c r="T323" s="388"/>
      <c r="U323" s="388"/>
      <c r="V323" s="388"/>
      <c r="W323" s="9"/>
      <c r="X323" s="9"/>
      <c r="Y323" s="9"/>
      <c r="Z323" s="9"/>
    </row>
    <row r="324">
      <c r="A324" s="388"/>
      <c r="B324" s="396"/>
      <c r="C324" s="396"/>
      <c r="D324" s="396"/>
      <c r="E324" s="388"/>
      <c r="F324" s="395"/>
      <c r="G324" s="395"/>
      <c r="H324" s="388"/>
      <c r="I324" s="389"/>
      <c r="J324" s="389"/>
      <c r="K324" s="389"/>
      <c r="L324" s="460"/>
      <c r="M324" s="389"/>
      <c r="N324" s="389"/>
      <c r="O324" s="389"/>
      <c r="P324" s="389"/>
      <c r="Q324" s="389"/>
      <c r="R324" s="388"/>
      <c r="S324" s="388"/>
      <c r="T324" s="388"/>
      <c r="U324" s="388"/>
      <c r="V324" s="388"/>
      <c r="W324" s="9"/>
      <c r="X324" s="9"/>
      <c r="Y324" s="9"/>
      <c r="Z324" s="9"/>
    </row>
    <row r="325">
      <c r="A325" s="388"/>
      <c r="B325" s="396"/>
      <c r="C325" s="396"/>
      <c r="D325" s="396"/>
      <c r="E325" s="388"/>
      <c r="F325" s="395"/>
      <c r="G325" s="395"/>
      <c r="H325" s="388"/>
      <c r="I325" s="389"/>
      <c r="J325" s="389"/>
      <c r="K325" s="389"/>
      <c r="L325" s="460"/>
      <c r="M325" s="389"/>
      <c r="N325" s="389"/>
      <c r="O325" s="389"/>
      <c r="P325" s="389"/>
      <c r="Q325" s="389"/>
      <c r="R325" s="388"/>
      <c r="S325" s="388"/>
      <c r="T325" s="388"/>
      <c r="U325" s="388"/>
      <c r="V325" s="388"/>
      <c r="W325" s="9"/>
      <c r="X325" s="9"/>
      <c r="Y325" s="9"/>
      <c r="Z325" s="9"/>
    </row>
    <row r="326">
      <c r="A326" s="388"/>
      <c r="B326" s="396"/>
      <c r="C326" s="396"/>
      <c r="D326" s="396"/>
      <c r="E326" s="388"/>
      <c r="F326" s="395"/>
      <c r="G326" s="395"/>
      <c r="H326" s="388"/>
      <c r="I326" s="389"/>
      <c r="J326" s="389"/>
      <c r="K326" s="389"/>
      <c r="L326" s="460"/>
      <c r="M326" s="389"/>
      <c r="N326" s="389"/>
      <c r="O326" s="389"/>
      <c r="P326" s="389"/>
      <c r="Q326" s="389"/>
      <c r="R326" s="388"/>
      <c r="S326" s="388"/>
      <c r="T326" s="388"/>
      <c r="U326" s="388"/>
      <c r="V326" s="388"/>
      <c r="W326" s="9"/>
      <c r="X326" s="9"/>
      <c r="Y326" s="9"/>
      <c r="Z326" s="9"/>
    </row>
    <row r="327">
      <c r="A327" s="388"/>
      <c r="B327" s="396"/>
      <c r="C327" s="396"/>
      <c r="D327" s="396"/>
      <c r="E327" s="388"/>
      <c r="F327" s="395"/>
      <c r="G327" s="395"/>
      <c r="H327" s="388"/>
      <c r="I327" s="389"/>
      <c r="J327" s="389"/>
      <c r="K327" s="389"/>
      <c r="L327" s="460"/>
      <c r="M327" s="389"/>
      <c r="N327" s="389"/>
      <c r="O327" s="389"/>
      <c r="P327" s="389"/>
      <c r="Q327" s="389"/>
      <c r="R327" s="388"/>
      <c r="S327" s="388"/>
      <c r="T327" s="388"/>
      <c r="U327" s="388"/>
      <c r="V327" s="388"/>
      <c r="W327" s="9"/>
      <c r="X327" s="9"/>
      <c r="Y327" s="9"/>
      <c r="Z327" s="9"/>
    </row>
    <row r="328">
      <c r="A328" s="388"/>
      <c r="B328" s="396"/>
      <c r="C328" s="396"/>
      <c r="D328" s="396"/>
      <c r="E328" s="388"/>
      <c r="F328" s="395"/>
      <c r="G328" s="395"/>
      <c r="H328" s="388"/>
      <c r="I328" s="389"/>
      <c r="J328" s="389"/>
      <c r="K328" s="389"/>
      <c r="L328" s="460"/>
      <c r="M328" s="389"/>
      <c r="N328" s="389"/>
      <c r="O328" s="389"/>
      <c r="P328" s="389"/>
      <c r="Q328" s="389"/>
      <c r="R328" s="388"/>
      <c r="S328" s="388"/>
      <c r="T328" s="388"/>
      <c r="U328" s="388"/>
      <c r="V328" s="388"/>
      <c r="W328" s="9"/>
      <c r="X328" s="9"/>
      <c r="Y328" s="9"/>
      <c r="Z328" s="9"/>
    </row>
    <row r="329">
      <c r="A329" s="388"/>
      <c r="B329" s="396"/>
      <c r="C329" s="396"/>
      <c r="D329" s="396"/>
      <c r="E329" s="388"/>
      <c r="F329" s="395"/>
      <c r="G329" s="395"/>
      <c r="H329" s="388"/>
      <c r="I329" s="389"/>
      <c r="J329" s="389"/>
      <c r="K329" s="389"/>
      <c r="L329" s="460"/>
      <c r="M329" s="389"/>
      <c r="N329" s="389"/>
      <c r="O329" s="389"/>
      <c r="P329" s="389"/>
      <c r="Q329" s="389"/>
      <c r="R329" s="388"/>
      <c r="S329" s="388"/>
      <c r="T329" s="388"/>
      <c r="U329" s="388"/>
      <c r="V329" s="388"/>
      <c r="W329" s="9"/>
      <c r="X329" s="9"/>
      <c r="Y329" s="9"/>
      <c r="Z329" s="9"/>
    </row>
    <row r="330">
      <c r="A330" s="388"/>
      <c r="B330" s="396"/>
      <c r="C330" s="396"/>
      <c r="D330" s="396"/>
      <c r="E330" s="388"/>
      <c r="F330" s="395"/>
      <c r="G330" s="395"/>
      <c r="H330" s="388"/>
      <c r="I330" s="389"/>
      <c r="J330" s="389"/>
      <c r="K330" s="389"/>
      <c r="L330" s="460"/>
      <c r="M330" s="389"/>
      <c r="N330" s="389"/>
      <c r="O330" s="389"/>
      <c r="P330" s="389"/>
      <c r="Q330" s="389"/>
      <c r="R330" s="388"/>
      <c r="S330" s="388"/>
      <c r="T330" s="388"/>
      <c r="U330" s="388"/>
      <c r="V330" s="388"/>
      <c r="W330" s="9"/>
      <c r="X330" s="9"/>
      <c r="Y330" s="9"/>
      <c r="Z330" s="9"/>
    </row>
    <row r="331">
      <c r="A331" s="388"/>
      <c r="B331" s="396"/>
      <c r="C331" s="396"/>
      <c r="D331" s="396"/>
      <c r="E331" s="388"/>
      <c r="F331" s="395"/>
      <c r="G331" s="395"/>
      <c r="H331" s="388"/>
      <c r="I331" s="389"/>
      <c r="J331" s="389"/>
      <c r="K331" s="389"/>
      <c r="L331" s="460"/>
      <c r="M331" s="389"/>
      <c r="N331" s="389"/>
      <c r="O331" s="389"/>
      <c r="P331" s="389"/>
      <c r="Q331" s="389"/>
      <c r="R331" s="388"/>
      <c r="S331" s="388"/>
      <c r="T331" s="388"/>
      <c r="U331" s="388"/>
      <c r="V331" s="388"/>
      <c r="W331" s="9"/>
      <c r="X331" s="9"/>
      <c r="Y331" s="9"/>
      <c r="Z331" s="9"/>
    </row>
    <row r="332">
      <c r="A332" s="388"/>
      <c r="B332" s="396"/>
      <c r="C332" s="396"/>
      <c r="D332" s="396"/>
      <c r="E332" s="388"/>
      <c r="F332" s="395"/>
      <c r="G332" s="395"/>
      <c r="H332" s="388"/>
      <c r="I332" s="389"/>
      <c r="J332" s="389"/>
      <c r="K332" s="389"/>
      <c r="L332" s="460"/>
      <c r="M332" s="389"/>
      <c r="N332" s="389"/>
      <c r="O332" s="389"/>
      <c r="P332" s="389"/>
      <c r="Q332" s="389"/>
      <c r="R332" s="388"/>
      <c r="S332" s="388"/>
      <c r="T332" s="388"/>
      <c r="U332" s="388"/>
      <c r="V332" s="388"/>
      <c r="W332" s="9"/>
      <c r="X332" s="9"/>
      <c r="Y332" s="9"/>
      <c r="Z332" s="9"/>
    </row>
    <row r="333">
      <c r="A333" s="388"/>
      <c r="B333" s="396"/>
      <c r="C333" s="396"/>
      <c r="D333" s="396"/>
      <c r="E333" s="388"/>
      <c r="F333" s="395"/>
      <c r="G333" s="395"/>
      <c r="H333" s="388"/>
      <c r="I333" s="389"/>
      <c r="J333" s="389"/>
      <c r="K333" s="389"/>
      <c r="L333" s="460"/>
      <c r="M333" s="389"/>
      <c r="N333" s="389"/>
      <c r="O333" s="389"/>
      <c r="P333" s="389"/>
      <c r="Q333" s="389"/>
      <c r="R333" s="388"/>
      <c r="S333" s="388"/>
      <c r="T333" s="388"/>
      <c r="U333" s="388"/>
      <c r="V333" s="388"/>
      <c r="W333" s="9"/>
      <c r="X333" s="9"/>
      <c r="Y333" s="9"/>
      <c r="Z333" s="9"/>
    </row>
    <row r="334">
      <c r="A334" s="388"/>
      <c r="B334" s="396"/>
      <c r="C334" s="396"/>
      <c r="D334" s="396"/>
      <c r="E334" s="388"/>
      <c r="F334" s="395"/>
      <c r="G334" s="395"/>
      <c r="H334" s="388"/>
      <c r="I334" s="389"/>
      <c r="J334" s="389"/>
      <c r="K334" s="389"/>
      <c r="L334" s="460"/>
      <c r="M334" s="389"/>
      <c r="N334" s="389"/>
      <c r="O334" s="389"/>
      <c r="P334" s="389"/>
      <c r="Q334" s="389"/>
      <c r="R334" s="388"/>
      <c r="S334" s="388"/>
      <c r="T334" s="388"/>
      <c r="U334" s="388"/>
      <c r="V334" s="388"/>
      <c r="W334" s="9"/>
      <c r="X334" s="9"/>
      <c r="Y334" s="9"/>
      <c r="Z334" s="9"/>
    </row>
    <row r="335">
      <c r="A335" s="388"/>
      <c r="B335" s="396"/>
      <c r="C335" s="396"/>
      <c r="D335" s="396"/>
      <c r="E335" s="388"/>
      <c r="F335" s="395"/>
      <c r="G335" s="395"/>
      <c r="H335" s="388"/>
      <c r="I335" s="389"/>
      <c r="J335" s="389"/>
      <c r="K335" s="389"/>
      <c r="L335" s="460"/>
      <c r="M335" s="389"/>
      <c r="N335" s="389"/>
      <c r="O335" s="389"/>
      <c r="P335" s="389"/>
      <c r="Q335" s="389"/>
      <c r="R335" s="388"/>
      <c r="S335" s="388"/>
      <c r="T335" s="388"/>
      <c r="U335" s="388"/>
      <c r="V335" s="388"/>
      <c r="W335" s="9"/>
      <c r="X335" s="9"/>
      <c r="Y335" s="9"/>
      <c r="Z335" s="9"/>
    </row>
    <row r="336">
      <c r="A336" s="388"/>
      <c r="B336" s="396"/>
      <c r="C336" s="396"/>
      <c r="D336" s="396"/>
      <c r="E336" s="388"/>
      <c r="F336" s="395"/>
      <c r="G336" s="395"/>
      <c r="H336" s="388"/>
      <c r="I336" s="389"/>
      <c r="J336" s="389"/>
      <c r="K336" s="389"/>
      <c r="L336" s="460"/>
      <c r="M336" s="389"/>
      <c r="N336" s="389"/>
      <c r="O336" s="389"/>
      <c r="P336" s="389"/>
      <c r="Q336" s="389"/>
      <c r="R336" s="388"/>
      <c r="S336" s="388"/>
      <c r="T336" s="388"/>
      <c r="U336" s="388"/>
      <c r="V336" s="388"/>
      <c r="W336" s="9"/>
      <c r="X336" s="9"/>
      <c r="Y336" s="9"/>
      <c r="Z336" s="9"/>
    </row>
    <row r="337">
      <c r="A337" s="388"/>
      <c r="B337" s="396"/>
      <c r="C337" s="396"/>
      <c r="D337" s="396"/>
      <c r="E337" s="388"/>
      <c r="F337" s="395"/>
      <c r="G337" s="395"/>
      <c r="H337" s="388"/>
      <c r="I337" s="389"/>
      <c r="J337" s="389"/>
      <c r="K337" s="389"/>
      <c r="L337" s="460"/>
      <c r="M337" s="389"/>
      <c r="N337" s="389"/>
      <c r="O337" s="389"/>
      <c r="P337" s="389"/>
      <c r="Q337" s="389"/>
      <c r="R337" s="388"/>
      <c r="S337" s="388"/>
      <c r="T337" s="388"/>
      <c r="U337" s="388"/>
      <c r="V337" s="388"/>
      <c r="W337" s="9"/>
      <c r="X337" s="9"/>
      <c r="Y337" s="9"/>
      <c r="Z337" s="9"/>
    </row>
    <row r="338">
      <c r="A338" s="388"/>
      <c r="B338" s="396"/>
      <c r="C338" s="396"/>
      <c r="D338" s="396"/>
      <c r="E338" s="388"/>
      <c r="F338" s="395"/>
      <c r="G338" s="395"/>
      <c r="H338" s="388"/>
      <c r="I338" s="389"/>
      <c r="J338" s="389"/>
      <c r="K338" s="389"/>
      <c r="L338" s="460"/>
      <c r="M338" s="389"/>
      <c r="N338" s="389"/>
      <c r="O338" s="389"/>
      <c r="P338" s="389"/>
      <c r="Q338" s="389"/>
      <c r="R338" s="388"/>
      <c r="S338" s="388"/>
      <c r="T338" s="388"/>
      <c r="U338" s="388"/>
      <c r="V338" s="388"/>
      <c r="W338" s="9"/>
      <c r="X338" s="9"/>
      <c r="Y338" s="9"/>
      <c r="Z338" s="9"/>
    </row>
    <row r="339">
      <c r="A339" s="388"/>
      <c r="B339" s="396"/>
      <c r="C339" s="396"/>
      <c r="D339" s="396"/>
      <c r="E339" s="388"/>
      <c r="F339" s="395"/>
      <c r="G339" s="395"/>
      <c r="H339" s="388"/>
      <c r="I339" s="389"/>
      <c r="J339" s="389"/>
      <c r="K339" s="389"/>
      <c r="L339" s="460"/>
      <c r="M339" s="389"/>
      <c r="N339" s="389"/>
      <c r="O339" s="389"/>
      <c r="P339" s="389"/>
      <c r="Q339" s="389"/>
      <c r="R339" s="388"/>
      <c r="S339" s="388"/>
      <c r="T339" s="388"/>
      <c r="U339" s="388"/>
      <c r="V339" s="388"/>
      <c r="W339" s="9"/>
      <c r="X339" s="9"/>
      <c r="Y339" s="9"/>
      <c r="Z339" s="9"/>
    </row>
    <row r="340">
      <c r="A340" s="388"/>
      <c r="B340" s="396"/>
      <c r="C340" s="396"/>
      <c r="D340" s="396"/>
      <c r="E340" s="388"/>
      <c r="F340" s="395"/>
      <c r="G340" s="395"/>
      <c r="H340" s="388"/>
      <c r="I340" s="389"/>
      <c r="J340" s="389"/>
      <c r="K340" s="389"/>
      <c r="L340" s="460"/>
      <c r="M340" s="389"/>
      <c r="N340" s="389"/>
      <c r="O340" s="389"/>
      <c r="P340" s="389"/>
      <c r="Q340" s="389"/>
      <c r="R340" s="388"/>
      <c r="S340" s="388"/>
      <c r="T340" s="388"/>
      <c r="U340" s="388"/>
      <c r="V340" s="388"/>
      <c r="W340" s="9"/>
      <c r="X340" s="9"/>
      <c r="Y340" s="9"/>
      <c r="Z340" s="9"/>
    </row>
    <row r="341">
      <c r="A341" s="388"/>
      <c r="B341" s="396"/>
      <c r="C341" s="396"/>
      <c r="D341" s="396"/>
      <c r="E341" s="388"/>
      <c r="F341" s="395"/>
      <c r="G341" s="395"/>
      <c r="H341" s="388"/>
      <c r="I341" s="389"/>
      <c r="J341" s="389"/>
      <c r="K341" s="389"/>
      <c r="L341" s="460"/>
      <c r="M341" s="389"/>
      <c r="N341" s="389"/>
      <c r="O341" s="389"/>
      <c r="P341" s="389"/>
      <c r="Q341" s="389"/>
      <c r="R341" s="388"/>
      <c r="S341" s="388"/>
      <c r="T341" s="388"/>
      <c r="U341" s="388"/>
      <c r="V341" s="388"/>
      <c r="W341" s="9"/>
      <c r="X341" s="9"/>
      <c r="Y341" s="9"/>
      <c r="Z341" s="9"/>
    </row>
    <row r="342">
      <c r="A342" s="388"/>
      <c r="B342" s="396"/>
      <c r="C342" s="396"/>
      <c r="D342" s="396"/>
      <c r="E342" s="388"/>
      <c r="F342" s="395"/>
      <c r="G342" s="395"/>
      <c r="H342" s="388"/>
      <c r="I342" s="389"/>
      <c r="J342" s="389"/>
      <c r="K342" s="389"/>
      <c r="L342" s="460"/>
      <c r="M342" s="389"/>
      <c r="N342" s="389"/>
      <c r="O342" s="389"/>
      <c r="P342" s="389"/>
      <c r="Q342" s="389"/>
      <c r="R342" s="388"/>
      <c r="S342" s="388"/>
      <c r="T342" s="388"/>
      <c r="U342" s="388"/>
      <c r="V342" s="388"/>
      <c r="W342" s="9"/>
      <c r="X342" s="9"/>
      <c r="Y342" s="9"/>
      <c r="Z342" s="9"/>
    </row>
    <row r="343">
      <c r="A343" s="388"/>
      <c r="B343" s="396"/>
      <c r="C343" s="396"/>
      <c r="D343" s="396"/>
      <c r="E343" s="388"/>
      <c r="F343" s="395"/>
      <c r="G343" s="395"/>
      <c r="H343" s="388"/>
      <c r="I343" s="389"/>
      <c r="J343" s="389"/>
      <c r="K343" s="389"/>
      <c r="L343" s="460"/>
      <c r="M343" s="389"/>
      <c r="N343" s="389"/>
      <c r="O343" s="389"/>
      <c r="P343" s="389"/>
      <c r="Q343" s="389"/>
      <c r="R343" s="388"/>
      <c r="S343" s="388"/>
      <c r="T343" s="388"/>
      <c r="U343" s="388"/>
      <c r="V343" s="388"/>
      <c r="W343" s="9"/>
      <c r="X343" s="9"/>
      <c r="Y343" s="9"/>
      <c r="Z343" s="9"/>
    </row>
    <row r="344">
      <c r="A344" s="388"/>
      <c r="B344" s="396"/>
      <c r="C344" s="396"/>
      <c r="D344" s="396"/>
      <c r="E344" s="388"/>
      <c r="F344" s="395"/>
      <c r="G344" s="395"/>
      <c r="H344" s="388"/>
      <c r="I344" s="389"/>
      <c r="J344" s="389"/>
      <c r="K344" s="389"/>
      <c r="L344" s="460"/>
      <c r="M344" s="389"/>
      <c r="N344" s="389"/>
      <c r="O344" s="389"/>
      <c r="P344" s="389"/>
      <c r="Q344" s="389"/>
      <c r="R344" s="388"/>
      <c r="S344" s="388"/>
      <c r="T344" s="388"/>
      <c r="U344" s="388"/>
      <c r="V344" s="388"/>
      <c r="W344" s="9"/>
      <c r="X344" s="9"/>
      <c r="Y344" s="9"/>
      <c r="Z344" s="9"/>
    </row>
    <row r="345">
      <c r="A345" s="388"/>
      <c r="B345" s="396"/>
      <c r="C345" s="396"/>
      <c r="D345" s="396"/>
      <c r="E345" s="388"/>
      <c r="F345" s="395"/>
      <c r="G345" s="395"/>
      <c r="H345" s="388"/>
      <c r="I345" s="389"/>
      <c r="J345" s="389"/>
      <c r="K345" s="389"/>
      <c r="L345" s="460"/>
      <c r="M345" s="389"/>
      <c r="N345" s="389"/>
      <c r="O345" s="389"/>
      <c r="P345" s="389"/>
      <c r="Q345" s="389"/>
      <c r="R345" s="388"/>
      <c r="S345" s="388"/>
      <c r="T345" s="388"/>
      <c r="U345" s="388"/>
      <c r="V345" s="388"/>
      <c r="W345" s="9"/>
      <c r="X345" s="9"/>
      <c r="Y345" s="9"/>
      <c r="Z345" s="9"/>
    </row>
    <row r="346">
      <c r="A346" s="388"/>
      <c r="B346" s="396"/>
      <c r="C346" s="396"/>
      <c r="D346" s="396"/>
      <c r="E346" s="388"/>
      <c r="F346" s="395"/>
      <c r="G346" s="395"/>
      <c r="H346" s="388"/>
      <c r="I346" s="389"/>
      <c r="J346" s="389"/>
      <c r="K346" s="389"/>
      <c r="L346" s="460"/>
      <c r="M346" s="389"/>
      <c r="N346" s="389"/>
      <c r="O346" s="389"/>
      <c r="P346" s="389"/>
      <c r="Q346" s="389"/>
      <c r="R346" s="388"/>
      <c r="S346" s="388"/>
      <c r="T346" s="388"/>
      <c r="U346" s="388"/>
      <c r="V346" s="388"/>
      <c r="W346" s="9"/>
      <c r="X346" s="9"/>
      <c r="Y346" s="9"/>
      <c r="Z346" s="9"/>
    </row>
    <row r="347">
      <c r="A347" s="388"/>
      <c r="B347" s="396"/>
      <c r="C347" s="396"/>
      <c r="D347" s="396"/>
      <c r="E347" s="388"/>
      <c r="F347" s="395"/>
      <c r="G347" s="395"/>
      <c r="H347" s="388"/>
      <c r="I347" s="389"/>
      <c r="J347" s="389"/>
      <c r="K347" s="389"/>
      <c r="L347" s="460"/>
      <c r="M347" s="389"/>
      <c r="N347" s="389"/>
      <c r="O347" s="389"/>
      <c r="P347" s="389"/>
      <c r="Q347" s="389"/>
      <c r="R347" s="388"/>
      <c r="S347" s="388"/>
      <c r="T347" s="388"/>
      <c r="U347" s="388"/>
      <c r="V347" s="388"/>
      <c r="W347" s="9"/>
      <c r="X347" s="9"/>
      <c r="Y347" s="9"/>
      <c r="Z347" s="9"/>
    </row>
    <row r="348">
      <c r="A348" s="388"/>
      <c r="B348" s="396"/>
      <c r="C348" s="396"/>
      <c r="D348" s="396"/>
      <c r="E348" s="388"/>
      <c r="F348" s="395"/>
      <c r="G348" s="395"/>
      <c r="H348" s="388"/>
      <c r="I348" s="389"/>
      <c r="J348" s="389"/>
      <c r="K348" s="389"/>
      <c r="L348" s="460"/>
      <c r="M348" s="389"/>
      <c r="N348" s="389"/>
      <c r="O348" s="389"/>
      <c r="P348" s="389"/>
      <c r="Q348" s="389"/>
      <c r="R348" s="388"/>
      <c r="S348" s="388"/>
      <c r="T348" s="388"/>
      <c r="U348" s="388"/>
      <c r="V348" s="388"/>
      <c r="W348" s="9"/>
      <c r="X348" s="9"/>
      <c r="Y348" s="9"/>
      <c r="Z348" s="9"/>
    </row>
    <row r="349">
      <c r="A349" s="388"/>
      <c r="B349" s="396"/>
      <c r="C349" s="396"/>
      <c r="D349" s="396"/>
      <c r="E349" s="388"/>
      <c r="F349" s="395"/>
      <c r="G349" s="395"/>
      <c r="H349" s="388"/>
      <c r="I349" s="389"/>
      <c r="J349" s="389"/>
      <c r="K349" s="389"/>
      <c r="L349" s="460"/>
      <c r="M349" s="389"/>
      <c r="N349" s="389"/>
      <c r="O349" s="389"/>
      <c r="P349" s="389"/>
      <c r="Q349" s="389"/>
      <c r="R349" s="388"/>
      <c r="S349" s="388"/>
      <c r="T349" s="388"/>
      <c r="U349" s="388"/>
      <c r="V349" s="388"/>
      <c r="W349" s="9"/>
      <c r="X349" s="9"/>
      <c r="Y349" s="9"/>
      <c r="Z349" s="9"/>
    </row>
    <row r="350">
      <c r="A350" s="388"/>
      <c r="B350" s="396"/>
      <c r="C350" s="396"/>
      <c r="D350" s="396"/>
      <c r="E350" s="388"/>
      <c r="F350" s="395"/>
      <c r="G350" s="395"/>
      <c r="H350" s="388"/>
      <c r="I350" s="389"/>
      <c r="J350" s="389"/>
      <c r="K350" s="389"/>
      <c r="L350" s="460"/>
      <c r="M350" s="389"/>
      <c r="N350" s="389"/>
      <c r="O350" s="389"/>
      <c r="P350" s="389"/>
      <c r="Q350" s="389"/>
      <c r="R350" s="388"/>
      <c r="S350" s="388"/>
      <c r="T350" s="388"/>
      <c r="U350" s="388"/>
      <c r="V350" s="388"/>
      <c r="W350" s="9"/>
      <c r="X350" s="9"/>
      <c r="Y350" s="9"/>
      <c r="Z350" s="9"/>
    </row>
    <row r="351">
      <c r="A351" s="388"/>
      <c r="B351" s="396"/>
      <c r="C351" s="396"/>
      <c r="D351" s="396"/>
      <c r="E351" s="388"/>
      <c r="F351" s="395"/>
      <c r="G351" s="395"/>
      <c r="H351" s="388"/>
      <c r="I351" s="389"/>
      <c r="J351" s="389"/>
      <c r="K351" s="389"/>
      <c r="L351" s="460"/>
      <c r="M351" s="389"/>
      <c r="N351" s="389"/>
      <c r="O351" s="389"/>
      <c r="P351" s="389"/>
      <c r="Q351" s="389"/>
      <c r="R351" s="388"/>
      <c r="S351" s="388"/>
      <c r="T351" s="388"/>
      <c r="U351" s="388"/>
      <c r="V351" s="388"/>
      <c r="W351" s="9"/>
      <c r="X351" s="9"/>
      <c r="Y351" s="9"/>
      <c r="Z351" s="9"/>
    </row>
    <row r="352">
      <c r="A352" s="388"/>
      <c r="B352" s="396"/>
      <c r="C352" s="396"/>
      <c r="D352" s="396"/>
      <c r="E352" s="388"/>
      <c r="F352" s="395"/>
      <c r="G352" s="395"/>
      <c r="H352" s="388"/>
      <c r="I352" s="389"/>
      <c r="J352" s="389"/>
      <c r="K352" s="389"/>
      <c r="L352" s="460"/>
      <c r="M352" s="389"/>
      <c r="N352" s="389"/>
      <c r="O352" s="389"/>
      <c r="P352" s="389"/>
      <c r="Q352" s="389"/>
      <c r="R352" s="388"/>
      <c r="S352" s="388"/>
      <c r="T352" s="388"/>
      <c r="U352" s="388"/>
      <c r="V352" s="388"/>
      <c r="W352" s="9"/>
      <c r="X352" s="9"/>
      <c r="Y352" s="9"/>
      <c r="Z352" s="9"/>
    </row>
    <row r="353">
      <c r="A353" s="388"/>
      <c r="B353" s="396"/>
      <c r="C353" s="396"/>
      <c r="D353" s="396"/>
      <c r="E353" s="388"/>
      <c r="F353" s="395"/>
      <c r="G353" s="395"/>
      <c r="H353" s="388"/>
      <c r="I353" s="389"/>
      <c r="J353" s="389"/>
      <c r="K353" s="389"/>
      <c r="L353" s="460"/>
      <c r="M353" s="389"/>
      <c r="N353" s="389"/>
      <c r="O353" s="389"/>
      <c r="P353" s="389"/>
      <c r="Q353" s="389"/>
      <c r="R353" s="388"/>
      <c r="S353" s="388"/>
      <c r="T353" s="388"/>
      <c r="U353" s="388"/>
      <c r="V353" s="388"/>
      <c r="W353" s="9"/>
      <c r="X353" s="9"/>
      <c r="Y353" s="9"/>
      <c r="Z353" s="9"/>
    </row>
    <row r="354">
      <c r="A354" s="388"/>
      <c r="B354" s="396"/>
      <c r="C354" s="396"/>
      <c r="D354" s="396"/>
      <c r="E354" s="388"/>
      <c r="F354" s="395"/>
      <c r="G354" s="395"/>
      <c r="H354" s="388"/>
      <c r="I354" s="389"/>
      <c r="J354" s="389"/>
      <c r="K354" s="389"/>
      <c r="L354" s="460"/>
      <c r="M354" s="389"/>
      <c r="N354" s="389"/>
      <c r="O354" s="389"/>
      <c r="P354" s="389"/>
      <c r="Q354" s="389"/>
      <c r="R354" s="388"/>
      <c r="S354" s="388"/>
      <c r="T354" s="388"/>
      <c r="U354" s="388"/>
      <c r="V354" s="388"/>
      <c r="W354" s="9"/>
      <c r="X354" s="9"/>
      <c r="Y354" s="9"/>
      <c r="Z354" s="9"/>
    </row>
    <row r="355">
      <c r="A355" s="388"/>
      <c r="B355" s="396"/>
      <c r="C355" s="396"/>
      <c r="D355" s="396"/>
      <c r="E355" s="388"/>
      <c r="F355" s="395"/>
      <c r="G355" s="395"/>
      <c r="H355" s="388"/>
      <c r="I355" s="389"/>
      <c r="J355" s="389"/>
      <c r="K355" s="389"/>
      <c r="L355" s="460"/>
      <c r="M355" s="389"/>
      <c r="N355" s="389"/>
      <c r="O355" s="389"/>
      <c r="P355" s="389"/>
      <c r="Q355" s="389"/>
      <c r="R355" s="388"/>
      <c r="S355" s="388"/>
      <c r="T355" s="388"/>
      <c r="U355" s="388"/>
      <c r="V355" s="388"/>
      <c r="W355" s="9"/>
      <c r="X355" s="9"/>
      <c r="Y355" s="9"/>
      <c r="Z355" s="9"/>
    </row>
    <row r="356">
      <c r="A356" s="388"/>
      <c r="B356" s="396"/>
      <c r="C356" s="396"/>
      <c r="D356" s="396"/>
      <c r="E356" s="388"/>
      <c r="F356" s="395"/>
      <c r="G356" s="395"/>
      <c r="H356" s="388"/>
      <c r="I356" s="389"/>
      <c r="J356" s="389"/>
      <c r="K356" s="389"/>
      <c r="L356" s="460"/>
      <c r="M356" s="389"/>
      <c r="N356" s="389"/>
      <c r="O356" s="389"/>
      <c r="P356" s="389"/>
      <c r="Q356" s="389"/>
      <c r="R356" s="388"/>
      <c r="S356" s="388"/>
      <c r="T356" s="388"/>
      <c r="U356" s="388"/>
      <c r="V356" s="388"/>
      <c r="W356" s="9"/>
      <c r="X356" s="9"/>
      <c r="Y356" s="9"/>
      <c r="Z356" s="9"/>
    </row>
    <row r="357">
      <c r="A357" s="388"/>
      <c r="B357" s="396"/>
      <c r="C357" s="396"/>
      <c r="D357" s="396"/>
      <c r="E357" s="388"/>
      <c r="F357" s="395"/>
      <c r="G357" s="395"/>
      <c r="H357" s="388"/>
      <c r="I357" s="389"/>
      <c r="J357" s="389"/>
      <c r="K357" s="389"/>
      <c r="L357" s="460"/>
      <c r="M357" s="389"/>
      <c r="N357" s="389"/>
      <c r="O357" s="389"/>
      <c r="P357" s="389"/>
      <c r="Q357" s="389"/>
      <c r="R357" s="388"/>
      <c r="S357" s="388"/>
      <c r="T357" s="388"/>
      <c r="U357" s="388"/>
      <c r="V357" s="388"/>
      <c r="W357" s="9"/>
      <c r="X357" s="9"/>
      <c r="Y357" s="9"/>
      <c r="Z357" s="9"/>
    </row>
    <row r="358">
      <c r="A358" s="388"/>
      <c r="B358" s="396"/>
      <c r="C358" s="396"/>
      <c r="D358" s="396"/>
      <c r="E358" s="388"/>
      <c r="F358" s="395"/>
      <c r="G358" s="395"/>
      <c r="H358" s="388"/>
      <c r="I358" s="389"/>
      <c r="J358" s="389"/>
      <c r="K358" s="389"/>
      <c r="L358" s="460"/>
      <c r="M358" s="389"/>
      <c r="N358" s="389"/>
      <c r="O358" s="389"/>
      <c r="P358" s="389"/>
      <c r="Q358" s="389"/>
      <c r="R358" s="388"/>
      <c r="S358" s="388"/>
      <c r="T358" s="388"/>
      <c r="U358" s="388"/>
      <c r="V358" s="388"/>
      <c r="W358" s="9"/>
      <c r="X358" s="9"/>
      <c r="Y358" s="9"/>
      <c r="Z358" s="9"/>
    </row>
    <row r="359">
      <c r="A359" s="388"/>
      <c r="B359" s="396"/>
      <c r="C359" s="396"/>
      <c r="D359" s="396"/>
      <c r="E359" s="388"/>
      <c r="F359" s="395"/>
      <c r="G359" s="395"/>
      <c r="H359" s="388"/>
      <c r="I359" s="389"/>
      <c r="J359" s="389"/>
      <c r="K359" s="389"/>
      <c r="L359" s="460"/>
      <c r="M359" s="389"/>
      <c r="N359" s="389"/>
      <c r="O359" s="389"/>
      <c r="P359" s="389"/>
      <c r="Q359" s="389"/>
      <c r="R359" s="388"/>
      <c r="S359" s="388"/>
      <c r="T359" s="388"/>
      <c r="U359" s="388"/>
      <c r="V359" s="388"/>
      <c r="W359" s="9"/>
      <c r="X359" s="9"/>
      <c r="Y359" s="9"/>
      <c r="Z359" s="9"/>
    </row>
    <row r="360">
      <c r="A360" s="388"/>
      <c r="B360" s="396"/>
      <c r="C360" s="396"/>
      <c r="D360" s="396"/>
      <c r="E360" s="388"/>
      <c r="F360" s="395"/>
      <c r="G360" s="395"/>
      <c r="H360" s="388"/>
      <c r="I360" s="389"/>
      <c r="J360" s="389"/>
      <c r="K360" s="389"/>
      <c r="L360" s="460"/>
      <c r="M360" s="389"/>
      <c r="N360" s="389"/>
      <c r="O360" s="389"/>
      <c r="P360" s="389"/>
      <c r="Q360" s="389"/>
      <c r="R360" s="388"/>
      <c r="S360" s="388"/>
      <c r="T360" s="388"/>
      <c r="U360" s="388"/>
      <c r="V360" s="388"/>
      <c r="W360" s="9"/>
      <c r="X360" s="9"/>
      <c r="Y360" s="9"/>
      <c r="Z360" s="9"/>
    </row>
    <row r="361">
      <c r="A361" s="388"/>
      <c r="B361" s="396"/>
      <c r="C361" s="396"/>
      <c r="D361" s="396"/>
      <c r="E361" s="388"/>
      <c r="F361" s="395"/>
      <c r="G361" s="395"/>
      <c r="H361" s="388"/>
      <c r="I361" s="389"/>
      <c r="J361" s="389"/>
      <c r="K361" s="389"/>
      <c r="L361" s="460"/>
      <c r="M361" s="389"/>
      <c r="N361" s="389"/>
      <c r="O361" s="389"/>
      <c r="P361" s="389"/>
      <c r="Q361" s="389"/>
      <c r="R361" s="388"/>
      <c r="S361" s="388"/>
      <c r="T361" s="388"/>
      <c r="U361" s="388"/>
      <c r="V361" s="388"/>
      <c r="W361" s="9"/>
      <c r="X361" s="9"/>
      <c r="Y361" s="9"/>
      <c r="Z361" s="9"/>
    </row>
    <row r="362">
      <c r="A362" s="388"/>
      <c r="B362" s="396"/>
      <c r="C362" s="396"/>
      <c r="D362" s="396"/>
      <c r="E362" s="388"/>
      <c r="F362" s="395"/>
      <c r="G362" s="395"/>
      <c r="H362" s="388"/>
      <c r="I362" s="389"/>
      <c r="J362" s="389"/>
      <c r="K362" s="389"/>
      <c r="L362" s="460"/>
      <c r="M362" s="389"/>
      <c r="N362" s="389"/>
      <c r="O362" s="389"/>
      <c r="P362" s="389"/>
      <c r="Q362" s="389"/>
      <c r="R362" s="388"/>
      <c r="S362" s="388"/>
      <c r="T362" s="388"/>
      <c r="U362" s="388"/>
      <c r="V362" s="388"/>
      <c r="W362" s="9"/>
      <c r="X362" s="9"/>
      <c r="Y362" s="9"/>
      <c r="Z362" s="9"/>
    </row>
    <row r="363">
      <c r="A363" s="388"/>
      <c r="B363" s="396"/>
      <c r="C363" s="396"/>
      <c r="D363" s="396"/>
      <c r="E363" s="388"/>
      <c r="F363" s="395"/>
      <c r="G363" s="395"/>
      <c r="H363" s="388"/>
      <c r="I363" s="389"/>
      <c r="J363" s="389"/>
      <c r="K363" s="389"/>
      <c r="L363" s="460"/>
      <c r="M363" s="389"/>
      <c r="N363" s="389"/>
      <c r="O363" s="389"/>
      <c r="P363" s="389"/>
      <c r="Q363" s="389"/>
      <c r="R363" s="388"/>
      <c r="S363" s="388"/>
      <c r="T363" s="388"/>
      <c r="U363" s="388"/>
      <c r="V363" s="388"/>
      <c r="W363" s="9"/>
      <c r="X363" s="9"/>
      <c r="Y363" s="9"/>
      <c r="Z363" s="9"/>
    </row>
    <row r="364">
      <c r="A364" s="388"/>
      <c r="B364" s="396"/>
      <c r="C364" s="396"/>
      <c r="D364" s="396"/>
      <c r="E364" s="388"/>
      <c r="F364" s="395"/>
      <c r="G364" s="395"/>
      <c r="H364" s="388"/>
      <c r="I364" s="389"/>
      <c r="J364" s="389"/>
      <c r="K364" s="389"/>
      <c r="L364" s="460"/>
      <c r="M364" s="389"/>
      <c r="N364" s="389"/>
      <c r="O364" s="389"/>
      <c r="P364" s="389"/>
      <c r="Q364" s="389"/>
      <c r="R364" s="388"/>
      <c r="S364" s="388"/>
      <c r="T364" s="388"/>
      <c r="U364" s="388"/>
      <c r="V364" s="388"/>
      <c r="W364" s="9"/>
      <c r="X364" s="9"/>
      <c r="Y364" s="9"/>
      <c r="Z364" s="9"/>
    </row>
    <row r="365">
      <c r="A365" s="388"/>
      <c r="B365" s="396"/>
      <c r="C365" s="396"/>
      <c r="D365" s="396"/>
      <c r="E365" s="388"/>
      <c r="F365" s="395"/>
      <c r="G365" s="395"/>
      <c r="H365" s="388"/>
      <c r="I365" s="389"/>
      <c r="J365" s="389"/>
      <c r="K365" s="389"/>
      <c r="L365" s="460"/>
      <c r="M365" s="389"/>
      <c r="N365" s="389"/>
      <c r="O365" s="389"/>
      <c r="P365" s="389"/>
      <c r="Q365" s="389"/>
      <c r="R365" s="388"/>
      <c r="S365" s="388"/>
      <c r="T365" s="388"/>
      <c r="U365" s="388"/>
      <c r="V365" s="388"/>
      <c r="W365" s="9"/>
      <c r="X365" s="9"/>
      <c r="Y365" s="9"/>
      <c r="Z365" s="9"/>
    </row>
    <row r="366">
      <c r="A366" s="388"/>
      <c r="B366" s="396"/>
      <c r="C366" s="396"/>
      <c r="D366" s="396"/>
      <c r="E366" s="388"/>
      <c r="F366" s="395"/>
      <c r="G366" s="395"/>
      <c r="H366" s="388"/>
      <c r="I366" s="389"/>
      <c r="J366" s="389"/>
      <c r="K366" s="389"/>
      <c r="L366" s="460"/>
      <c r="M366" s="389"/>
      <c r="N366" s="389"/>
      <c r="O366" s="389"/>
      <c r="P366" s="389"/>
      <c r="Q366" s="389"/>
      <c r="R366" s="388"/>
      <c r="S366" s="388"/>
      <c r="T366" s="388"/>
      <c r="U366" s="388"/>
      <c r="V366" s="388"/>
      <c r="W366" s="9"/>
      <c r="X366" s="9"/>
      <c r="Y366" s="9"/>
      <c r="Z366" s="9"/>
    </row>
    <row r="367">
      <c r="A367" s="388"/>
      <c r="B367" s="396"/>
      <c r="C367" s="396"/>
      <c r="D367" s="396"/>
      <c r="E367" s="388"/>
      <c r="F367" s="395"/>
      <c r="G367" s="395"/>
      <c r="H367" s="388"/>
      <c r="I367" s="389"/>
      <c r="J367" s="389"/>
      <c r="K367" s="389"/>
      <c r="L367" s="460"/>
      <c r="M367" s="389"/>
      <c r="N367" s="389"/>
      <c r="O367" s="389"/>
      <c r="P367" s="389"/>
      <c r="Q367" s="389"/>
      <c r="R367" s="388"/>
      <c r="S367" s="388"/>
      <c r="T367" s="388"/>
      <c r="U367" s="388"/>
      <c r="V367" s="388"/>
      <c r="W367" s="9"/>
      <c r="X367" s="9"/>
      <c r="Y367" s="9"/>
      <c r="Z367" s="9"/>
    </row>
    <row r="368">
      <c r="A368" s="388"/>
      <c r="B368" s="396"/>
      <c r="C368" s="396"/>
      <c r="D368" s="396"/>
      <c r="E368" s="388"/>
      <c r="F368" s="395"/>
      <c r="G368" s="395"/>
      <c r="H368" s="388"/>
      <c r="I368" s="389"/>
      <c r="J368" s="389"/>
      <c r="K368" s="389"/>
      <c r="L368" s="460"/>
      <c r="M368" s="389"/>
      <c r="N368" s="389"/>
      <c r="O368" s="389"/>
      <c r="P368" s="389"/>
      <c r="Q368" s="389"/>
      <c r="R368" s="388"/>
      <c r="S368" s="388"/>
      <c r="T368" s="388"/>
      <c r="U368" s="388"/>
      <c r="V368" s="388"/>
      <c r="W368" s="9"/>
      <c r="X368" s="9"/>
      <c r="Y368" s="9"/>
      <c r="Z368" s="9"/>
    </row>
    <row r="369">
      <c r="A369" s="388"/>
      <c r="B369" s="396"/>
      <c r="C369" s="396"/>
      <c r="D369" s="396"/>
      <c r="E369" s="388"/>
      <c r="F369" s="395"/>
      <c r="G369" s="395"/>
      <c r="H369" s="388"/>
      <c r="I369" s="389"/>
      <c r="J369" s="389"/>
      <c r="K369" s="389"/>
      <c r="L369" s="460"/>
      <c r="M369" s="389"/>
      <c r="N369" s="389"/>
      <c r="O369" s="389"/>
      <c r="P369" s="389"/>
      <c r="Q369" s="389"/>
      <c r="R369" s="388"/>
      <c r="S369" s="388"/>
      <c r="T369" s="388"/>
      <c r="U369" s="388"/>
      <c r="V369" s="388"/>
      <c r="W369" s="9"/>
      <c r="X369" s="9"/>
      <c r="Y369" s="9"/>
      <c r="Z369" s="9"/>
    </row>
    <row r="370">
      <c r="A370" s="388"/>
      <c r="B370" s="396"/>
      <c r="C370" s="396"/>
      <c r="D370" s="396"/>
      <c r="E370" s="388"/>
      <c r="F370" s="395"/>
      <c r="G370" s="395"/>
      <c r="H370" s="388"/>
      <c r="I370" s="389"/>
      <c r="J370" s="389"/>
      <c r="K370" s="389"/>
      <c r="L370" s="460"/>
      <c r="M370" s="389"/>
      <c r="N370" s="389"/>
      <c r="O370" s="389"/>
      <c r="P370" s="389"/>
      <c r="Q370" s="389"/>
      <c r="R370" s="388"/>
      <c r="S370" s="388"/>
      <c r="T370" s="388"/>
      <c r="U370" s="388"/>
      <c r="V370" s="388"/>
      <c r="W370" s="9"/>
      <c r="X370" s="9"/>
      <c r="Y370" s="9"/>
      <c r="Z370" s="9"/>
    </row>
    <row r="371">
      <c r="A371" s="388"/>
      <c r="B371" s="396"/>
      <c r="C371" s="396"/>
      <c r="D371" s="396"/>
      <c r="E371" s="388"/>
      <c r="F371" s="395"/>
      <c r="G371" s="395"/>
      <c r="H371" s="388"/>
      <c r="I371" s="389"/>
      <c r="J371" s="389"/>
      <c r="K371" s="389"/>
      <c r="L371" s="460"/>
      <c r="M371" s="389"/>
      <c r="N371" s="389"/>
      <c r="O371" s="389"/>
      <c r="P371" s="389"/>
      <c r="Q371" s="389"/>
      <c r="R371" s="388"/>
      <c r="S371" s="388"/>
      <c r="T371" s="388"/>
      <c r="U371" s="388"/>
      <c r="V371" s="388"/>
      <c r="W371" s="9"/>
      <c r="X371" s="9"/>
      <c r="Y371" s="9"/>
      <c r="Z371" s="9"/>
    </row>
    <row r="372">
      <c r="A372" s="388"/>
      <c r="B372" s="396"/>
      <c r="C372" s="396"/>
      <c r="D372" s="396"/>
      <c r="E372" s="388"/>
      <c r="F372" s="395"/>
      <c r="G372" s="395"/>
      <c r="H372" s="388"/>
      <c r="I372" s="389"/>
      <c r="J372" s="389"/>
      <c r="K372" s="389"/>
      <c r="L372" s="460"/>
      <c r="M372" s="389"/>
      <c r="N372" s="389"/>
      <c r="O372" s="389"/>
      <c r="P372" s="389"/>
      <c r="Q372" s="389"/>
      <c r="R372" s="388"/>
      <c r="S372" s="388"/>
      <c r="T372" s="388"/>
      <c r="U372" s="388"/>
      <c r="V372" s="388"/>
      <c r="W372" s="9"/>
      <c r="X372" s="9"/>
      <c r="Y372" s="9"/>
      <c r="Z372" s="9"/>
    </row>
    <row r="373">
      <c r="A373" s="388"/>
      <c r="B373" s="396"/>
      <c r="C373" s="396"/>
      <c r="D373" s="396"/>
      <c r="E373" s="388"/>
      <c r="F373" s="395"/>
      <c r="G373" s="395"/>
      <c r="H373" s="388"/>
      <c r="I373" s="389"/>
      <c r="J373" s="389"/>
      <c r="K373" s="389"/>
      <c r="L373" s="460"/>
      <c r="M373" s="389"/>
      <c r="N373" s="389"/>
      <c r="O373" s="389"/>
      <c r="P373" s="389"/>
      <c r="Q373" s="389"/>
      <c r="R373" s="388"/>
      <c r="S373" s="388"/>
      <c r="T373" s="388"/>
      <c r="U373" s="388"/>
      <c r="V373" s="388"/>
      <c r="W373" s="9"/>
      <c r="X373" s="9"/>
      <c r="Y373" s="9"/>
      <c r="Z373" s="9"/>
    </row>
    <row r="374">
      <c r="A374" s="388"/>
      <c r="B374" s="396"/>
      <c r="C374" s="396"/>
      <c r="D374" s="396"/>
      <c r="E374" s="388"/>
      <c r="F374" s="395"/>
      <c r="G374" s="395"/>
      <c r="H374" s="388"/>
      <c r="I374" s="389"/>
      <c r="J374" s="389"/>
      <c r="K374" s="389"/>
      <c r="L374" s="460"/>
      <c r="M374" s="389"/>
      <c r="N374" s="389"/>
      <c r="O374" s="389"/>
      <c r="P374" s="389"/>
      <c r="Q374" s="389"/>
      <c r="R374" s="388"/>
      <c r="S374" s="388"/>
      <c r="T374" s="388"/>
      <c r="U374" s="388"/>
      <c r="V374" s="388"/>
      <c r="W374" s="9"/>
      <c r="X374" s="9"/>
      <c r="Y374" s="9"/>
      <c r="Z374" s="9"/>
    </row>
    <row r="375">
      <c r="A375" s="388"/>
      <c r="B375" s="396"/>
      <c r="C375" s="396"/>
      <c r="D375" s="396"/>
      <c r="E375" s="388"/>
      <c r="F375" s="395"/>
      <c r="G375" s="395"/>
      <c r="H375" s="388"/>
      <c r="I375" s="389"/>
      <c r="J375" s="389"/>
      <c r="K375" s="389"/>
      <c r="L375" s="460"/>
      <c r="M375" s="389"/>
      <c r="N375" s="389"/>
      <c r="O375" s="389"/>
      <c r="P375" s="389"/>
      <c r="Q375" s="389"/>
      <c r="R375" s="388"/>
      <c r="S375" s="388"/>
      <c r="T375" s="388"/>
      <c r="U375" s="388"/>
      <c r="V375" s="388"/>
      <c r="W375" s="9"/>
      <c r="X375" s="9"/>
      <c r="Y375" s="9"/>
      <c r="Z375" s="9"/>
    </row>
    <row r="376">
      <c r="A376" s="388"/>
      <c r="B376" s="396"/>
      <c r="C376" s="396"/>
      <c r="D376" s="396"/>
      <c r="E376" s="388"/>
      <c r="F376" s="395"/>
      <c r="G376" s="395"/>
      <c r="H376" s="388"/>
      <c r="I376" s="389"/>
      <c r="J376" s="389"/>
      <c r="K376" s="389"/>
      <c r="L376" s="460"/>
      <c r="M376" s="389"/>
      <c r="N376" s="389"/>
      <c r="O376" s="389"/>
      <c r="P376" s="389"/>
      <c r="Q376" s="389"/>
      <c r="R376" s="388"/>
      <c r="S376" s="388"/>
      <c r="T376" s="388"/>
      <c r="U376" s="388"/>
      <c r="V376" s="388"/>
      <c r="W376" s="9"/>
      <c r="X376" s="9"/>
      <c r="Y376" s="9"/>
      <c r="Z376" s="9"/>
    </row>
    <row r="377">
      <c r="A377" s="388"/>
      <c r="B377" s="396"/>
      <c r="C377" s="396"/>
      <c r="D377" s="396"/>
      <c r="E377" s="388"/>
      <c r="F377" s="395"/>
      <c r="G377" s="395"/>
      <c r="H377" s="388"/>
      <c r="I377" s="389"/>
      <c r="J377" s="389"/>
      <c r="K377" s="389"/>
      <c r="L377" s="460"/>
      <c r="M377" s="389"/>
      <c r="N377" s="389"/>
      <c r="O377" s="389"/>
      <c r="P377" s="389"/>
      <c r="Q377" s="389"/>
      <c r="R377" s="388"/>
      <c r="S377" s="388"/>
      <c r="T377" s="388"/>
      <c r="U377" s="388"/>
      <c r="V377" s="388"/>
      <c r="W377" s="9"/>
      <c r="X377" s="9"/>
      <c r="Y377" s="9"/>
      <c r="Z377" s="9"/>
    </row>
    <row r="378">
      <c r="A378" s="388"/>
      <c r="B378" s="396"/>
      <c r="C378" s="396"/>
      <c r="D378" s="396"/>
      <c r="E378" s="388"/>
      <c r="F378" s="395"/>
      <c r="G378" s="395"/>
      <c r="H378" s="388"/>
      <c r="I378" s="389"/>
      <c r="J378" s="389"/>
      <c r="K378" s="389"/>
      <c r="L378" s="460"/>
      <c r="M378" s="389"/>
      <c r="N378" s="389"/>
      <c r="O378" s="389"/>
      <c r="P378" s="389"/>
      <c r="Q378" s="389"/>
      <c r="R378" s="388"/>
      <c r="S378" s="388"/>
      <c r="T378" s="388"/>
      <c r="U378" s="388"/>
      <c r="V378" s="388"/>
      <c r="W378" s="9"/>
      <c r="X378" s="9"/>
      <c r="Y378" s="9"/>
      <c r="Z378" s="9"/>
    </row>
    <row r="379">
      <c r="A379" s="388"/>
      <c r="B379" s="396"/>
      <c r="C379" s="396"/>
      <c r="D379" s="396"/>
      <c r="E379" s="388"/>
      <c r="F379" s="395"/>
      <c r="G379" s="395"/>
      <c r="H379" s="388"/>
      <c r="I379" s="389"/>
      <c r="J379" s="389"/>
      <c r="K379" s="389"/>
      <c r="L379" s="460"/>
      <c r="M379" s="389"/>
      <c r="N379" s="389"/>
      <c r="O379" s="389"/>
      <c r="P379" s="389"/>
      <c r="Q379" s="389"/>
      <c r="R379" s="388"/>
      <c r="S379" s="388"/>
      <c r="T379" s="388"/>
      <c r="U379" s="388"/>
      <c r="V379" s="388"/>
      <c r="W379" s="9"/>
      <c r="X379" s="9"/>
      <c r="Y379" s="9"/>
      <c r="Z379" s="9"/>
    </row>
    <row r="380">
      <c r="A380" s="388"/>
      <c r="B380" s="396"/>
      <c r="C380" s="396"/>
      <c r="D380" s="396"/>
      <c r="E380" s="388"/>
      <c r="F380" s="395"/>
      <c r="G380" s="395"/>
      <c r="H380" s="388"/>
      <c r="I380" s="389"/>
      <c r="J380" s="389"/>
      <c r="K380" s="389"/>
      <c r="L380" s="460"/>
      <c r="M380" s="389"/>
      <c r="N380" s="389"/>
      <c r="O380" s="389"/>
      <c r="P380" s="389"/>
      <c r="Q380" s="389"/>
      <c r="R380" s="388"/>
      <c r="S380" s="388"/>
      <c r="T380" s="388"/>
      <c r="U380" s="388"/>
      <c r="V380" s="388"/>
      <c r="W380" s="9"/>
      <c r="X380" s="9"/>
      <c r="Y380" s="9"/>
      <c r="Z380" s="9"/>
    </row>
    <row r="381">
      <c r="A381" s="388"/>
      <c r="B381" s="396"/>
      <c r="C381" s="396"/>
      <c r="D381" s="396"/>
      <c r="E381" s="388"/>
      <c r="F381" s="395"/>
      <c r="G381" s="395"/>
      <c r="H381" s="388"/>
      <c r="I381" s="389"/>
      <c r="J381" s="389"/>
      <c r="K381" s="389"/>
      <c r="L381" s="460"/>
      <c r="M381" s="389"/>
      <c r="N381" s="389"/>
      <c r="O381" s="389"/>
      <c r="P381" s="389"/>
      <c r="Q381" s="389"/>
      <c r="R381" s="388"/>
      <c r="S381" s="388"/>
      <c r="T381" s="388"/>
      <c r="U381" s="388"/>
      <c r="V381" s="388"/>
      <c r="W381" s="9"/>
      <c r="X381" s="9"/>
      <c r="Y381" s="9"/>
      <c r="Z381" s="9"/>
    </row>
    <row r="382">
      <c r="A382" s="388"/>
      <c r="B382" s="396"/>
      <c r="C382" s="396"/>
      <c r="D382" s="396"/>
      <c r="E382" s="388"/>
      <c r="F382" s="395"/>
      <c r="G382" s="395"/>
      <c r="H382" s="388"/>
      <c r="I382" s="389"/>
      <c r="J382" s="389"/>
      <c r="K382" s="389"/>
      <c r="L382" s="460"/>
      <c r="M382" s="389"/>
      <c r="N382" s="389"/>
      <c r="O382" s="389"/>
      <c r="P382" s="389"/>
      <c r="Q382" s="389"/>
      <c r="R382" s="388"/>
      <c r="S382" s="388"/>
      <c r="T382" s="388"/>
      <c r="U382" s="388"/>
      <c r="V382" s="388"/>
      <c r="W382" s="9"/>
      <c r="X382" s="9"/>
      <c r="Y382" s="9"/>
      <c r="Z382" s="9"/>
    </row>
    <row r="383">
      <c r="A383" s="388"/>
      <c r="B383" s="396"/>
      <c r="C383" s="396"/>
      <c r="D383" s="396"/>
      <c r="E383" s="388"/>
      <c r="F383" s="395"/>
      <c r="G383" s="395"/>
      <c r="H383" s="388"/>
      <c r="I383" s="389"/>
      <c r="J383" s="389"/>
      <c r="K383" s="389"/>
      <c r="L383" s="460"/>
      <c r="M383" s="389"/>
      <c r="N383" s="389"/>
      <c r="O383" s="389"/>
      <c r="P383" s="389"/>
      <c r="Q383" s="389"/>
      <c r="R383" s="388"/>
      <c r="S383" s="388"/>
      <c r="T383" s="388"/>
      <c r="U383" s="388"/>
      <c r="V383" s="388"/>
      <c r="W383" s="9"/>
      <c r="X383" s="9"/>
      <c r="Y383" s="9"/>
      <c r="Z383" s="9"/>
    </row>
    <row r="384">
      <c r="A384" s="388"/>
      <c r="B384" s="396"/>
      <c r="C384" s="396"/>
      <c r="D384" s="396"/>
      <c r="E384" s="388"/>
      <c r="F384" s="395"/>
      <c r="G384" s="395"/>
      <c r="H384" s="388"/>
      <c r="I384" s="389"/>
      <c r="J384" s="389"/>
      <c r="K384" s="389"/>
      <c r="L384" s="460"/>
      <c r="M384" s="389"/>
      <c r="N384" s="389"/>
      <c r="O384" s="389"/>
      <c r="P384" s="389"/>
      <c r="Q384" s="389"/>
      <c r="R384" s="388"/>
      <c r="S384" s="388"/>
      <c r="T384" s="388"/>
      <c r="U384" s="388"/>
      <c r="V384" s="388"/>
      <c r="W384" s="9"/>
      <c r="X384" s="9"/>
      <c r="Y384" s="9"/>
      <c r="Z384" s="9"/>
    </row>
    <row r="385">
      <c r="A385" s="388"/>
      <c r="B385" s="396"/>
      <c r="C385" s="396"/>
      <c r="D385" s="396"/>
      <c r="E385" s="388"/>
      <c r="F385" s="395"/>
      <c r="G385" s="395"/>
      <c r="H385" s="388"/>
      <c r="I385" s="389"/>
      <c r="J385" s="389"/>
      <c r="K385" s="389"/>
      <c r="L385" s="460"/>
      <c r="M385" s="389"/>
      <c r="N385" s="389"/>
      <c r="O385" s="389"/>
      <c r="P385" s="389"/>
      <c r="Q385" s="389"/>
      <c r="R385" s="388"/>
      <c r="S385" s="388"/>
      <c r="T385" s="388"/>
      <c r="U385" s="388"/>
      <c r="V385" s="388"/>
      <c r="W385" s="9"/>
      <c r="X385" s="9"/>
      <c r="Y385" s="9"/>
      <c r="Z385" s="9"/>
    </row>
    <row r="386">
      <c r="A386" s="388"/>
      <c r="B386" s="396"/>
      <c r="C386" s="396"/>
      <c r="D386" s="396"/>
      <c r="E386" s="388"/>
      <c r="F386" s="395"/>
      <c r="G386" s="395"/>
      <c r="H386" s="388"/>
      <c r="I386" s="389"/>
      <c r="J386" s="389"/>
      <c r="K386" s="389"/>
      <c r="L386" s="460"/>
      <c r="M386" s="389"/>
      <c r="N386" s="389"/>
      <c r="O386" s="389"/>
      <c r="P386" s="389"/>
      <c r="Q386" s="389"/>
      <c r="R386" s="388"/>
      <c r="S386" s="388"/>
      <c r="T386" s="388"/>
      <c r="U386" s="388"/>
      <c r="V386" s="388"/>
      <c r="W386" s="9"/>
      <c r="X386" s="9"/>
      <c r="Y386" s="9"/>
      <c r="Z386" s="9"/>
    </row>
    <row r="387">
      <c r="A387" s="388"/>
      <c r="B387" s="396"/>
      <c r="C387" s="396"/>
      <c r="D387" s="396"/>
      <c r="E387" s="388"/>
      <c r="F387" s="395"/>
      <c r="G387" s="395"/>
      <c r="H387" s="388"/>
      <c r="I387" s="389"/>
      <c r="J387" s="389"/>
      <c r="K387" s="389"/>
      <c r="L387" s="460"/>
      <c r="M387" s="389"/>
      <c r="N387" s="389"/>
      <c r="O387" s="389"/>
      <c r="P387" s="389"/>
      <c r="Q387" s="389"/>
      <c r="R387" s="388"/>
      <c r="S387" s="388"/>
      <c r="T387" s="388"/>
      <c r="U387" s="388"/>
      <c r="V387" s="388"/>
      <c r="W387" s="9"/>
      <c r="X387" s="9"/>
      <c r="Y387" s="9"/>
      <c r="Z387" s="9"/>
    </row>
    <row r="388">
      <c r="A388" s="388"/>
      <c r="B388" s="396"/>
      <c r="C388" s="396"/>
      <c r="D388" s="396"/>
      <c r="E388" s="388"/>
      <c r="F388" s="395"/>
      <c r="G388" s="395"/>
      <c r="H388" s="388"/>
      <c r="I388" s="389"/>
      <c r="J388" s="389"/>
      <c r="K388" s="389"/>
      <c r="L388" s="460"/>
      <c r="M388" s="389"/>
      <c r="N388" s="389"/>
      <c r="O388" s="389"/>
      <c r="P388" s="389"/>
      <c r="Q388" s="389"/>
      <c r="R388" s="388"/>
      <c r="S388" s="388"/>
      <c r="T388" s="388"/>
      <c r="U388" s="388"/>
      <c r="V388" s="388"/>
      <c r="W388" s="9"/>
      <c r="X388" s="9"/>
      <c r="Y388" s="9"/>
      <c r="Z388" s="9"/>
    </row>
    <row r="389">
      <c r="A389" s="388"/>
      <c r="B389" s="396"/>
      <c r="C389" s="396"/>
      <c r="D389" s="396"/>
      <c r="E389" s="388"/>
      <c r="F389" s="395"/>
      <c r="G389" s="395"/>
      <c r="H389" s="388"/>
      <c r="I389" s="389"/>
      <c r="J389" s="389"/>
      <c r="K389" s="389"/>
      <c r="L389" s="460"/>
      <c r="M389" s="389"/>
      <c r="N389" s="389"/>
      <c r="O389" s="389"/>
      <c r="P389" s="389"/>
      <c r="Q389" s="389"/>
      <c r="R389" s="388"/>
      <c r="S389" s="388"/>
      <c r="T389" s="388"/>
      <c r="U389" s="388"/>
      <c r="V389" s="388"/>
      <c r="W389" s="9"/>
      <c r="X389" s="9"/>
      <c r="Y389" s="9"/>
      <c r="Z389" s="9"/>
    </row>
    <row r="390">
      <c r="A390" s="388"/>
      <c r="B390" s="396"/>
      <c r="C390" s="396"/>
      <c r="D390" s="396"/>
      <c r="E390" s="388"/>
      <c r="F390" s="395"/>
      <c r="G390" s="395"/>
      <c r="H390" s="388"/>
      <c r="I390" s="389"/>
      <c r="J390" s="389"/>
      <c r="K390" s="389"/>
      <c r="L390" s="460"/>
      <c r="M390" s="389"/>
      <c r="N390" s="389"/>
      <c r="O390" s="389"/>
      <c r="P390" s="389"/>
      <c r="Q390" s="389"/>
      <c r="R390" s="388"/>
      <c r="S390" s="388"/>
      <c r="T390" s="388"/>
      <c r="U390" s="388"/>
      <c r="V390" s="388"/>
      <c r="W390" s="9"/>
      <c r="X390" s="9"/>
      <c r="Y390" s="9"/>
      <c r="Z390" s="9"/>
    </row>
    <row r="391">
      <c r="A391" s="388"/>
      <c r="B391" s="396"/>
      <c r="C391" s="396"/>
      <c r="D391" s="396"/>
      <c r="E391" s="388"/>
      <c r="F391" s="395"/>
      <c r="G391" s="395"/>
      <c r="H391" s="388"/>
      <c r="I391" s="389"/>
      <c r="J391" s="389"/>
      <c r="K391" s="389"/>
      <c r="L391" s="460"/>
      <c r="M391" s="389"/>
      <c r="N391" s="389"/>
      <c r="O391" s="389"/>
      <c r="P391" s="389"/>
      <c r="Q391" s="389"/>
      <c r="R391" s="388"/>
      <c r="S391" s="388"/>
      <c r="T391" s="388"/>
      <c r="U391" s="388"/>
      <c r="V391" s="388"/>
      <c r="W391" s="9"/>
      <c r="X391" s="9"/>
      <c r="Y391" s="9"/>
      <c r="Z391" s="9"/>
    </row>
    <row r="392">
      <c r="A392" s="388"/>
      <c r="B392" s="396"/>
      <c r="C392" s="396"/>
      <c r="D392" s="396"/>
      <c r="E392" s="388"/>
      <c r="F392" s="395"/>
      <c r="G392" s="395"/>
      <c r="H392" s="388"/>
      <c r="I392" s="389"/>
      <c r="J392" s="389"/>
      <c r="K392" s="389"/>
      <c r="L392" s="460"/>
      <c r="M392" s="389"/>
      <c r="N392" s="389"/>
      <c r="O392" s="389"/>
      <c r="P392" s="389"/>
      <c r="Q392" s="389"/>
      <c r="R392" s="388"/>
      <c r="S392" s="388"/>
      <c r="T392" s="388"/>
      <c r="U392" s="388"/>
      <c r="V392" s="388"/>
      <c r="W392" s="9"/>
      <c r="X392" s="9"/>
      <c r="Y392" s="9"/>
      <c r="Z392" s="9"/>
    </row>
    <row r="393">
      <c r="A393" s="388"/>
      <c r="B393" s="396"/>
      <c r="C393" s="396"/>
      <c r="D393" s="396"/>
      <c r="E393" s="388"/>
      <c r="F393" s="395"/>
      <c r="G393" s="395"/>
      <c r="H393" s="388"/>
      <c r="I393" s="389"/>
      <c r="J393" s="389"/>
      <c r="K393" s="389"/>
      <c r="L393" s="460"/>
      <c r="M393" s="389"/>
      <c r="N393" s="389"/>
      <c r="O393" s="389"/>
      <c r="P393" s="389"/>
      <c r="Q393" s="389"/>
      <c r="R393" s="388"/>
      <c r="S393" s="388"/>
      <c r="T393" s="388"/>
      <c r="U393" s="388"/>
      <c r="V393" s="388"/>
      <c r="W393" s="9"/>
      <c r="X393" s="9"/>
      <c r="Y393" s="9"/>
      <c r="Z393" s="9"/>
    </row>
    <row r="394">
      <c r="A394" s="388"/>
      <c r="B394" s="396"/>
      <c r="C394" s="396"/>
      <c r="D394" s="396"/>
      <c r="E394" s="388"/>
      <c r="F394" s="395"/>
      <c r="G394" s="395"/>
      <c r="H394" s="388"/>
      <c r="I394" s="389"/>
      <c r="J394" s="389"/>
      <c r="K394" s="389"/>
      <c r="L394" s="460"/>
      <c r="M394" s="389"/>
      <c r="N394" s="389"/>
      <c r="O394" s="389"/>
      <c r="P394" s="389"/>
      <c r="Q394" s="389"/>
      <c r="R394" s="388"/>
      <c r="S394" s="388"/>
      <c r="T394" s="388"/>
      <c r="U394" s="388"/>
      <c r="V394" s="388"/>
      <c r="W394" s="9"/>
      <c r="X394" s="9"/>
      <c r="Y394" s="9"/>
      <c r="Z394" s="9"/>
    </row>
    <row r="395">
      <c r="A395" s="388"/>
      <c r="B395" s="396"/>
      <c r="C395" s="396"/>
      <c r="D395" s="396"/>
      <c r="E395" s="388"/>
      <c r="F395" s="395"/>
      <c r="G395" s="395"/>
      <c r="H395" s="388"/>
      <c r="I395" s="389"/>
      <c r="J395" s="389"/>
      <c r="K395" s="389"/>
      <c r="L395" s="460"/>
      <c r="M395" s="389"/>
      <c r="N395" s="389"/>
      <c r="O395" s="389"/>
      <c r="P395" s="389"/>
      <c r="Q395" s="389"/>
      <c r="R395" s="388"/>
      <c r="S395" s="388"/>
      <c r="T395" s="388"/>
      <c r="U395" s="388"/>
      <c r="V395" s="388"/>
      <c r="W395" s="9"/>
      <c r="X395" s="9"/>
      <c r="Y395" s="9"/>
      <c r="Z395" s="9"/>
    </row>
    <row r="396">
      <c r="A396" s="388"/>
      <c r="B396" s="396"/>
      <c r="C396" s="396"/>
      <c r="D396" s="396"/>
      <c r="E396" s="388"/>
      <c r="F396" s="395"/>
      <c r="G396" s="395"/>
      <c r="H396" s="388"/>
      <c r="I396" s="389"/>
      <c r="J396" s="389"/>
      <c r="K396" s="389"/>
      <c r="L396" s="460"/>
      <c r="M396" s="389"/>
      <c r="N396" s="389"/>
      <c r="O396" s="389"/>
      <c r="P396" s="389"/>
      <c r="Q396" s="389"/>
      <c r="R396" s="388"/>
      <c r="S396" s="388"/>
      <c r="T396" s="388"/>
      <c r="U396" s="388"/>
      <c r="V396" s="388"/>
      <c r="W396" s="9"/>
      <c r="X396" s="9"/>
      <c r="Y396" s="9"/>
      <c r="Z396" s="9"/>
    </row>
    <row r="397">
      <c r="A397" s="388"/>
      <c r="B397" s="396"/>
      <c r="C397" s="396"/>
      <c r="D397" s="396"/>
      <c r="E397" s="388"/>
      <c r="F397" s="395"/>
      <c r="G397" s="395"/>
      <c r="H397" s="388"/>
      <c r="I397" s="389"/>
      <c r="J397" s="389"/>
      <c r="K397" s="389"/>
      <c r="L397" s="460"/>
      <c r="M397" s="389"/>
      <c r="N397" s="389"/>
      <c r="O397" s="389"/>
      <c r="P397" s="389"/>
      <c r="Q397" s="389"/>
      <c r="R397" s="388"/>
      <c r="S397" s="388"/>
      <c r="T397" s="388"/>
      <c r="U397" s="388"/>
      <c r="V397" s="388"/>
      <c r="W397" s="9"/>
      <c r="X397" s="9"/>
      <c r="Y397" s="9"/>
      <c r="Z397" s="9"/>
    </row>
    <row r="398">
      <c r="A398" s="388"/>
      <c r="B398" s="396"/>
      <c r="C398" s="396"/>
      <c r="D398" s="396"/>
      <c r="E398" s="388"/>
      <c r="F398" s="395"/>
      <c r="G398" s="395"/>
      <c r="H398" s="388"/>
      <c r="I398" s="389"/>
      <c r="J398" s="389"/>
      <c r="K398" s="389"/>
      <c r="L398" s="460"/>
      <c r="M398" s="389"/>
      <c r="N398" s="389"/>
      <c r="O398" s="389"/>
      <c r="P398" s="389"/>
      <c r="Q398" s="389"/>
      <c r="R398" s="388"/>
      <c r="S398" s="388"/>
      <c r="T398" s="388"/>
      <c r="U398" s="388"/>
      <c r="V398" s="388"/>
      <c r="W398" s="9"/>
      <c r="X398" s="9"/>
      <c r="Y398" s="9"/>
      <c r="Z398" s="9"/>
    </row>
    <row r="399">
      <c r="A399" s="388"/>
      <c r="B399" s="396"/>
      <c r="C399" s="396"/>
      <c r="D399" s="396"/>
      <c r="E399" s="388"/>
      <c r="F399" s="395"/>
      <c r="G399" s="395"/>
      <c r="H399" s="388"/>
      <c r="I399" s="389"/>
      <c r="J399" s="389"/>
      <c r="K399" s="389"/>
      <c r="L399" s="460"/>
      <c r="M399" s="389"/>
      <c r="N399" s="389"/>
      <c r="O399" s="389"/>
      <c r="P399" s="389"/>
      <c r="Q399" s="389"/>
      <c r="R399" s="388"/>
      <c r="S399" s="388"/>
      <c r="T399" s="388"/>
      <c r="U399" s="388"/>
      <c r="V399" s="388"/>
      <c r="W399" s="9"/>
      <c r="X399" s="9"/>
      <c r="Y399" s="9"/>
      <c r="Z399" s="9"/>
    </row>
    <row r="400">
      <c r="A400" s="388"/>
      <c r="B400" s="396"/>
      <c r="C400" s="396"/>
      <c r="D400" s="396"/>
      <c r="E400" s="388"/>
      <c r="F400" s="395"/>
      <c r="G400" s="395"/>
      <c r="H400" s="388"/>
      <c r="I400" s="389"/>
      <c r="J400" s="389"/>
      <c r="K400" s="389"/>
      <c r="L400" s="460"/>
      <c r="M400" s="389"/>
      <c r="N400" s="389"/>
      <c r="O400" s="389"/>
      <c r="P400" s="389"/>
      <c r="Q400" s="389"/>
      <c r="R400" s="388"/>
      <c r="S400" s="388"/>
      <c r="T400" s="388"/>
      <c r="U400" s="388"/>
      <c r="V400" s="388"/>
      <c r="W400" s="9"/>
      <c r="X400" s="9"/>
      <c r="Y400" s="9"/>
      <c r="Z400" s="9"/>
    </row>
    <row r="401">
      <c r="A401" s="388"/>
      <c r="B401" s="396"/>
      <c r="C401" s="396"/>
      <c r="D401" s="396"/>
      <c r="E401" s="388"/>
      <c r="F401" s="395"/>
      <c r="G401" s="395"/>
      <c r="H401" s="388"/>
      <c r="I401" s="389"/>
      <c r="J401" s="389"/>
      <c r="K401" s="389"/>
      <c r="L401" s="460"/>
      <c r="M401" s="389"/>
      <c r="N401" s="389"/>
      <c r="O401" s="389"/>
      <c r="P401" s="389"/>
      <c r="Q401" s="389"/>
      <c r="R401" s="388"/>
      <c r="S401" s="388"/>
      <c r="T401" s="388"/>
      <c r="U401" s="388"/>
      <c r="V401" s="388"/>
      <c r="W401" s="9"/>
      <c r="X401" s="9"/>
      <c r="Y401" s="9"/>
      <c r="Z401" s="9"/>
    </row>
    <row r="402">
      <c r="A402" s="388"/>
      <c r="B402" s="396"/>
      <c r="C402" s="396"/>
      <c r="D402" s="396"/>
      <c r="E402" s="388"/>
      <c r="F402" s="395"/>
      <c r="G402" s="395"/>
      <c r="H402" s="388"/>
      <c r="I402" s="389"/>
      <c r="J402" s="389"/>
      <c r="K402" s="389"/>
      <c r="L402" s="460"/>
      <c r="M402" s="389"/>
      <c r="N402" s="389"/>
      <c r="O402" s="389"/>
      <c r="P402" s="389"/>
      <c r="Q402" s="389"/>
      <c r="R402" s="388"/>
      <c r="S402" s="388"/>
      <c r="T402" s="388"/>
      <c r="U402" s="388"/>
      <c r="V402" s="388"/>
      <c r="W402" s="9"/>
      <c r="X402" s="9"/>
      <c r="Y402" s="9"/>
      <c r="Z402" s="9"/>
    </row>
    <row r="403">
      <c r="A403" s="388"/>
      <c r="B403" s="396"/>
      <c r="C403" s="396"/>
      <c r="D403" s="396"/>
      <c r="E403" s="388"/>
      <c r="F403" s="395"/>
      <c r="G403" s="395"/>
      <c r="H403" s="388"/>
      <c r="I403" s="389"/>
      <c r="J403" s="389"/>
      <c r="K403" s="389"/>
      <c r="L403" s="460"/>
      <c r="M403" s="389"/>
      <c r="N403" s="389"/>
      <c r="O403" s="389"/>
      <c r="P403" s="389"/>
      <c r="Q403" s="389"/>
      <c r="R403" s="388"/>
      <c r="S403" s="388"/>
      <c r="T403" s="388"/>
      <c r="U403" s="388"/>
      <c r="V403" s="388"/>
      <c r="W403" s="9"/>
      <c r="X403" s="9"/>
      <c r="Y403" s="9"/>
      <c r="Z403" s="9"/>
    </row>
    <row r="404">
      <c r="A404" s="388"/>
      <c r="B404" s="396"/>
      <c r="C404" s="396"/>
      <c r="D404" s="396"/>
      <c r="E404" s="388"/>
      <c r="F404" s="395"/>
      <c r="G404" s="395"/>
      <c r="H404" s="388"/>
      <c r="I404" s="389"/>
      <c r="J404" s="389"/>
      <c r="K404" s="389"/>
      <c r="L404" s="460"/>
      <c r="M404" s="389"/>
      <c r="N404" s="389"/>
      <c r="O404" s="389"/>
      <c r="P404" s="389"/>
      <c r="Q404" s="389"/>
      <c r="R404" s="388"/>
      <c r="S404" s="388"/>
      <c r="T404" s="388"/>
      <c r="U404" s="388"/>
      <c r="V404" s="388"/>
      <c r="W404" s="9"/>
      <c r="X404" s="9"/>
      <c r="Y404" s="9"/>
      <c r="Z404" s="9"/>
    </row>
    <row r="405">
      <c r="A405" s="388"/>
      <c r="B405" s="396"/>
      <c r="C405" s="396"/>
      <c r="D405" s="396"/>
      <c r="E405" s="388"/>
      <c r="F405" s="395"/>
      <c r="G405" s="395"/>
      <c r="H405" s="388"/>
      <c r="I405" s="389"/>
      <c r="J405" s="389"/>
      <c r="K405" s="389"/>
      <c r="L405" s="460"/>
      <c r="M405" s="389"/>
      <c r="N405" s="389"/>
      <c r="O405" s="389"/>
      <c r="P405" s="389"/>
      <c r="Q405" s="389"/>
      <c r="R405" s="388"/>
      <c r="S405" s="388"/>
      <c r="T405" s="388"/>
      <c r="U405" s="388"/>
      <c r="V405" s="388"/>
      <c r="W405" s="9"/>
      <c r="X405" s="9"/>
      <c r="Y405" s="9"/>
      <c r="Z405" s="9"/>
    </row>
    <row r="406">
      <c r="A406" s="388"/>
      <c r="B406" s="396"/>
      <c r="C406" s="396"/>
      <c r="D406" s="396"/>
      <c r="E406" s="388"/>
      <c r="F406" s="395"/>
      <c r="G406" s="395"/>
      <c r="H406" s="388"/>
      <c r="I406" s="389"/>
      <c r="J406" s="389"/>
      <c r="K406" s="389"/>
      <c r="L406" s="460"/>
      <c r="M406" s="389"/>
      <c r="N406" s="389"/>
      <c r="O406" s="389"/>
      <c r="P406" s="389"/>
      <c r="Q406" s="389"/>
      <c r="R406" s="388"/>
      <c r="S406" s="388"/>
      <c r="T406" s="388"/>
      <c r="U406" s="388"/>
      <c r="V406" s="388"/>
      <c r="W406" s="9"/>
      <c r="X406" s="9"/>
      <c r="Y406" s="9"/>
      <c r="Z406" s="9"/>
    </row>
    <row r="407">
      <c r="A407" s="388"/>
      <c r="B407" s="396"/>
      <c r="C407" s="396"/>
      <c r="D407" s="396"/>
      <c r="E407" s="388"/>
      <c r="F407" s="395"/>
      <c r="G407" s="395"/>
      <c r="H407" s="388"/>
      <c r="I407" s="389"/>
      <c r="J407" s="389"/>
      <c r="K407" s="389"/>
      <c r="L407" s="460"/>
      <c r="M407" s="389"/>
      <c r="N407" s="389"/>
      <c r="O407" s="389"/>
      <c r="P407" s="389"/>
      <c r="Q407" s="389"/>
      <c r="R407" s="388"/>
      <c r="S407" s="388"/>
      <c r="T407" s="388"/>
      <c r="U407" s="388"/>
      <c r="V407" s="388"/>
      <c r="W407" s="9"/>
      <c r="X407" s="9"/>
      <c r="Y407" s="9"/>
      <c r="Z407" s="9"/>
    </row>
    <row r="408">
      <c r="A408" s="388"/>
      <c r="B408" s="396"/>
      <c r="C408" s="396"/>
      <c r="D408" s="396"/>
      <c r="E408" s="388"/>
      <c r="F408" s="395"/>
      <c r="G408" s="395"/>
      <c r="H408" s="388"/>
      <c r="I408" s="389"/>
      <c r="J408" s="389"/>
      <c r="K408" s="389"/>
      <c r="L408" s="460"/>
      <c r="M408" s="389"/>
      <c r="N408" s="389"/>
      <c r="O408" s="389"/>
      <c r="P408" s="389"/>
      <c r="Q408" s="389"/>
      <c r="R408" s="388"/>
      <c r="S408" s="388"/>
      <c r="T408" s="388"/>
      <c r="U408" s="388"/>
      <c r="V408" s="388"/>
      <c r="W408" s="9"/>
      <c r="X408" s="9"/>
      <c r="Y408" s="9"/>
      <c r="Z408" s="9"/>
    </row>
    <row r="409">
      <c r="A409" s="388"/>
      <c r="B409" s="396"/>
      <c r="C409" s="396"/>
      <c r="D409" s="396"/>
      <c r="E409" s="388"/>
      <c r="F409" s="395"/>
      <c r="G409" s="395"/>
      <c r="H409" s="388"/>
      <c r="I409" s="389"/>
      <c r="J409" s="389"/>
      <c r="K409" s="389"/>
      <c r="L409" s="460"/>
      <c r="M409" s="389"/>
      <c r="N409" s="389"/>
      <c r="O409" s="389"/>
      <c r="P409" s="389"/>
      <c r="Q409" s="389"/>
      <c r="R409" s="388"/>
      <c r="S409" s="388"/>
      <c r="T409" s="388"/>
      <c r="U409" s="388"/>
      <c r="V409" s="388"/>
      <c r="W409" s="9"/>
      <c r="X409" s="9"/>
      <c r="Y409" s="9"/>
      <c r="Z409" s="9"/>
    </row>
    <row r="410">
      <c r="A410" s="388"/>
      <c r="B410" s="396"/>
      <c r="C410" s="396"/>
      <c r="D410" s="396"/>
      <c r="E410" s="388"/>
      <c r="F410" s="395"/>
      <c r="G410" s="395"/>
      <c r="H410" s="388"/>
      <c r="I410" s="389"/>
      <c r="J410" s="389"/>
      <c r="K410" s="389"/>
      <c r="L410" s="460"/>
      <c r="M410" s="389"/>
      <c r="N410" s="389"/>
      <c r="O410" s="389"/>
      <c r="P410" s="389"/>
      <c r="Q410" s="389"/>
      <c r="R410" s="388"/>
      <c r="S410" s="388"/>
      <c r="T410" s="388"/>
      <c r="U410" s="388"/>
      <c r="V410" s="388"/>
      <c r="W410" s="9"/>
      <c r="X410" s="9"/>
      <c r="Y410" s="9"/>
      <c r="Z410" s="9"/>
    </row>
    <row r="411">
      <c r="A411" s="388"/>
      <c r="B411" s="396"/>
      <c r="C411" s="396"/>
      <c r="D411" s="396"/>
      <c r="E411" s="388"/>
      <c r="F411" s="395"/>
      <c r="G411" s="395"/>
      <c r="H411" s="388"/>
      <c r="I411" s="389"/>
      <c r="J411" s="389"/>
      <c r="K411" s="389"/>
      <c r="L411" s="460"/>
      <c r="M411" s="389"/>
      <c r="N411" s="389"/>
      <c r="O411" s="389"/>
      <c r="P411" s="389"/>
      <c r="Q411" s="389"/>
      <c r="R411" s="388"/>
      <c r="S411" s="388"/>
      <c r="T411" s="388"/>
      <c r="U411" s="388"/>
      <c r="V411" s="388"/>
      <c r="W411" s="9"/>
      <c r="X411" s="9"/>
      <c r="Y411" s="9"/>
      <c r="Z411" s="9"/>
    </row>
    <row r="412">
      <c r="A412" s="388"/>
      <c r="B412" s="396"/>
      <c r="C412" s="396"/>
      <c r="D412" s="396"/>
      <c r="E412" s="388"/>
      <c r="F412" s="395"/>
      <c r="G412" s="395"/>
      <c r="H412" s="388"/>
      <c r="I412" s="389"/>
      <c r="J412" s="389"/>
      <c r="K412" s="389"/>
      <c r="L412" s="460"/>
      <c r="M412" s="389"/>
      <c r="N412" s="389"/>
      <c r="O412" s="389"/>
      <c r="P412" s="389"/>
      <c r="Q412" s="389"/>
      <c r="R412" s="388"/>
      <c r="S412" s="388"/>
      <c r="T412" s="388"/>
      <c r="U412" s="388"/>
      <c r="V412" s="388"/>
      <c r="W412" s="9"/>
      <c r="X412" s="9"/>
      <c r="Y412" s="9"/>
      <c r="Z412" s="9"/>
    </row>
    <row r="413">
      <c r="A413" s="388"/>
      <c r="B413" s="396"/>
      <c r="C413" s="396"/>
      <c r="D413" s="396"/>
      <c r="E413" s="388"/>
      <c r="F413" s="395"/>
      <c r="G413" s="395"/>
      <c r="H413" s="388"/>
      <c r="I413" s="389"/>
      <c r="J413" s="389"/>
      <c r="K413" s="389"/>
      <c r="L413" s="460"/>
      <c r="M413" s="389"/>
      <c r="N413" s="389"/>
      <c r="O413" s="389"/>
      <c r="P413" s="389"/>
      <c r="Q413" s="389"/>
      <c r="R413" s="388"/>
      <c r="S413" s="388"/>
      <c r="T413" s="388"/>
      <c r="U413" s="388"/>
      <c r="V413" s="388"/>
      <c r="W413" s="9"/>
      <c r="X413" s="9"/>
      <c r="Y413" s="9"/>
      <c r="Z413" s="9"/>
    </row>
    <row r="414">
      <c r="A414" s="388"/>
      <c r="B414" s="396"/>
      <c r="C414" s="396"/>
      <c r="D414" s="396"/>
      <c r="E414" s="388"/>
      <c r="F414" s="395"/>
      <c r="G414" s="395"/>
      <c r="H414" s="388"/>
      <c r="I414" s="389"/>
      <c r="J414" s="389"/>
      <c r="K414" s="389"/>
      <c r="L414" s="460"/>
      <c r="M414" s="389"/>
      <c r="N414" s="389"/>
      <c r="O414" s="389"/>
      <c r="P414" s="389"/>
      <c r="Q414" s="389"/>
      <c r="R414" s="388"/>
      <c r="S414" s="388"/>
      <c r="T414" s="388"/>
      <c r="U414" s="388"/>
      <c r="V414" s="388"/>
      <c r="W414" s="9"/>
      <c r="X414" s="9"/>
      <c r="Y414" s="9"/>
      <c r="Z414" s="9"/>
    </row>
    <row r="415">
      <c r="A415" s="388"/>
      <c r="B415" s="396"/>
      <c r="C415" s="396"/>
      <c r="D415" s="396"/>
      <c r="E415" s="388"/>
      <c r="F415" s="395"/>
      <c r="G415" s="395"/>
      <c r="H415" s="388"/>
      <c r="I415" s="389"/>
      <c r="J415" s="389"/>
      <c r="K415" s="389"/>
      <c r="L415" s="460"/>
      <c r="M415" s="389"/>
      <c r="N415" s="389"/>
      <c r="O415" s="389"/>
      <c r="P415" s="389"/>
      <c r="Q415" s="389"/>
      <c r="R415" s="388"/>
      <c r="S415" s="388"/>
      <c r="T415" s="388"/>
      <c r="U415" s="388"/>
      <c r="V415" s="388"/>
      <c r="W415" s="9"/>
      <c r="X415" s="9"/>
      <c r="Y415" s="9"/>
      <c r="Z415" s="9"/>
    </row>
    <row r="416">
      <c r="A416" s="388"/>
      <c r="B416" s="396"/>
      <c r="C416" s="396"/>
      <c r="D416" s="396"/>
      <c r="E416" s="388"/>
      <c r="F416" s="395"/>
      <c r="G416" s="395"/>
      <c r="H416" s="388"/>
      <c r="I416" s="389"/>
      <c r="J416" s="389"/>
      <c r="K416" s="389"/>
      <c r="L416" s="460"/>
      <c r="M416" s="389"/>
      <c r="N416" s="389"/>
      <c r="O416" s="389"/>
      <c r="P416" s="389"/>
      <c r="Q416" s="389"/>
      <c r="R416" s="388"/>
      <c r="S416" s="388"/>
      <c r="T416" s="388"/>
      <c r="U416" s="388"/>
      <c r="V416" s="388"/>
      <c r="W416" s="9"/>
      <c r="X416" s="9"/>
      <c r="Y416" s="9"/>
      <c r="Z416" s="9"/>
    </row>
    <row r="417">
      <c r="A417" s="388"/>
      <c r="B417" s="396"/>
      <c r="C417" s="396"/>
      <c r="D417" s="396"/>
      <c r="E417" s="388"/>
      <c r="F417" s="395"/>
      <c r="G417" s="395"/>
      <c r="H417" s="388"/>
      <c r="I417" s="389"/>
      <c r="J417" s="389"/>
      <c r="K417" s="389"/>
      <c r="L417" s="460"/>
      <c r="M417" s="389"/>
      <c r="N417" s="389"/>
      <c r="O417" s="389"/>
      <c r="P417" s="389"/>
      <c r="Q417" s="389"/>
      <c r="R417" s="388"/>
      <c r="S417" s="388"/>
      <c r="T417" s="388"/>
      <c r="U417" s="388"/>
      <c r="V417" s="388"/>
      <c r="W417" s="9"/>
      <c r="X417" s="9"/>
      <c r="Y417" s="9"/>
      <c r="Z417" s="9"/>
    </row>
    <row r="418">
      <c r="A418" s="388"/>
      <c r="B418" s="396"/>
      <c r="C418" s="396"/>
      <c r="D418" s="396"/>
      <c r="E418" s="388"/>
      <c r="F418" s="395"/>
      <c r="G418" s="395"/>
      <c r="H418" s="388"/>
      <c r="I418" s="389"/>
      <c r="J418" s="389"/>
      <c r="K418" s="389"/>
      <c r="L418" s="460"/>
      <c r="M418" s="389"/>
      <c r="N418" s="389"/>
      <c r="O418" s="389"/>
      <c r="P418" s="389"/>
      <c r="Q418" s="389"/>
      <c r="R418" s="388"/>
      <c r="S418" s="388"/>
      <c r="T418" s="388"/>
      <c r="U418" s="388"/>
      <c r="V418" s="388"/>
      <c r="W418" s="9"/>
      <c r="X418" s="9"/>
      <c r="Y418" s="9"/>
      <c r="Z418" s="9"/>
    </row>
    <row r="419">
      <c r="A419" s="388"/>
      <c r="B419" s="396"/>
      <c r="C419" s="396"/>
      <c r="D419" s="396"/>
      <c r="E419" s="388"/>
      <c r="F419" s="395"/>
      <c r="G419" s="395"/>
      <c r="H419" s="388"/>
      <c r="I419" s="389"/>
      <c r="J419" s="389"/>
      <c r="K419" s="389"/>
      <c r="L419" s="460"/>
      <c r="M419" s="389"/>
      <c r="N419" s="389"/>
      <c r="O419" s="389"/>
      <c r="P419" s="389"/>
      <c r="Q419" s="389"/>
      <c r="R419" s="388"/>
      <c r="S419" s="388"/>
      <c r="T419" s="388"/>
      <c r="U419" s="388"/>
      <c r="V419" s="388"/>
      <c r="W419" s="9"/>
      <c r="X419" s="9"/>
      <c r="Y419" s="9"/>
      <c r="Z419" s="9"/>
    </row>
    <row r="420">
      <c r="A420" s="388"/>
      <c r="B420" s="396"/>
      <c r="C420" s="396"/>
      <c r="D420" s="396"/>
      <c r="E420" s="388"/>
      <c r="F420" s="395"/>
      <c r="G420" s="395"/>
      <c r="H420" s="388"/>
      <c r="I420" s="389"/>
      <c r="J420" s="389"/>
      <c r="K420" s="389"/>
      <c r="L420" s="460"/>
      <c r="M420" s="389"/>
      <c r="N420" s="389"/>
      <c r="O420" s="389"/>
      <c r="P420" s="389"/>
      <c r="Q420" s="389"/>
      <c r="R420" s="388"/>
      <c r="S420" s="388"/>
      <c r="T420" s="388"/>
      <c r="U420" s="388"/>
      <c r="V420" s="388"/>
      <c r="W420" s="9"/>
      <c r="X420" s="9"/>
      <c r="Y420" s="9"/>
      <c r="Z420" s="9"/>
    </row>
    <row r="421">
      <c r="A421" s="388"/>
      <c r="B421" s="396"/>
      <c r="C421" s="396"/>
      <c r="D421" s="396"/>
      <c r="E421" s="388"/>
      <c r="F421" s="395"/>
      <c r="G421" s="395"/>
      <c r="H421" s="388"/>
      <c r="I421" s="389"/>
      <c r="J421" s="389"/>
      <c r="K421" s="389"/>
      <c r="L421" s="460"/>
      <c r="M421" s="389"/>
      <c r="N421" s="389"/>
      <c r="O421" s="389"/>
      <c r="P421" s="389"/>
      <c r="Q421" s="389"/>
      <c r="R421" s="388"/>
      <c r="S421" s="388"/>
      <c r="T421" s="388"/>
      <c r="U421" s="388"/>
      <c r="V421" s="388"/>
      <c r="W421" s="9"/>
      <c r="X421" s="9"/>
      <c r="Y421" s="9"/>
      <c r="Z421" s="9"/>
    </row>
    <row r="422">
      <c r="A422" s="388"/>
      <c r="B422" s="396"/>
      <c r="C422" s="396"/>
      <c r="D422" s="396"/>
      <c r="E422" s="388"/>
      <c r="F422" s="395"/>
      <c r="G422" s="395"/>
      <c r="H422" s="388"/>
      <c r="I422" s="389"/>
      <c r="J422" s="389"/>
      <c r="K422" s="389"/>
      <c r="L422" s="460"/>
      <c r="M422" s="389"/>
      <c r="N422" s="389"/>
      <c r="O422" s="389"/>
      <c r="P422" s="389"/>
      <c r="Q422" s="389"/>
      <c r="R422" s="388"/>
      <c r="S422" s="388"/>
      <c r="T422" s="388"/>
      <c r="U422" s="388"/>
      <c r="V422" s="388"/>
      <c r="W422" s="9"/>
      <c r="X422" s="9"/>
      <c r="Y422" s="9"/>
      <c r="Z422" s="9"/>
    </row>
    <row r="423">
      <c r="A423" s="388"/>
      <c r="B423" s="396"/>
      <c r="C423" s="396"/>
      <c r="D423" s="396"/>
      <c r="E423" s="388"/>
      <c r="F423" s="395"/>
      <c r="G423" s="395"/>
      <c r="H423" s="388"/>
      <c r="I423" s="389"/>
      <c r="J423" s="389"/>
      <c r="K423" s="389"/>
      <c r="L423" s="460"/>
      <c r="M423" s="389"/>
      <c r="N423" s="389"/>
      <c r="O423" s="389"/>
      <c r="P423" s="389"/>
      <c r="Q423" s="389"/>
      <c r="R423" s="388"/>
      <c r="S423" s="388"/>
      <c r="T423" s="388"/>
      <c r="U423" s="388"/>
      <c r="V423" s="388"/>
      <c r="W423" s="9"/>
      <c r="X423" s="9"/>
      <c r="Y423" s="9"/>
      <c r="Z423" s="9"/>
    </row>
    <row r="424">
      <c r="A424" s="388"/>
      <c r="B424" s="396"/>
      <c r="C424" s="396"/>
      <c r="D424" s="396"/>
      <c r="E424" s="388"/>
      <c r="F424" s="395"/>
      <c r="G424" s="395"/>
      <c r="H424" s="388"/>
      <c r="I424" s="389"/>
      <c r="J424" s="389"/>
      <c r="K424" s="389"/>
      <c r="L424" s="460"/>
      <c r="M424" s="389"/>
      <c r="N424" s="389"/>
      <c r="O424" s="389"/>
      <c r="P424" s="389"/>
      <c r="Q424" s="389"/>
      <c r="R424" s="388"/>
      <c r="S424" s="388"/>
      <c r="T424" s="388"/>
      <c r="U424" s="388"/>
      <c r="V424" s="388"/>
      <c r="W424" s="9"/>
      <c r="X424" s="9"/>
      <c r="Y424" s="9"/>
      <c r="Z424" s="9"/>
    </row>
    <row r="425">
      <c r="A425" s="388"/>
      <c r="B425" s="396"/>
      <c r="C425" s="396"/>
      <c r="D425" s="396"/>
      <c r="E425" s="388"/>
      <c r="F425" s="395"/>
      <c r="G425" s="395"/>
      <c r="H425" s="388"/>
      <c r="I425" s="389"/>
      <c r="J425" s="389"/>
      <c r="K425" s="389"/>
      <c r="L425" s="460"/>
      <c r="M425" s="389"/>
      <c r="N425" s="389"/>
      <c r="O425" s="389"/>
      <c r="P425" s="389"/>
      <c r="Q425" s="389"/>
      <c r="R425" s="388"/>
      <c r="S425" s="388"/>
      <c r="T425" s="388"/>
      <c r="U425" s="388"/>
      <c r="V425" s="388"/>
      <c r="W425" s="9"/>
      <c r="X425" s="9"/>
      <c r="Y425" s="9"/>
      <c r="Z425" s="9"/>
    </row>
    <row r="426">
      <c r="A426" s="388"/>
      <c r="B426" s="396"/>
      <c r="C426" s="396"/>
      <c r="D426" s="396"/>
      <c r="E426" s="388"/>
      <c r="F426" s="395"/>
      <c r="G426" s="395"/>
      <c r="H426" s="388"/>
      <c r="I426" s="389"/>
      <c r="J426" s="389"/>
      <c r="K426" s="389"/>
      <c r="L426" s="460"/>
      <c r="M426" s="389"/>
      <c r="N426" s="389"/>
      <c r="O426" s="389"/>
      <c r="P426" s="389"/>
      <c r="Q426" s="389"/>
      <c r="R426" s="388"/>
      <c r="S426" s="388"/>
      <c r="T426" s="388"/>
      <c r="U426" s="388"/>
      <c r="V426" s="388"/>
      <c r="W426" s="9"/>
      <c r="X426" s="9"/>
      <c r="Y426" s="9"/>
      <c r="Z426" s="9"/>
    </row>
    <row r="427">
      <c r="A427" s="388"/>
      <c r="B427" s="396"/>
      <c r="C427" s="396"/>
      <c r="D427" s="396"/>
      <c r="E427" s="388"/>
      <c r="F427" s="395"/>
      <c r="G427" s="395"/>
      <c r="H427" s="388"/>
      <c r="I427" s="389"/>
      <c r="J427" s="389"/>
      <c r="K427" s="389"/>
      <c r="L427" s="460"/>
      <c r="M427" s="389"/>
      <c r="N427" s="389"/>
      <c r="O427" s="389"/>
      <c r="P427" s="389"/>
      <c r="Q427" s="389"/>
      <c r="R427" s="388"/>
      <c r="S427" s="388"/>
      <c r="T427" s="388"/>
      <c r="U427" s="388"/>
      <c r="V427" s="388"/>
      <c r="W427" s="9"/>
      <c r="X427" s="9"/>
      <c r="Y427" s="9"/>
      <c r="Z427" s="9"/>
    </row>
    <row r="428">
      <c r="A428" s="388"/>
      <c r="B428" s="396"/>
      <c r="C428" s="396"/>
      <c r="D428" s="396"/>
      <c r="E428" s="388"/>
      <c r="F428" s="395"/>
      <c r="G428" s="395"/>
      <c r="H428" s="388"/>
      <c r="I428" s="389"/>
      <c r="J428" s="389"/>
      <c r="K428" s="389"/>
      <c r="L428" s="460"/>
      <c r="M428" s="389"/>
      <c r="N428" s="389"/>
      <c r="O428" s="389"/>
      <c r="P428" s="389"/>
      <c r="Q428" s="389"/>
      <c r="R428" s="388"/>
      <c r="S428" s="388"/>
      <c r="T428" s="388"/>
      <c r="U428" s="388"/>
      <c r="V428" s="388"/>
      <c r="W428" s="9"/>
      <c r="X428" s="9"/>
      <c r="Y428" s="9"/>
      <c r="Z428" s="9"/>
    </row>
    <row r="429">
      <c r="A429" s="388"/>
      <c r="B429" s="396"/>
      <c r="C429" s="396"/>
      <c r="D429" s="396"/>
      <c r="E429" s="388"/>
      <c r="F429" s="395"/>
      <c r="G429" s="395"/>
      <c r="H429" s="388"/>
      <c r="I429" s="389"/>
      <c r="J429" s="389"/>
      <c r="K429" s="389"/>
      <c r="L429" s="460"/>
      <c r="M429" s="389"/>
      <c r="N429" s="389"/>
      <c r="O429" s="389"/>
      <c r="P429" s="389"/>
      <c r="Q429" s="389"/>
      <c r="R429" s="388"/>
      <c r="S429" s="388"/>
      <c r="T429" s="388"/>
      <c r="U429" s="388"/>
      <c r="V429" s="388"/>
      <c r="W429" s="9"/>
      <c r="X429" s="9"/>
      <c r="Y429" s="9"/>
      <c r="Z429" s="9"/>
    </row>
    <row r="430">
      <c r="A430" s="388"/>
      <c r="B430" s="396"/>
      <c r="C430" s="396"/>
      <c r="D430" s="396"/>
      <c r="E430" s="388"/>
      <c r="F430" s="395"/>
      <c r="G430" s="395"/>
      <c r="H430" s="388"/>
      <c r="I430" s="389"/>
      <c r="J430" s="389"/>
      <c r="K430" s="389"/>
      <c r="L430" s="460"/>
      <c r="M430" s="389"/>
      <c r="N430" s="389"/>
      <c r="O430" s="389"/>
      <c r="P430" s="389"/>
      <c r="Q430" s="389"/>
      <c r="R430" s="388"/>
      <c r="S430" s="388"/>
      <c r="T430" s="388"/>
      <c r="U430" s="388"/>
      <c r="V430" s="388"/>
      <c r="W430" s="9"/>
      <c r="X430" s="9"/>
      <c r="Y430" s="9"/>
      <c r="Z430" s="9"/>
    </row>
    <row r="431">
      <c r="A431" s="388"/>
      <c r="B431" s="396"/>
      <c r="C431" s="396"/>
      <c r="D431" s="396"/>
      <c r="E431" s="388"/>
      <c r="F431" s="395"/>
      <c r="G431" s="395"/>
      <c r="H431" s="388"/>
      <c r="I431" s="389"/>
      <c r="J431" s="389"/>
      <c r="K431" s="389"/>
      <c r="L431" s="460"/>
      <c r="M431" s="389"/>
      <c r="N431" s="389"/>
      <c r="O431" s="389"/>
      <c r="P431" s="389"/>
      <c r="Q431" s="389"/>
      <c r="R431" s="388"/>
      <c r="S431" s="388"/>
      <c r="T431" s="388"/>
      <c r="U431" s="388"/>
      <c r="V431" s="388"/>
      <c r="W431" s="9"/>
      <c r="X431" s="9"/>
      <c r="Y431" s="9"/>
      <c r="Z431" s="9"/>
    </row>
    <row r="432">
      <c r="A432" s="388"/>
      <c r="B432" s="396"/>
      <c r="C432" s="396"/>
      <c r="D432" s="396"/>
      <c r="E432" s="388"/>
      <c r="F432" s="395"/>
      <c r="G432" s="395"/>
      <c r="H432" s="388"/>
      <c r="I432" s="389"/>
      <c r="J432" s="389"/>
      <c r="K432" s="389"/>
      <c r="L432" s="460"/>
      <c r="M432" s="389"/>
      <c r="N432" s="389"/>
      <c r="O432" s="389"/>
      <c r="P432" s="389"/>
      <c r="Q432" s="389"/>
      <c r="R432" s="388"/>
      <c r="S432" s="388"/>
      <c r="T432" s="388"/>
      <c r="U432" s="388"/>
      <c r="V432" s="388"/>
      <c r="W432" s="9"/>
      <c r="X432" s="9"/>
      <c r="Y432" s="9"/>
      <c r="Z432" s="9"/>
    </row>
    <row r="433">
      <c r="A433" s="388"/>
      <c r="B433" s="396"/>
      <c r="C433" s="396"/>
      <c r="D433" s="396"/>
      <c r="E433" s="388"/>
      <c r="F433" s="395"/>
      <c r="G433" s="395"/>
      <c r="H433" s="388"/>
      <c r="I433" s="389"/>
      <c r="J433" s="389"/>
      <c r="K433" s="389"/>
      <c r="L433" s="460"/>
      <c r="M433" s="389"/>
      <c r="N433" s="389"/>
      <c r="O433" s="389"/>
      <c r="P433" s="389"/>
      <c r="Q433" s="389"/>
      <c r="R433" s="388"/>
      <c r="S433" s="388"/>
      <c r="T433" s="388"/>
      <c r="U433" s="388"/>
      <c r="V433" s="388"/>
      <c r="W433" s="9"/>
      <c r="X433" s="9"/>
      <c r="Y433" s="9"/>
      <c r="Z433" s="9"/>
    </row>
    <row r="434">
      <c r="A434" s="388"/>
      <c r="B434" s="396"/>
      <c r="C434" s="396"/>
      <c r="D434" s="396"/>
      <c r="E434" s="388"/>
      <c r="F434" s="395"/>
      <c r="G434" s="395"/>
      <c r="H434" s="388"/>
      <c r="I434" s="389"/>
      <c r="J434" s="389"/>
      <c r="K434" s="389"/>
      <c r="L434" s="460"/>
      <c r="M434" s="389"/>
      <c r="N434" s="389"/>
      <c r="O434" s="389"/>
      <c r="P434" s="389"/>
      <c r="Q434" s="389"/>
      <c r="R434" s="388"/>
      <c r="S434" s="388"/>
      <c r="T434" s="388"/>
      <c r="U434" s="388"/>
      <c r="V434" s="388"/>
      <c r="W434" s="9"/>
      <c r="X434" s="9"/>
      <c r="Y434" s="9"/>
      <c r="Z434" s="9"/>
    </row>
    <row r="435">
      <c r="A435" s="388"/>
      <c r="B435" s="396"/>
      <c r="C435" s="396"/>
      <c r="D435" s="396"/>
      <c r="E435" s="388"/>
      <c r="F435" s="395"/>
      <c r="G435" s="395"/>
      <c r="H435" s="388"/>
      <c r="I435" s="389"/>
      <c r="J435" s="389"/>
      <c r="K435" s="389"/>
      <c r="L435" s="460"/>
      <c r="M435" s="389"/>
      <c r="N435" s="389"/>
      <c r="O435" s="389"/>
      <c r="P435" s="389"/>
      <c r="Q435" s="389"/>
      <c r="R435" s="388"/>
      <c r="S435" s="388"/>
      <c r="T435" s="388"/>
      <c r="U435" s="388"/>
      <c r="V435" s="388"/>
      <c r="W435" s="9"/>
      <c r="X435" s="9"/>
      <c r="Y435" s="9"/>
      <c r="Z435" s="9"/>
    </row>
    <row r="436">
      <c r="A436" s="388"/>
      <c r="B436" s="396"/>
      <c r="C436" s="396"/>
      <c r="D436" s="396"/>
      <c r="E436" s="388"/>
      <c r="F436" s="395"/>
      <c r="G436" s="395"/>
      <c r="H436" s="388"/>
      <c r="I436" s="389"/>
      <c r="J436" s="389"/>
      <c r="K436" s="389"/>
      <c r="L436" s="460"/>
      <c r="M436" s="389"/>
      <c r="N436" s="389"/>
      <c r="O436" s="389"/>
      <c r="P436" s="389"/>
      <c r="Q436" s="389"/>
      <c r="R436" s="388"/>
      <c r="S436" s="388"/>
      <c r="T436" s="388"/>
      <c r="U436" s="388"/>
      <c r="V436" s="388"/>
      <c r="W436" s="9"/>
      <c r="X436" s="9"/>
      <c r="Y436" s="9"/>
      <c r="Z436" s="9"/>
    </row>
    <row r="437">
      <c r="A437" s="388"/>
      <c r="B437" s="396"/>
      <c r="C437" s="396"/>
      <c r="D437" s="396"/>
      <c r="E437" s="388"/>
      <c r="F437" s="395"/>
      <c r="G437" s="395"/>
      <c r="H437" s="388"/>
      <c r="I437" s="389"/>
      <c r="J437" s="389"/>
      <c r="K437" s="389"/>
      <c r="L437" s="460"/>
      <c r="M437" s="389"/>
      <c r="N437" s="389"/>
      <c r="O437" s="389"/>
      <c r="P437" s="389"/>
      <c r="Q437" s="389"/>
      <c r="R437" s="388"/>
      <c r="S437" s="388"/>
      <c r="T437" s="388"/>
      <c r="U437" s="388"/>
      <c r="V437" s="388"/>
      <c r="W437" s="9"/>
      <c r="X437" s="9"/>
      <c r="Y437" s="9"/>
      <c r="Z437" s="9"/>
    </row>
    <row r="438">
      <c r="A438" s="388"/>
      <c r="B438" s="396"/>
      <c r="C438" s="396"/>
      <c r="D438" s="396"/>
      <c r="E438" s="388"/>
      <c r="F438" s="395"/>
      <c r="G438" s="395"/>
      <c r="H438" s="388"/>
      <c r="I438" s="389"/>
      <c r="J438" s="389"/>
      <c r="K438" s="389"/>
      <c r="L438" s="460"/>
      <c r="M438" s="389"/>
      <c r="N438" s="389"/>
      <c r="O438" s="389"/>
      <c r="P438" s="389"/>
      <c r="Q438" s="389"/>
      <c r="R438" s="388"/>
      <c r="S438" s="388"/>
      <c r="T438" s="388"/>
      <c r="U438" s="388"/>
      <c r="V438" s="388"/>
      <c r="W438" s="9"/>
      <c r="X438" s="9"/>
      <c r="Y438" s="9"/>
      <c r="Z438" s="9"/>
    </row>
    <row r="439">
      <c r="A439" s="388"/>
      <c r="B439" s="396"/>
      <c r="C439" s="396"/>
      <c r="D439" s="396"/>
      <c r="E439" s="388"/>
      <c r="F439" s="395"/>
      <c r="G439" s="395"/>
      <c r="H439" s="388"/>
      <c r="I439" s="389"/>
      <c r="J439" s="389"/>
      <c r="K439" s="389"/>
      <c r="L439" s="460"/>
      <c r="M439" s="389"/>
      <c r="N439" s="389"/>
      <c r="O439" s="389"/>
      <c r="P439" s="389"/>
      <c r="Q439" s="389"/>
      <c r="R439" s="388"/>
      <c r="S439" s="388"/>
      <c r="T439" s="388"/>
      <c r="U439" s="388"/>
      <c r="V439" s="388"/>
      <c r="W439" s="9"/>
      <c r="X439" s="9"/>
      <c r="Y439" s="9"/>
      <c r="Z439" s="9"/>
    </row>
    <row r="440">
      <c r="A440" s="388"/>
      <c r="B440" s="396"/>
      <c r="C440" s="396"/>
      <c r="D440" s="396"/>
      <c r="E440" s="388"/>
      <c r="F440" s="395"/>
      <c r="G440" s="395"/>
      <c r="H440" s="388"/>
      <c r="I440" s="389"/>
      <c r="J440" s="389"/>
      <c r="K440" s="389"/>
      <c r="L440" s="460"/>
      <c r="M440" s="389"/>
      <c r="N440" s="389"/>
      <c r="O440" s="389"/>
      <c r="P440" s="389"/>
      <c r="Q440" s="389"/>
      <c r="R440" s="388"/>
      <c r="S440" s="388"/>
      <c r="T440" s="388"/>
      <c r="U440" s="388"/>
      <c r="V440" s="388"/>
      <c r="W440" s="9"/>
      <c r="X440" s="9"/>
      <c r="Y440" s="9"/>
      <c r="Z440" s="9"/>
    </row>
    <row r="441">
      <c r="A441" s="388"/>
      <c r="B441" s="396"/>
      <c r="C441" s="396"/>
      <c r="D441" s="396"/>
      <c r="E441" s="388"/>
      <c r="F441" s="395"/>
      <c r="G441" s="395"/>
      <c r="H441" s="388"/>
      <c r="I441" s="389"/>
      <c r="J441" s="389"/>
      <c r="K441" s="389"/>
      <c r="L441" s="460"/>
      <c r="M441" s="389"/>
      <c r="N441" s="389"/>
      <c r="O441" s="389"/>
      <c r="P441" s="389"/>
      <c r="Q441" s="389"/>
      <c r="R441" s="388"/>
      <c r="S441" s="388"/>
      <c r="T441" s="388"/>
      <c r="U441" s="388"/>
      <c r="V441" s="388"/>
      <c r="W441" s="9"/>
      <c r="X441" s="9"/>
      <c r="Y441" s="9"/>
      <c r="Z441" s="9"/>
    </row>
    <row r="442">
      <c r="A442" s="388"/>
      <c r="B442" s="396"/>
      <c r="C442" s="396"/>
      <c r="D442" s="396"/>
      <c r="E442" s="388"/>
      <c r="F442" s="395"/>
      <c r="G442" s="395"/>
      <c r="H442" s="388"/>
      <c r="I442" s="389"/>
      <c r="J442" s="389"/>
      <c r="K442" s="389"/>
      <c r="L442" s="460"/>
      <c r="M442" s="389"/>
      <c r="N442" s="389"/>
      <c r="O442" s="389"/>
      <c r="P442" s="389"/>
      <c r="Q442" s="389"/>
      <c r="R442" s="388"/>
      <c r="S442" s="388"/>
      <c r="T442" s="388"/>
      <c r="U442" s="388"/>
      <c r="V442" s="388"/>
      <c r="W442" s="9"/>
      <c r="X442" s="9"/>
      <c r="Y442" s="9"/>
      <c r="Z442" s="9"/>
    </row>
    <row r="443">
      <c r="A443" s="388"/>
      <c r="B443" s="396"/>
      <c r="C443" s="396"/>
      <c r="D443" s="396"/>
      <c r="E443" s="388"/>
      <c r="F443" s="395"/>
      <c r="G443" s="395"/>
      <c r="H443" s="388"/>
      <c r="I443" s="389"/>
      <c r="J443" s="389"/>
      <c r="K443" s="389"/>
      <c r="L443" s="460"/>
      <c r="M443" s="389"/>
      <c r="N443" s="389"/>
      <c r="O443" s="389"/>
      <c r="P443" s="389"/>
      <c r="Q443" s="389"/>
      <c r="R443" s="388"/>
      <c r="S443" s="388"/>
      <c r="T443" s="388"/>
      <c r="U443" s="388"/>
      <c r="V443" s="388"/>
      <c r="W443" s="9"/>
      <c r="X443" s="9"/>
      <c r="Y443" s="9"/>
      <c r="Z443" s="9"/>
    </row>
    <row r="444">
      <c r="A444" s="388"/>
      <c r="B444" s="396"/>
      <c r="C444" s="396"/>
      <c r="D444" s="396"/>
      <c r="E444" s="388"/>
      <c r="F444" s="395"/>
      <c r="G444" s="395"/>
      <c r="H444" s="388"/>
      <c r="I444" s="389"/>
      <c r="J444" s="389"/>
      <c r="K444" s="389"/>
      <c r="L444" s="460"/>
      <c r="M444" s="389"/>
      <c r="N444" s="389"/>
      <c r="O444" s="389"/>
      <c r="P444" s="389"/>
      <c r="Q444" s="389"/>
      <c r="R444" s="388"/>
      <c r="S444" s="388"/>
      <c r="T444" s="388"/>
      <c r="U444" s="388"/>
      <c r="V444" s="388"/>
      <c r="W444" s="9"/>
      <c r="X444" s="9"/>
      <c r="Y444" s="9"/>
      <c r="Z444" s="9"/>
    </row>
    <row r="445">
      <c r="A445" s="388"/>
      <c r="B445" s="396"/>
      <c r="C445" s="396"/>
      <c r="D445" s="396"/>
      <c r="E445" s="388"/>
      <c r="F445" s="395"/>
      <c r="G445" s="395"/>
      <c r="H445" s="388"/>
      <c r="I445" s="389"/>
      <c r="J445" s="389"/>
      <c r="K445" s="389"/>
      <c r="L445" s="460"/>
      <c r="M445" s="389"/>
      <c r="N445" s="389"/>
      <c r="O445" s="389"/>
      <c r="P445" s="389"/>
      <c r="Q445" s="389"/>
      <c r="R445" s="388"/>
      <c r="S445" s="388"/>
      <c r="T445" s="388"/>
      <c r="U445" s="388"/>
      <c r="V445" s="388"/>
      <c r="W445" s="9"/>
      <c r="X445" s="9"/>
      <c r="Y445" s="9"/>
      <c r="Z445" s="9"/>
    </row>
    <row r="446">
      <c r="A446" s="388"/>
      <c r="B446" s="396"/>
      <c r="C446" s="396"/>
      <c r="D446" s="396"/>
      <c r="E446" s="388"/>
      <c r="F446" s="395"/>
      <c r="G446" s="395"/>
      <c r="H446" s="388"/>
      <c r="I446" s="389"/>
      <c r="J446" s="389"/>
      <c r="K446" s="389"/>
      <c r="L446" s="460"/>
      <c r="M446" s="389"/>
      <c r="N446" s="389"/>
      <c r="O446" s="389"/>
      <c r="P446" s="389"/>
      <c r="Q446" s="389"/>
      <c r="R446" s="388"/>
      <c r="S446" s="388"/>
      <c r="T446" s="388"/>
      <c r="U446" s="388"/>
      <c r="V446" s="388"/>
      <c r="W446" s="9"/>
      <c r="X446" s="9"/>
      <c r="Y446" s="9"/>
      <c r="Z446" s="9"/>
    </row>
    <row r="447">
      <c r="A447" s="388"/>
      <c r="B447" s="396"/>
      <c r="C447" s="396"/>
      <c r="D447" s="396"/>
      <c r="E447" s="388"/>
      <c r="F447" s="395"/>
      <c r="G447" s="395"/>
      <c r="H447" s="388"/>
      <c r="I447" s="389"/>
      <c r="J447" s="389"/>
      <c r="K447" s="389"/>
      <c r="L447" s="460"/>
      <c r="M447" s="389"/>
      <c r="N447" s="389"/>
      <c r="O447" s="389"/>
      <c r="P447" s="389"/>
      <c r="Q447" s="389"/>
      <c r="R447" s="388"/>
      <c r="S447" s="388"/>
      <c r="T447" s="388"/>
      <c r="U447" s="388"/>
      <c r="V447" s="388"/>
      <c r="W447" s="9"/>
      <c r="X447" s="9"/>
      <c r="Y447" s="9"/>
      <c r="Z447" s="9"/>
    </row>
    <row r="448">
      <c r="A448" s="388"/>
      <c r="B448" s="396"/>
      <c r="C448" s="396"/>
      <c r="D448" s="396"/>
      <c r="E448" s="388"/>
      <c r="F448" s="395"/>
      <c r="G448" s="395"/>
      <c r="H448" s="388"/>
      <c r="I448" s="389"/>
      <c r="J448" s="389"/>
      <c r="K448" s="389"/>
      <c r="L448" s="460"/>
      <c r="M448" s="389"/>
      <c r="N448" s="389"/>
      <c r="O448" s="389"/>
      <c r="P448" s="389"/>
      <c r="Q448" s="389"/>
      <c r="R448" s="388"/>
      <c r="S448" s="388"/>
      <c r="T448" s="388"/>
      <c r="U448" s="388"/>
      <c r="V448" s="388"/>
      <c r="W448" s="9"/>
      <c r="X448" s="9"/>
      <c r="Y448" s="9"/>
      <c r="Z448" s="9"/>
    </row>
    <row r="449">
      <c r="A449" s="388"/>
      <c r="B449" s="396"/>
      <c r="C449" s="396"/>
      <c r="D449" s="396"/>
      <c r="E449" s="388"/>
      <c r="F449" s="395"/>
      <c r="G449" s="395"/>
      <c r="H449" s="388"/>
      <c r="I449" s="389"/>
      <c r="J449" s="389"/>
      <c r="K449" s="389"/>
      <c r="L449" s="460"/>
      <c r="M449" s="389"/>
      <c r="N449" s="389"/>
      <c r="O449" s="389"/>
      <c r="P449" s="389"/>
      <c r="Q449" s="389"/>
      <c r="R449" s="388"/>
      <c r="S449" s="388"/>
      <c r="T449" s="388"/>
      <c r="U449" s="388"/>
      <c r="V449" s="388"/>
      <c r="W449" s="9"/>
      <c r="X449" s="9"/>
      <c r="Y449" s="9"/>
      <c r="Z449" s="9"/>
    </row>
    <row r="450">
      <c r="A450" s="388"/>
      <c r="B450" s="396"/>
      <c r="C450" s="396"/>
      <c r="D450" s="396"/>
      <c r="E450" s="388"/>
      <c r="F450" s="395"/>
      <c r="G450" s="395"/>
      <c r="H450" s="388"/>
      <c r="I450" s="389"/>
      <c r="J450" s="389"/>
      <c r="K450" s="389"/>
      <c r="L450" s="460"/>
      <c r="M450" s="389"/>
      <c r="N450" s="389"/>
      <c r="O450" s="389"/>
      <c r="P450" s="389"/>
      <c r="Q450" s="389"/>
      <c r="R450" s="388"/>
      <c r="S450" s="388"/>
      <c r="T450" s="388"/>
      <c r="U450" s="388"/>
      <c r="V450" s="388"/>
      <c r="W450" s="9"/>
      <c r="X450" s="9"/>
      <c r="Y450" s="9"/>
      <c r="Z450" s="9"/>
    </row>
    <row r="451">
      <c r="A451" s="388"/>
      <c r="B451" s="396"/>
      <c r="C451" s="396"/>
      <c r="D451" s="396"/>
      <c r="E451" s="388"/>
      <c r="F451" s="395"/>
      <c r="G451" s="395"/>
      <c r="H451" s="388"/>
      <c r="I451" s="389"/>
      <c r="J451" s="389"/>
      <c r="K451" s="389"/>
      <c r="L451" s="460"/>
      <c r="M451" s="389"/>
      <c r="N451" s="389"/>
      <c r="O451" s="389"/>
      <c r="P451" s="389"/>
      <c r="Q451" s="389"/>
      <c r="R451" s="388"/>
      <c r="S451" s="388"/>
      <c r="T451" s="388"/>
      <c r="U451" s="388"/>
      <c r="V451" s="388"/>
      <c r="W451" s="9"/>
      <c r="X451" s="9"/>
      <c r="Y451" s="9"/>
      <c r="Z451" s="9"/>
    </row>
    <row r="452">
      <c r="A452" s="388"/>
      <c r="B452" s="396"/>
      <c r="C452" s="396"/>
      <c r="D452" s="396"/>
      <c r="E452" s="388"/>
      <c r="F452" s="395"/>
      <c r="G452" s="395"/>
      <c r="H452" s="388"/>
      <c r="I452" s="389"/>
      <c r="J452" s="389"/>
      <c r="K452" s="389"/>
      <c r="L452" s="460"/>
      <c r="M452" s="389"/>
      <c r="N452" s="389"/>
      <c r="O452" s="389"/>
      <c r="P452" s="389"/>
      <c r="Q452" s="389"/>
      <c r="R452" s="388"/>
      <c r="S452" s="388"/>
      <c r="T452" s="388"/>
      <c r="U452" s="388"/>
      <c r="V452" s="388"/>
      <c r="W452" s="9"/>
      <c r="X452" s="9"/>
      <c r="Y452" s="9"/>
      <c r="Z452" s="9"/>
    </row>
    <row r="453">
      <c r="A453" s="388"/>
      <c r="B453" s="396"/>
      <c r="C453" s="396"/>
      <c r="D453" s="396"/>
      <c r="E453" s="388"/>
      <c r="F453" s="395"/>
      <c r="G453" s="395"/>
      <c r="H453" s="388"/>
      <c r="I453" s="389"/>
      <c r="J453" s="389"/>
      <c r="K453" s="389"/>
      <c r="L453" s="460"/>
      <c r="M453" s="389"/>
      <c r="N453" s="389"/>
      <c r="O453" s="389"/>
      <c r="P453" s="389"/>
      <c r="Q453" s="389"/>
      <c r="R453" s="388"/>
      <c r="S453" s="388"/>
      <c r="T453" s="388"/>
      <c r="U453" s="388"/>
      <c r="V453" s="388"/>
      <c r="W453" s="9"/>
      <c r="X453" s="9"/>
      <c r="Y453" s="9"/>
      <c r="Z453" s="9"/>
    </row>
    <row r="454">
      <c r="A454" s="388"/>
      <c r="B454" s="396"/>
      <c r="C454" s="396"/>
      <c r="D454" s="396"/>
      <c r="E454" s="388"/>
      <c r="F454" s="395"/>
      <c r="G454" s="395"/>
      <c r="H454" s="388"/>
      <c r="I454" s="389"/>
      <c r="J454" s="389"/>
      <c r="K454" s="389"/>
      <c r="L454" s="460"/>
      <c r="M454" s="389"/>
      <c r="N454" s="389"/>
      <c r="O454" s="389"/>
      <c r="P454" s="389"/>
      <c r="Q454" s="389"/>
      <c r="R454" s="388"/>
      <c r="S454" s="388"/>
      <c r="T454" s="388"/>
      <c r="U454" s="388"/>
      <c r="V454" s="388"/>
      <c r="W454" s="9"/>
      <c r="X454" s="9"/>
      <c r="Y454" s="9"/>
      <c r="Z454" s="9"/>
    </row>
    <row r="455">
      <c r="A455" s="388"/>
      <c r="B455" s="396"/>
      <c r="C455" s="396"/>
      <c r="D455" s="396"/>
      <c r="E455" s="388"/>
      <c r="F455" s="395"/>
      <c r="G455" s="395"/>
      <c r="H455" s="388"/>
      <c r="I455" s="389"/>
      <c r="J455" s="389"/>
      <c r="K455" s="389"/>
      <c r="L455" s="460"/>
      <c r="M455" s="389"/>
      <c r="N455" s="389"/>
      <c r="O455" s="389"/>
      <c r="P455" s="389"/>
      <c r="Q455" s="389"/>
      <c r="R455" s="388"/>
      <c r="S455" s="388"/>
      <c r="T455" s="388"/>
      <c r="U455" s="388"/>
      <c r="V455" s="388"/>
      <c r="W455" s="9"/>
      <c r="X455" s="9"/>
      <c r="Y455" s="9"/>
      <c r="Z455" s="9"/>
    </row>
    <row r="456">
      <c r="A456" s="388"/>
      <c r="B456" s="396"/>
      <c r="C456" s="396"/>
      <c r="D456" s="396"/>
      <c r="E456" s="388"/>
      <c r="F456" s="395"/>
      <c r="G456" s="395"/>
      <c r="H456" s="388"/>
      <c r="I456" s="389"/>
      <c r="J456" s="389"/>
      <c r="K456" s="389"/>
      <c r="L456" s="460"/>
      <c r="M456" s="389"/>
      <c r="N456" s="389"/>
      <c r="O456" s="389"/>
      <c r="P456" s="389"/>
      <c r="Q456" s="389"/>
      <c r="R456" s="388"/>
      <c r="S456" s="388"/>
      <c r="T456" s="388"/>
      <c r="U456" s="388"/>
      <c r="V456" s="388"/>
      <c r="W456" s="9"/>
      <c r="X456" s="9"/>
      <c r="Y456" s="9"/>
      <c r="Z456" s="9"/>
    </row>
    <row r="457">
      <c r="A457" s="388"/>
      <c r="B457" s="396"/>
      <c r="C457" s="396"/>
      <c r="D457" s="396"/>
      <c r="E457" s="388"/>
      <c r="F457" s="395"/>
      <c r="G457" s="395"/>
      <c r="H457" s="388"/>
      <c r="I457" s="389"/>
      <c r="J457" s="389"/>
      <c r="K457" s="389"/>
      <c r="L457" s="460"/>
      <c r="M457" s="389"/>
      <c r="N457" s="389"/>
      <c r="O457" s="389"/>
      <c r="P457" s="389"/>
      <c r="Q457" s="389"/>
      <c r="R457" s="388"/>
      <c r="S457" s="388"/>
      <c r="T457" s="388"/>
      <c r="U457" s="388"/>
      <c r="V457" s="388"/>
      <c r="W457" s="9"/>
      <c r="X457" s="9"/>
      <c r="Y457" s="9"/>
      <c r="Z457" s="9"/>
    </row>
    <row r="458">
      <c r="A458" s="388"/>
      <c r="B458" s="396"/>
      <c r="C458" s="396"/>
      <c r="D458" s="396"/>
      <c r="E458" s="388"/>
      <c r="F458" s="395"/>
      <c r="G458" s="395"/>
      <c r="H458" s="388"/>
      <c r="I458" s="389"/>
      <c r="J458" s="389"/>
      <c r="K458" s="389"/>
      <c r="L458" s="460"/>
      <c r="M458" s="389"/>
      <c r="N458" s="389"/>
      <c r="O458" s="389"/>
      <c r="P458" s="389"/>
      <c r="Q458" s="389"/>
      <c r="R458" s="388"/>
      <c r="S458" s="388"/>
      <c r="T458" s="388"/>
      <c r="U458" s="388"/>
      <c r="V458" s="388"/>
      <c r="W458" s="9"/>
      <c r="X458" s="9"/>
      <c r="Y458" s="9"/>
      <c r="Z458" s="9"/>
    </row>
    <row r="459">
      <c r="A459" s="388"/>
      <c r="B459" s="396"/>
      <c r="C459" s="396"/>
      <c r="D459" s="396"/>
      <c r="E459" s="388"/>
      <c r="F459" s="395"/>
      <c r="G459" s="395"/>
      <c r="H459" s="388"/>
      <c r="I459" s="389"/>
      <c r="J459" s="389"/>
      <c r="K459" s="389"/>
      <c r="L459" s="460"/>
      <c r="M459" s="389"/>
      <c r="N459" s="389"/>
      <c r="O459" s="389"/>
      <c r="P459" s="389"/>
      <c r="Q459" s="389"/>
      <c r="R459" s="388"/>
      <c r="S459" s="388"/>
      <c r="T459" s="388"/>
      <c r="U459" s="388"/>
      <c r="V459" s="388"/>
      <c r="W459" s="9"/>
      <c r="X459" s="9"/>
      <c r="Y459" s="9"/>
      <c r="Z459" s="9"/>
    </row>
    <row r="460">
      <c r="A460" s="388"/>
      <c r="B460" s="396"/>
      <c r="C460" s="396"/>
      <c r="D460" s="396"/>
      <c r="E460" s="388"/>
      <c r="F460" s="395"/>
      <c r="G460" s="395"/>
      <c r="H460" s="388"/>
      <c r="I460" s="389"/>
      <c r="J460" s="389"/>
      <c r="K460" s="389"/>
      <c r="L460" s="460"/>
      <c r="M460" s="389"/>
      <c r="N460" s="389"/>
      <c r="O460" s="389"/>
      <c r="P460" s="389"/>
      <c r="Q460" s="389"/>
      <c r="R460" s="388"/>
      <c r="S460" s="388"/>
      <c r="T460" s="388"/>
      <c r="U460" s="388"/>
      <c r="V460" s="388"/>
      <c r="W460" s="9"/>
      <c r="X460" s="9"/>
      <c r="Y460" s="9"/>
      <c r="Z460" s="9"/>
    </row>
    <row r="461">
      <c r="A461" s="388"/>
      <c r="B461" s="396"/>
      <c r="C461" s="396"/>
      <c r="D461" s="396"/>
      <c r="E461" s="388"/>
      <c r="F461" s="395"/>
      <c r="G461" s="395"/>
      <c r="H461" s="388"/>
      <c r="I461" s="389"/>
      <c r="J461" s="389"/>
      <c r="K461" s="389"/>
      <c r="L461" s="460"/>
      <c r="M461" s="389"/>
      <c r="N461" s="389"/>
      <c r="O461" s="389"/>
      <c r="P461" s="389"/>
      <c r="Q461" s="389"/>
      <c r="R461" s="388"/>
      <c r="S461" s="388"/>
      <c r="T461" s="388"/>
      <c r="U461" s="388"/>
      <c r="V461" s="388"/>
      <c r="W461" s="9"/>
      <c r="X461" s="9"/>
      <c r="Y461" s="9"/>
      <c r="Z461" s="9"/>
    </row>
    <row r="462">
      <c r="A462" s="388"/>
      <c r="B462" s="396"/>
      <c r="C462" s="396"/>
      <c r="D462" s="396"/>
      <c r="E462" s="388"/>
      <c r="F462" s="395"/>
      <c r="G462" s="395"/>
      <c r="H462" s="388"/>
      <c r="I462" s="389"/>
      <c r="J462" s="389"/>
      <c r="K462" s="389"/>
      <c r="L462" s="460"/>
      <c r="M462" s="389"/>
      <c r="N462" s="389"/>
      <c r="O462" s="389"/>
      <c r="P462" s="389"/>
      <c r="Q462" s="389"/>
      <c r="R462" s="388"/>
      <c r="S462" s="388"/>
      <c r="T462" s="388"/>
      <c r="U462" s="388"/>
      <c r="V462" s="388"/>
      <c r="W462" s="9"/>
      <c r="X462" s="9"/>
      <c r="Y462" s="9"/>
      <c r="Z462" s="9"/>
    </row>
    <row r="463">
      <c r="A463" s="388"/>
      <c r="B463" s="396"/>
      <c r="C463" s="396"/>
      <c r="D463" s="396"/>
      <c r="E463" s="388"/>
      <c r="F463" s="395"/>
      <c r="G463" s="395"/>
      <c r="H463" s="388"/>
      <c r="I463" s="389"/>
      <c r="J463" s="389"/>
      <c r="K463" s="389"/>
      <c r="L463" s="460"/>
      <c r="M463" s="389"/>
      <c r="N463" s="389"/>
      <c r="O463" s="389"/>
      <c r="P463" s="389"/>
      <c r="Q463" s="389"/>
      <c r="R463" s="388"/>
      <c r="S463" s="388"/>
      <c r="T463" s="388"/>
      <c r="U463" s="388"/>
      <c r="V463" s="388"/>
      <c r="W463" s="9"/>
      <c r="X463" s="9"/>
      <c r="Y463" s="9"/>
      <c r="Z463" s="9"/>
    </row>
    <row r="464">
      <c r="A464" s="388"/>
      <c r="B464" s="396"/>
      <c r="C464" s="396"/>
      <c r="D464" s="396"/>
      <c r="E464" s="388"/>
      <c r="F464" s="395"/>
      <c r="G464" s="395"/>
      <c r="H464" s="388"/>
      <c r="I464" s="389"/>
      <c r="J464" s="389"/>
      <c r="K464" s="389"/>
      <c r="L464" s="460"/>
      <c r="M464" s="389"/>
      <c r="N464" s="389"/>
      <c r="O464" s="389"/>
      <c r="P464" s="389"/>
      <c r="Q464" s="389"/>
      <c r="R464" s="388"/>
      <c r="S464" s="388"/>
      <c r="T464" s="388"/>
      <c r="U464" s="388"/>
      <c r="V464" s="388"/>
      <c r="W464" s="9"/>
      <c r="X464" s="9"/>
      <c r="Y464" s="9"/>
      <c r="Z464" s="9"/>
    </row>
    <row r="465">
      <c r="A465" s="388"/>
      <c r="B465" s="396"/>
      <c r="C465" s="396"/>
      <c r="D465" s="396"/>
      <c r="E465" s="388"/>
      <c r="F465" s="395"/>
      <c r="G465" s="395"/>
      <c r="H465" s="388"/>
      <c r="I465" s="389"/>
      <c r="J465" s="389"/>
      <c r="K465" s="389"/>
      <c r="L465" s="460"/>
      <c r="M465" s="389"/>
      <c r="N465" s="389"/>
      <c r="O465" s="389"/>
      <c r="P465" s="389"/>
      <c r="Q465" s="389"/>
      <c r="R465" s="388"/>
      <c r="S465" s="388"/>
      <c r="T465" s="388"/>
      <c r="U465" s="388"/>
      <c r="V465" s="388"/>
      <c r="W465" s="9"/>
      <c r="X465" s="9"/>
      <c r="Y465" s="9"/>
      <c r="Z465" s="9"/>
    </row>
    <row r="466">
      <c r="A466" s="388"/>
      <c r="B466" s="396"/>
      <c r="C466" s="396"/>
      <c r="D466" s="396"/>
      <c r="E466" s="388"/>
      <c r="F466" s="395"/>
      <c r="G466" s="395"/>
      <c r="H466" s="388"/>
      <c r="I466" s="389"/>
      <c r="J466" s="389"/>
      <c r="K466" s="389"/>
      <c r="L466" s="460"/>
      <c r="M466" s="389"/>
      <c r="N466" s="389"/>
      <c r="O466" s="389"/>
      <c r="P466" s="389"/>
      <c r="Q466" s="389"/>
      <c r="R466" s="388"/>
      <c r="S466" s="388"/>
      <c r="T466" s="388"/>
      <c r="U466" s="388"/>
      <c r="V466" s="388"/>
      <c r="W466" s="9"/>
      <c r="X466" s="9"/>
      <c r="Y466" s="9"/>
      <c r="Z466" s="9"/>
    </row>
    <row r="467">
      <c r="A467" s="388"/>
      <c r="B467" s="396"/>
      <c r="C467" s="396"/>
      <c r="D467" s="396"/>
      <c r="E467" s="388"/>
      <c r="F467" s="395"/>
      <c r="G467" s="395"/>
      <c r="H467" s="388"/>
      <c r="I467" s="389"/>
      <c r="J467" s="389"/>
      <c r="K467" s="389"/>
      <c r="L467" s="460"/>
      <c r="M467" s="389"/>
      <c r="N467" s="389"/>
      <c r="O467" s="389"/>
      <c r="P467" s="389"/>
      <c r="Q467" s="389"/>
      <c r="R467" s="388"/>
      <c r="S467" s="388"/>
      <c r="T467" s="388"/>
      <c r="U467" s="388"/>
      <c r="V467" s="388"/>
      <c r="W467" s="9"/>
      <c r="X467" s="9"/>
      <c r="Y467" s="9"/>
      <c r="Z467" s="9"/>
    </row>
    <row r="468">
      <c r="A468" s="388"/>
      <c r="B468" s="396"/>
      <c r="C468" s="396"/>
      <c r="D468" s="396"/>
      <c r="E468" s="388"/>
      <c r="F468" s="395"/>
      <c r="G468" s="395"/>
      <c r="H468" s="388"/>
      <c r="I468" s="389"/>
      <c r="J468" s="389"/>
      <c r="K468" s="389"/>
      <c r="L468" s="460"/>
      <c r="M468" s="389"/>
      <c r="N468" s="389"/>
      <c r="O468" s="389"/>
      <c r="P468" s="389"/>
      <c r="Q468" s="389"/>
      <c r="R468" s="388"/>
      <c r="S468" s="388"/>
      <c r="T468" s="388"/>
      <c r="U468" s="388"/>
      <c r="V468" s="388"/>
      <c r="W468" s="9"/>
      <c r="X468" s="9"/>
      <c r="Y468" s="9"/>
      <c r="Z468" s="9"/>
    </row>
    <row r="469">
      <c r="A469" s="388"/>
      <c r="B469" s="396"/>
      <c r="C469" s="396"/>
      <c r="D469" s="396"/>
      <c r="E469" s="388"/>
      <c r="F469" s="395"/>
      <c r="G469" s="395"/>
      <c r="H469" s="388"/>
      <c r="I469" s="389"/>
      <c r="J469" s="389"/>
      <c r="K469" s="389"/>
      <c r="L469" s="460"/>
      <c r="M469" s="389"/>
      <c r="N469" s="389"/>
      <c r="O469" s="389"/>
      <c r="P469" s="389"/>
      <c r="Q469" s="389"/>
      <c r="R469" s="388"/>
      <c r="S469" s="388"/>
      <c r="T469" s="388"/>
      <c r="U469" s="388"/>
      <c r="V469" s="388"/>
      <c r="W469" s="9"/>
      <c r="X469" s="9"/>
      <c r="Y469" s="9"/>
      <c r="Z469" s="9"/>
    </row>
    <row r="470">
      <c r="A470" s="388"/>
      <c r="B470" s="396"/>
      <c r="C470" s="396"/>
      <c r="D470" s="396"/>
      <c r="E470" s="388"/>
      <c r="F470" s="395"/>
      <c r="G470" s="395"/>
      <c r="H470" s="388"/>
      <c r="I470" s="389"/>
      <c r="J470" s="389"/>
      <c r="K470" s="389"/>
      <c r="L470" s="460"/>
      <c r="M470" s="389"/>
      <c r="N470" s="389"/>
      <c r="O470" s="389"/>
      <c r="P470" s="389"/>
      <c r="Q470" s="389"/>
      <c r="R470" s="388"/>
      <c r="S470" s="388"/>
      <c r="T470" s="388"/>
      <c r="U470" s="388"/>
      <c r="V470" s="388"/>
      <c r="W470" s="9"/>
      <c r="X470" s="9"/>
      <c r="Y470" s="9"/>
      <c r="Z470" s="9"/>
    </row>
    <row r="471">
      <c r="A471" s="388"/>
      <c r="B471" s="396"/>
      <c r="C471" s="396"/>
      <c r="D471" s="396"/>
      <c r="E471" s="388"/>
      <c r="F471" s="395"/>
      <c r="G471" s="395"/>
      <c r="H471" s="388"/>
      <c r="I471" s="389"/>
      <c r="J471" s="389"/>
      <c r="K471" s="389"/>
      <c r="L471" s="460"/>
      <c r="M471" s="389"/>
      <c r="N471" s="389"/>
      <c r="O471" s="389"/>
      <c r="P471" s="389"/>
      <c r="Q471" s="389"/>
      <c r="R471" s="388"/>
      <c r="S471" s="388"/>
      <c r="T471" s="388"/>
      <c r="U471" s="388"/>
      <c r="V471" s="388"/>
      <c r="W471" s="9"/>
      <c r="X471" s="9"/>
      <c r="Y471" s="9"/>
      <c r="Z471" s="9"/>
    </row>
    <row r="472">
      <c r="A472" s="388"/>
      <c r="B472" s="396"/>
      <c r="C472" s="396"/>
      <c r="D472" s="396"/>
      <c r="E472" s="388"/>
      <c r="F472" s="395"/>
      <c r="G472" s="395"/>
      <c r="H472" s="388"/>
      <c r="I472" s="389"/>
      <c r="J472" s="389"/>
      <c r="K472" s="389"/>
      <c r="L472" s="460"/>
      <c r="M472" s="389"/>
      <c r="N472" s="389"/>
      <c r="O472" s="389"/>
      <c r="P472" s="389"/>
      <c r="Q472" s="389"/>
      <c r="R472" s="388"/>
      <c r="S472" s="388"/>
      <c r="T472" s="388"/>
      <c r="U472" s="388"/>
      <c r="V472" s="388"/>
      <c r="W472" s="9"/>
      <c r="X472" s="9"/>
      <c r="Y472" s="9"/>
      <c r="Z472" s="9"/>
    </row>
    <row r="473">
      <c r="A473" s="388"/>
      <c r="B473" s="396"/>
      <c r="C473" s="396"/>
      <c r="D473" s="396"/>
      <c r="E473" s="388"/>
      <c r="F473" s="395"/>
      <c r="G473" s="395"/>
      <c r="H473" s="388"/>
      <c r="I473" s="389"/>
      <c r="J473" s="389"/>
      <c r="K473" s="389"/>
      <c r="L473" s="460"/>
      <c r="M473" s="389"/>
      <c r="N473" s="389"/>
      <c r="O473" s="389"/>
      <c r="P473" s="389"/>
      <c r="Q473" s="389"/>
      <c r="R473" s="388"/>
      <c r="S473" s="388"/>
      <c r="T473" s="388"/>
      <c r="U473" s="388"/>
      <c r="V473" s="388"/>
      <c r="W473" s="9"/>
      <c r="X473" s="9"/>
      <c r="Y473" s="9"/>
      <c r="Z473" s="9"/>
    </row>
    <row r="474">
      <c r="A474" s="388"/>
      <c r="B474" s="396"/>
      <c r="C474" s="396"/>
      <c r="D474" s="396"/>
      <c r="E474" s="388"/>
      <c r="F474" s="395"/>
      <c r="G474" s="395"/>
      <c r="H474" s="388"/>
      <c r="I474" s="389"/>
      <c r="J474" s="389"/>
      <c r="K474" s="389"/>
      <c r="L474" s="460"/>
      <c r="M474" s="389"/>
      <c r="N474" s="389"/>
      <c r="O474" s="389"/>
      <c r="P474" s="389"/>
      <c r="Q474" s="389"/>
      <c r="R474" s="388"/>
      <c r="S474" s="388"/>
      <c r="T474" s="388"/>
      <c r="U474" s="388"/>
      <c r="V474" s="388"/>
      <c r="W474" s="9"/>
      <c r="X474" s="9"/>
      <c r="Y474" s="9"/>
      <c r="Z474" s="9"/>
    </row>
    <row r="475">
      <c r="A475" s="388"/>
      <c r="B475" s="396"/>
      <c r="C475" s="396"/>
      <c r="D475" s="396"/>
      <c r="E475" s="388"/>
      <c r="F475" s="395"/>
      <c r="G475" s="395"/>
      <c r="H475" s="388"/>
      <c r="I475" s="389"/>
      <c r="J475" s="389"/>
      <c r="K475" s="389"/>
      <c r="L475" s="460"/>
      <c r="M475" s="389"/>
      <c r="N475" s="389"/>
      <c r="O475" s="389"/>
      <c r="P475" s="389"/>
      <c r="Q475" s="389"/>
      <c r="R475" s="388"/>
      <c r="S475" s="388"/>
      <c r="T475" s="388"/>
      <c r="U475" s="388"/>
      <c r="V475" s="388"/>
      <c r="W475" s="9"/>
      <c r="X475" s="9"/>
      <c r="Y475" s="9"/>
      <c r="Z475" s="9"/>
    </row>
    <row r="476">
      <c r="A476" s="388"/>
      <c r="B476" s="396"/>
      <c r="C476" s="396"/>
      <c r="D476" s="396"/>
      <c r="E476" s="388"/>
      <c r="F476" s="395"/>
      <c r="G476" s="395"/>
      <c r="H476" s="388"/>
      <c r="I476" s="389"/>
      <c r="J476" s="389"/>
      <c r="K476" s="389"/>
      <c r="L476" s="460"/>
      <c r="M476" s="389"/>
      <c r="N476" s="389"/>
      <c r="O476" s="389"/>
      <c r="P476" s="389"/>
      <c r="Q476" s="389"/>
      <c r="R476" s="388"/>
      <c r="S476" s="388"/>
      <c r="T476" s="388"/>
      <c r="U476" s="388"/>
      <c r="V476" s="388"/>
      <c r="W476" s="9"/>
      <c r="X476" s="9"/>
      <c r="Y476" s="9"/>
      <c r="Z476" s="9"/>
    </row>
    <row r="477">
      <c r="A477" s="388"/>
      <c r="B477" s="396"/>
      <c r="C477" s="396"/>
      <c r="D477" s="396"/>
      <c r="E477" s="388"/>
      <c r="F477" s="395"/>
      <c r="G477" s="395"/>
      <c r="H477" s="388"/>
      <c r="I477" s="389"/>
      <c r="J477" s="389"/>
      <c r="K477" s="389"/>
      <c r="L477" s="460"/>
      <c r="M477" s="389"/>
      <c r="N477" s="389"/>
      <c r="O477" s="389"/>
      <c r="P477" s="389"/>
      <c r="Q477" s="389"/>
      <c r="R477" s="388"/>
      <c r="S477" s="388"/>
      <c r="T477" s="388"/>
      <c r="U477" s="388"/>
      <c r="V477" s="388"/>
      <c r="W477" s="9"/>
      <c r="X477" s="9"/>
      <c r="Y477" s="9"/>
      <c r="Z477" s="9"/>
    </row>
    <row r="478">
      <c r="A478" s="388"/>
      <c r="B478" s="396"/>
      <c r="C478" s="396"/>
      <c r="D478" s="396"/>
      <c r="E478" s="388"/>
      <c r="F478" s="395"/>
      <c r="G478" s="395"/>
      <c r="H478" s="388"/>
      <c r="I478" s="389"/>
      <c r="J478" s="389"/>
      <c r="K478" s="389"/>
      <c r="L478" s="460"/>
      <c r="M478" s="389"/>
      <c r="N478" s="389"/>
      <c r="O478" s="389"/>
      <c r="P478" s="389"/>
      <c r="Q478" s="389"/>
      <c r="R478" s="388"/>
      <c r="S478" s="388"/>
      <c r="T478" s="388"/>
      <c r="U478" s="388"/>
      <c r="V478" s="388"/>
      <c r="W478" s="9"/>
      <c r="X478" s="9"/>
      <c r="Y478" s="9"/>
      <c r="Z478" s="9"/>
    </row>
    <row r="479">
      <c r="A479" s="388"/>
      <c r="B479" s="396"/>
      <c r="C479" s="396"/>
      <c r="D479" s="396"/>
      <c r="E479" s="388"/>
      <c r="F479" s="395"/>
      <c r="G479" s="395"/>
      <c r="H479" s="388"/>
      <c r="I479" s="389"/>
      <c r="J479" s="389"/>
      <c r="K479" s="389"/>
      <c r="L479" s="460"/>
      <c r="M479" s="389"/>
      <c r="N479" s="389"/>
      <c r="O479" s="389"/>
      <c r="P479" s="389"/>
      <c r="Q479" s="389"/>
      <c r="R479" s="388"/>
      <c r="S479" s="388"/>
      <c r="T479" s="388"/>
      <c r="U479" s="388"/>
      <c r="V479" s="388"/>
      <c r="W479" s="9"/>
      <c r="X479" s="9"/>
      <c r="Y479" s="9"/>
      <c r="Z479" s="9"/>
    </row>
    <row r="480">
      <c r="A480" s="388"/>
      <c r="B480" s="396"/>
      <c r="C480" s="396"/>
      <c r="D480" s="396"/>
      <c r="E480" s="388"/>
      <c r="F480" s="395"/>
      <c r="G480" s="395"/>
      <c r="H480" s="388"/>
      <c r="I480" s="389"/>
      <c r="J480" s="389"/>
      <c r="K480" s="389"/>
      <c r="L480" s="460"/>
      <c r="M480" s="389"/>
      <c r="N480" s="389"/>
      <c r="O480" s="389"/>
      <c r="P480" s="389"/>
      <c r="Q480" s="389"/>
      <c r="R480" s="388"/>
      <c r="S480" s="388"/>
      <c r="T480" s="388"/>
      <c r="U480" s="388"/>
      <c r="V480" s="388"/>
      <c r="W480" s="9"/>
      <c r="X480" s="9"/>
      <c r="Y480" s="9"/>
      <c r="Z480" s="9"/>
    </row>
    <row r="481">
      <c r="A481" s="388"/>
      <c r="B481" s="396"/>
      <c r="C481" s="396"/>
      <c r="D481" s="396"/>
      <c r="E481" s="388"/>
      <c r="F481" s="395"/>
      <c r="G481" s="395"/>
      <c r="H481" s="388"/>
      <c r="I481" s="389"/>
      <c r="J481" s="389"/>
      <c r="K481" s="389"/>
      <c r="L481" s="460"/>
      <c r="M481" s="389"/>
      <c r="N481" s="389"/>
      <c r="O481" s="389"/>
      <c r="P481" s="389"/>
      <c r="Q481" s="389"/>
      <c r="R481" s="388"/>
      <c r="S481" s="388"/>
      <c r="T481" s="388"/>
      <c r="U481" s="388"/>
      <c r="V481" s="388"/>
      <c r="W481" s="9"/>
      <c r="X481" s="9"/>
      <c r="Y481" s="9"/>
      <c r="Z481" s="9"/>
    </row>
    <row r="482">
      <c r="A482" s="388"/>
      <c r="B482" s="396"/>
      <c r="C482" s="396"/>
      <c r="D482" s="396"/>
      <c r="E482" s="388"/>
      <c r="F482" s="395"/>
      <c r="G482" s="395"/>
      <c r="H482" s="388"/>
      <c r="I482" s="389"/>
      <c r="J482" s="389"/>
      <c r="K482" s="389"/>
      <c r="L482" s="460"/>
      <c r="M482" s="389"/>
      <c r="N482" s="389"/>
      <c r="O482" s="389"/>
      <c r="P482" s="389"/>
      <c r="Q482" s="389"/>
      <c r="R482" s="388"/>
      <c r="S482" s="388"/>
      <c r="T482" s="388"/>
      <c r="U482" s="388"/>
      <c r="V482" s="388"/>
      <c r="W482" s="9"/>
      <c r="X482" s="9"/>
      <c r="Y482" s="9"/>
      <c r="Z482" s="9"/>
    </row>
    <row r="483">
      <c r="A483" s="388"/>
      <c r="B483" s="396"/>
      <c r="C483" s="396"/>
      <c r="D483" s="396"/>
      <c r="E483" s="388"/>
      <c r="F483" s="395"/>
      <c r="G483" s="395"/>
      <c r="H483" s="388"/>
      <c r="I483" s="389"/>
      <c r="J483" s="389"/>
      <c r="K483" s="389"/>
      <c r="L483" s="460"/>
      <c r="M483" s="389"/>
      <c r="N483" s="389"/>
      <c r="O483" s="389"/>
      <c r="P483" s="389"/>
      <c r="Q483" s="389"/>
      <c r="R483" s="388"/>
      <c r="S483" s="388"/>
      <c r="T483" s="388"/>
      <c r="U483" s="388"/>
      <c r="V483" s="388"/>
      <c r="W483" s="9"/>
      <c r="X483" s="9"/>
      <c r="Y483" s="9"/>
      <c r="Z483" s="9"/>
    </row>
    <row r="484">
      <c r="A484" s="388"/>
      <c r="B484" s="396"/>
      <c r="C484" s="396"/>
      <c r="D484" s="396"/>
      <c r="E484" s="388"/>
      <c r="F484" s="395"/>
      <c r="G484" s="395"/>
      <c r="H484" s="388"/>
      <c r="I484" s="389"/>
      <c r="J484" s="389"/>
      <c r="K484" s="389"/>
      <c r="L484" s="460"/>
      <c r="M484" s="389"/>
      <c r="N484" s="389"/>
      <c r="O484" s="389"/>
      <c r="P484" s="389"/>
      <c r="Q484" s="389"/>
      <c r="R484" s="388"/>
      <c r="S484" s="388"/>
      <c r="T484" s="388"/>
      <c r="U484" s="388"/>
      <c r="V484" s="388"/>
      <c r="W484" s="9"/>
      <c r="X484" s="9"/>
      <c r="Y484" s="9"/>
      <c r="Z484" s="9"/>
    </row>
    <row r="485">
      <c r="A485" s="388"/>
      <c r="B485" s="396"/>
      <c r="C485" s="396"/>
      <c r="D485" s="396"/>
      <c r="E485" s="388"/>
      <c r="F485" s="395"/>
      <c r="G485" s="395"/>
      <c r="H485" s="388"/>
      <c r="I485" s="389"/>
      <c r="J485" s="389"/>
      <c r="K485" s="389"/>
      <c r="L485" s="460"/>
      <c r="M485" s="389"/>
      <c r="N485" s="389"/>
      <c r="O485" s="389"/>
      <c r="P485" s="389"/>
      <c r="Q485" s="389"/>
      <c r="R485" s="388"/>
      <c r="S485" s="388"/>
      <c r="T485" s="388"/>
      <c r="U485" s="388"/>
      <c r="V485" s="388"/>
      <c r="W485" s="9"/>
      <c r="X485" s="9"/>
      <c r="Y485" s="9"/>
      <c r="Z485" s="9"/>
    </row>
    <row r="486">
      <c r="A486" s="388"/>
      <c r="B486" s="396"/>
      <c r="C486" s="396"/>
      <c r="D486" s="396"/>
      <c r="E486" s="388"/>
      <c r="F486" s="395"/>
      <c r="G486" s="395"/>
      <c r="H486" s="388"/>
      <c r="I486" s="389"/>
      <c r="J486" s="389"/>
      <c r="K486" s="389"/>
      <c r="L486" s="460"/>
      <c r="M486" s="389"/>
      <c r="N486" s="389"/>
      <c r="O486" s="389"/>
      <c r="P486" s="389"/>
      <c r="Q486" s="389"/>
      <c r="R486" s="388"/>
      <c r="S486" s="388"/>
      <c r="T486" s="388"/>
      <c r="U486" s="388"/>
      <c r="V486" s="388"/>
      <c r="W486" s="9"/>
      <c r="X486" s="9"/>
      <c r="Y486" s="9"/>
      <c r="Z486" s="9"/>
    </row>
    <row r="487">
      <c r="A487" s="388"/>
      <c r="B487" s="396"/>
      <c r="C487" s="396"/>
      <c r="D487" s="396"/>
      <c r="E487" s="388"/>
      <c r="F487" s="395"/>
      <c r="G487" s="395"/>
      <c r="H487" s="388"/>
      <c r="I487" s="389"/>
      <c r="J487" s="389"/>
      <c r="K487" s="389"/>
      <c r="L487" s="460"/>
      <c r="M487" s="389"/>
      <c r="N487" s="389"/>
      <c r="O487" s="389"/>
      <c r="P487" s="389"/>
      <c r="Q487" s="389"/>
      <c r="R487" s="388"/>
      <c r="S487" s="388"/>
      <c r="T487" s="388"/>
      <c r="U487" s="388"/>
      <c r="V487" s="388"/>
      <c r="W487" s="9"/>
      <c r="X487" s="9"/>
      <c r="Y487" s="9"/>
      <c r="Z487" s="9"/>
    </row>
    <row r="488">
      <c r="A488" s="388"/>
      <c r="B488" s="396"/>
      <c r="C488" s="396"/>
      <c r="D488" s="396"/>
      <c r="E488" s="388"/>
      <c r="F488" s="395"/>
      <c r="G488" s="395"/>
      <c r="H488" s="388"/>
      <c r="I488" s="389"/>
      <c r="J488" s="389"/>
      <c r="K488" s="389"/>
      <c r="L488" s="460"/>
      <c r="M488" s="389"/>
      <c r="N488" s="389"/>
      <c r="O488" s="389"/>
      <c r="P488" s="389"/>
      <c r="Q488" s="389"/>
      <c r="R488" s="388"/>
      <c r="S488" s="388"/>
      <c r="T488" s="388"/>
      <c r="U488" s="388"/>
      <c r="V488" s="388"/>
      <c r="W488" s="9"/>
      <c r="X488" s="9"/>
      <c r="Y488" s="9"/>
      <c r="Z488" s="9"/>
    </row>
    <row r="489">
      <c r="A489" s="388"/>
      <c r="B489" s="396"/>
      <c r="C489" s="396"/>
      <c r="D489" s="396"/>
      <c r="E489" s="388"/>
      <c r="F489" s="395"/>
      <c r="G489" s="395"/>
      <c r="H489" s="388"/>
      <c r="I489" s="389"/>
      <c r="J489" s="389"/>
      <c r="K489" s="389"/>
      <c r="L489" s="460"/>
      <c r="M489" s="389"/>
      <c r="N489" s="389"/>
      <c r="O489" s="389"/>
      <c r="P489" s="389"/>
      <c r="Q489" s="389"/>
      <c r="R489" s="388"/>
      <c r="S489" s="388"/>
      <c r="T489" s="388"/>
      <c r="U489" s="388"/>
      <c r="V489" s="388"/>
      <c r="W489" s="9"/>
      <c r="X489" s="9"/>
      <c r="Y489" s="9"/>
      <c r="Z489" s="9"/>
    </row>
    <row r="490">
      <c r="A490" s="388"/>
      <c r="B490" s="396"/>
      <c r="C490" s="396"/>
      <c r="D490" s="396"/>
      <c r="E490" s="388"/>
      <c r="F490" s="395"/>
      <c r="G490" s="395"/>
      <c r="H490" s="388"/>
      <c r="I490" s="389"/>
      <c r="J490" s="389"/>
      <c r="K490" s="389"/>
      <c r="L490" s="460"/>
      <c r="M490" s="389"/>
      <c r="N490" s="389"/>
      <c r="O490" s="389"/>
      <c r="P490" s="389"/>
      <c r="Q490" s="389"/>
      <c r="R490" s="388"/>
      <c r="S490" s="388"/>
      <c r="T490" s="388"/>
      <c r="U490" s="388"/>
      <c r="V490" s="388"/>
      <c r="W490" s="9"/>
      <c r="X490" s="9"/>
      <c r="Y490" s="9"/>
      <c r="Z490" s="9"/>
    </row>
    <row r="491">
      <c r="A491" s="388"/>
      <c r="B491" s="396"/>
      <c r="C491" s="396"/>
      <c r="D491" s="396"/>
      <c r="E491" s="388"/>
      <c r="F491" s="395"/>
      <c r="G491" s="395"/>
      <c r="H491" s="388"/>
      <c r="I491" s="389"/>
      <c r="J491" s="389"/>
      <c r="K491" s="389"/>
      <c r="L491" s="460"/>
      <c r="M491" s="389"/>
      <c r="N491" s="389"/>
      <c r="O491" s="389"/>
      <c r="P491" s="389"/>
      <c r="Q491" s="389"/>
      <c r="R491" s="388"/>
      <c r="S491" s="388"/>
      <c r="T491" s="388"/>
      <c r="U491" s="388"/>
      <c r="V491" s="388"/>
      <c r="W491" s="9"/>
      <c r="X491" s="9"/>
      <c r="Y491" s="9"/>
      <c r="Z491" s="9"/>
    </row>
    <row r="492">
      <c r="A492" s="388"/>
      <c r="B492" s="396"/>
      <c r="C492" s="396"/>
      <c r="D492" s="396"/>
      <c r="E492" s="388"/>
      <c r="F492" s="395"/>
      <c r="G492" s="395"/>
      <c r="H492" s="388"/>
      <c r="I492" s="389"/>
      <c r="J492" s="389"/>
      <c r="K492" s="389"/>
      <c r="L492" s="460"/>
      <c r="M492" s="389"/>
      <c r="N492" s="389"/>
      <c r="O492" s="389"/>
      <c r="P492" s="389"/>
      <c r="Q492" s="389"/>
      <c r="R492" s="388"/>
      <c r="S492" s="388"/>
      <c r="T492" s="388"/>
      <c r="U492" s="388"/>
      <c r="V492" s="388"/>
      <c r="W492" s="9"/>
      <c r="X492" s="9"/>
      <c r="Y492" s="9"/>
      <c r="Z492" s="9"/>
    </row>
    <row r="493">
      <c r="A493" s="388"/>
      <c r="B493" s="396"/>
      <c r="C493" s="396"/>
      <c r="D493" s="396"/>
      <c r="E493" s="388"/>
      <c r="F493" s="395"/>
      <c r="G493" s="395"/>
      <c r="H493" s="388"/>
      <c r="I493" s="389"/>
      <c r="J493" s="389"/>
      <c r="K493" s="389"/>
      <c r="L493" s="460"/>
      <c r="M493" s="389"/>
      <c r="N493" s="389"/>
      <c r="O493" s="389"/>
      <c r="P493" s="389"/>
      <c r="Q493" s="389"/>
      <c r="R493" s="388"/>
      <c r="S493" s="388"/>
      <c r="T493" s="388"/>
      <c r="U493" s="388"/>
      <c r="V493" s="388"/>
      <c r="W493" s="9"/>
      <c r="X493" s="9"/>
      <c r="Y493" s="9"/>
      <c r="Z493" s="9"/>
    </row>
    <row r="494">
      <c r="A494" s="388"/>
      <c r="B494" s="396"/>
      <c r="C494" s="396"/>
      <c r="D494" s="396"/>
      <c r="E494" s="388"/>
      <c r="F494" s="395"/>
      <c r="G494" s="395"/>
      <c r="H494" s="388"/>
      <c r="I494" s="389"/>
      <c r="J494" s="389"/>
      <c r="K494" s="389"/>
      <c r="L494" s="460"/>
      <c r="M494" s="389"/>
      <c r="N494" s="389"/>
      <c r="O494" s="389"/>
      <c r="P494" s="389"/>
      <c r="Q494" s="389"/>
      <c r="R494" s="388"/>
      <c r="S494" s="388"/>
      <c r="T494" s="388"/>
      <c r="U494" s="388"/>
      <c r="V494" s="388"/>
      <c r="W494" s="9"/>
      <c r="X494" s="9"/>
      <c r="Y494" s="9"/>
      <c r="Z494" s="9"/>
    </row>
    <row r="495">
      <c r="A495" s="388"/>
      <c r="B495" s="396"/>
      <c r="C495" s="396"/>
      <c r="D495" s="396"/>
      <c r="E495" s="388"/>
      <c r="F495" s="395"/>
      <c r="G495" s="395"/>
      <c r="H495" s="388"/>
      <c r="I495" s="389"/>
      <c r="J495" s="389"/>
      <c r="K495" s="389"/>
      <c r="L495" s="460"/>
      <c r="M495" s="389"/>
      <c r="N495" s="389"/>
      <c r="O495" s="389"/>
      <c r="P495" s="389"/>
      <c r="Q495" s="389"/>
      <c r="R495" s="388"/>
      <c r="S495" s="388"/>
      <c r="T495" s="388"/>
      <c r="U495" s="388"/>
      <c r="V495" s="388"/>
      <c r="W495" s="9"/>
      <c r="X495" s="9"/>
      <c r="Y495" s="9"/>
      <c r="Z495" s="9"/>
    </row>
    <row r="496">
      <c r="A496" s="388"/>
      <c r="B496" s="396"/>
      <c r="C496" s="396"/>
      <c r="D496" s="396"/>
      <c r="E496" s="388"/>
      <c r="F496" s="395"/>
      <c r="G496" s="395"/>
      <c r="H496" s="388"/>
      <c r="I496" s="389"/>
      <c r="J496" s="389"/>
      <c r="K496" s="389"/>
      <c r="L496" s="460"/>
      <c r="M496" s="389"/>
      <c r="N496" s="389"/>
      <c r="O496" s="389"/>
      <c r="P496" s="389"/>
      <c r="Q496" s="389"/>
      <c r="R496" s="388"/>
      <c r="S496" s="388"/>
      <c r="T496" s="388"/>
      <c r="U496" s="388"/>
      <c r="V496" s="388"/>
      <c r="W496" s="9"/>
      <c r="X496" s="9"/>
      <c r="Y496" s="9"/>
      <c r="Z496" s="9"/>
    </row>
    <row r="497">
      <c r="A497" s="388"/>
      <c r="B497" s="396"/>
      <c r="C497" s="396"/>
      <c r="D497" s="396"/>
      <c r="E497" s="388"/>
      <c r="F497" s="395"/>
      <c r="G497" s="395"/>
      <c r="H497" s="388"/>
      <c r="I497" s="389"/>
      <c r="J497" s="389"/>
      <c r="K497" s="389"/>
      <c r="L497" s="460"/>
      <c r="M497" s="389"/>
      <c r="N497" s="389"/>
      <c r="O497" s="389"/>
      <c r="P497" s="389"/>
      <c r="Q497" s="389"/>
      <c r="R497" s="388"/>
      <c r="S497" s="388"/>
      <c r="T497" s="388"/>
      <c r="U497" s="388"/>
      <c r="V497" s="388"/>
      <c r="W497" s="9"/>
      <c r="X497" s="9"/>
      <c r="Y497" s="9"/>
      <c r="Z497" s="9"/>
    </row>
    <row r="498">
      <c r="A498" s="388"/>
      <c r="B498" s="396"/>
      <c r="C498" s="396"/>
      <c r="D498" s="396"/>
      <c r="E498" s="388"/>
      <c r="F498" s="395"/>
      <c r="G498" s="395"/>
      <c r="H498" s="388"/>
      <c r="I498" s="389"/>
      <c r="J498" s="389"/>
      <c r="K498" s="389"/>
      <c r="L498" s="460"/>
      <c r="M498" s="389"/>
      <c r="N498" s="389"/>
      <c r="O498" s="389"/>
      <c r="P498" s="389"/>
      <c r="Q498" s="389"/>
      <c r="R498" s="388"/>
      <c r="S498" s="388"/>
      <c r="T498" s="388"/>
      <c r="U498" s="388"/>
      <c r="V498" s="388"/>
      <c r="W498" s="9"/>
      <c r="X498" s="9"/>
      <c r="Y498" s="9"/>
      <c r="Z498" s="9"/>
    </row>
    <row r="499">
      <c r="A499" s="388"/>
      <c r="B499" s="396"/>
      <c r="C499" s="396"/>
      <c r="D499" s="396"/>
      <c r="E499" s="388"/>
      <c r="F499" s="395"/>
      <c r="G499" s="395"/>
      <c r="H499" s="388"/>
      <c r="I499" s="389"/>
      <c r="J499" s="389"/>
      <c r="K499" s="389"/>
      <c r="L499" s="460"/>
      <c r="M499" s="389"/>
      <c r="N499" s="389"/>
      <c r="O499" s="389"/>
      <c r="P499" s="389"/>
      <c r="Q499" s="389"/>
      <c r="R499" s="388"/>
      <c r="S499" s="388"/>
      <c r="T499" s="388"/>
      <c r="U499" s="388"/>
      <c r="V499" s="388"/>
      <c r="W499" s="9"/>
      <c r="X499" s="9"/>
      <c r="Y499" s="9"/>
      <c r="Z499" s="9"/>
    </row>
    <row r="500">
      <c r="A500" s="388"/>
      <c r="B500" s="396"/>
      <c r="C500" s="396"/>
      <c r="D500" s="396"/>
      <c r="E500" s="388"/>
      <c r="F500" s="395"/>
      <c r="G500" s="395"/>
      <c r="H500" s="388"/>
      <c r="I500" s="389"/>
      <c r="J500" s="389"/>
      <c r="K500" s="389"/>
      <c r="L500" s="460"/>
      <c r="M500" s="389"/>
      <c r="N500" s="389"/>
      <c r="O500" s="389"/>
      <c r="P500" s="389"/>
      <c r="Q500" s="389"/>
      <c r="R500" s="388"/>
      <c r="S500" s="388"/>
      <c r="T500" s="388"/>
      <c r="U500" s="388"/>
      <c r="V500" s="388"/>
      <c r="W500" s="9"/>
      <c r="X500" s="9"/>
      <c r="Y500" s="9"/>
      <c r="Z500" s="9"/>
    </row>
    <row r="501">
      <c r="A501" s="388"/>
      <c r="B501" s="396"/>
      <c r="C501" s="396"/>
      <c r="D501" s="396"/>
      <c r="E501" s="388"/>
      <c r="F501" s="395"/>
      <c r="G501" s="395"/>
      <c r="H501" s="388"/>
      <c r="I501" s="389"/>
      <c r="J501" s="389"/>
      <c r="K501" s="389"/>
      <c r="L501" s="460"/>
      <c r="M501" s="389"/>
      <c r="N501" s="389"/>
      <c r="O501" s="389"/>
      <c r="P501" s="389"/>
      <c r="Q501" s="389"/>
      <c r="R501" s="388"/>
      <c r="S501" s="388"/>
      <c r="T501" s="388"/>
      <c r="U501" s="388"/>
      <c r="V501" s="388"/>
      <c r="W501" s="9"/>
      <c r="X501" s="9"/>
      <c r="Y501" s="9"/>
      <c r="Z501" s="9"/>
    </row>
    <row r="502">
      <c r="A502" s="388"/>
      <c r="B502" s="396"/>
      <c r="C502" s="396"/>
      <c r="D502" s="396"/>
      <c r="E502" s="388"/>
      <c r="F502" s="395"/>
      <c r="G502" s="395"/>
      <c r="H502" s="388"/>
      <c r="I502" s="389"/>
      <c r="J502" s="389"/>
      <c r="K502" s="389"/>
      <c r="L502" s="460"/>
      <c r="M502" s="389"/>
      <c r="N502" s="389"/>
      <c r="O502" s="389"/>
      <c r="P502" s="389"/>
      <c r="Q502" s="389"/>
      <c r="R502" s="388"/>
      <c r="S502" s="388"/>
      <c r="T502" s="388"/>
      <c r="U502" s="388"/>
      <c r="V502" s="388"/>
      <c r="W502" s="9"/>
      <c r="X502" s="9"/>
      <c r="Y502" s="9"/>
      <c r="Z502" s="9"/>
    </row>
    <row r="503">
      <c r="A503" s="388"/>
      <c r="B503" s="396"/>
      <c r="C503" s="396"/>
      <c r="D503" s="396"/>
      <c r="E503" s="388"/>
      <c r="F503" s="395"/>
      <c r="G503" s="395"/>
      <c r="H503" s="388"/>
      <c r="I503" s="389"/>
      <c r="J503" s="389"/>
      <c r="K503" s="389"/>
      <c r="L503" s="460"/>
      <c r="M503" s="389"/>
      <c r="N503" s="389"/>
      <c r="O503" s="389"/>
      <c r="P503" s="389"/>
      <c r="Q503" s="389"/>
      <c r="R503" s="388"/>
      <c r="S503" s="388"/>
      <c r="T503" s="388"/>
      <c r="U503" s="388"/>
      <c r="V503" s="388"/>
      <c r="W503" s="9"/>
      <c r="X503" s="9"/>
      <c r="Y503" s="9"/>
      <c r="Z503" s="9"/>
    </row>
    <row r="504">
      <c r="A504" s="388"/>
      <c r="B504" s="396"/>
      <c r="C504" s="396"/>
      <c r="D504" s="396"/>
      <c r="E504" s="388"/>
      <c r="F504" s="395"/>
      <c r="G504" s="395"/>
      <c r="H504" s="388"/>
      <c r="I504" s="389"/>
      <c r="J504" s="389"/>
      <c r="K504" s="389"/>
      <c r="L504" s="460"/>
      <c r="M504" s="389"/>
      <c r="N504" s="389"/>
      <c r="O504" s="389"/>
      <c r="P504" s="389"/>
      <c r="Q504" s="389"/>
      <c r="R504" s="388"/>
      <c r="S504" s="388"/>
      <c r="T504" s="388"/>
      <c r="U504" s="388"/>
      <c r="V504" s="388"/>
      <c r="W504" s="9"/>
      <c r="X504" s="9"/>
      <c r="Y504" s="9"/>
      <c r="Z504" s="9"/>
    </row>
    <row r="505">
      <c r="A505" s="388"/>
      <c r="B505" s="396"/>
      <c r="C505" s="396"/>
      <c r="D505" s="396"/>
      <c r="E505" s="388"/>
      <c r="F505" s="395"/>
      <c r="G505" s="395"/>
      <c r="H505" s="388"/>
      <c r="I505" s="389"/>
      <c r="J505" s="389"/>
      <c r="K505" s="389"/>
      <c r="L505" s="460"/>
      <c r="M505" s="389"/>
      <c r="N505" s="389"/>
      <c r="O505" s="389"/>
      <c r="P505" s="389"/>
      <c r="Q505" s="389"/>
      <c r="R505" s="388"/>
      <c r="S505" s="388"/>
      <c r="T505" s="388"/>
      <c r="U505" s="388"/>
      <c r="V505" s="388"/>
      <c r="W505" s="9"/>
      <c r="X505" s="9"/>
      <c r="Y505" s="9"/>
      <c r="Z505" s="9"/>
    </row>
    <row r="506">
      <c r="A506" s="388"/>
      <c r="B506" s="396"/>
      <c r="C506" s="396"/>
      <c r="D506" s="396"/>
      <c r="E506" s="388"/>
      <c r="F506" s="395"/>
      <c r="G506" s="395"/>
      <c r="H506" s="388"/>
      <c r="I506" s="389"/>
      <c r="J506" s="389"/>
      <c r="K506" s="389"/>
      <c r="L506" s="460"/>
      <c r="M506" s="389"/>
      <c r="N506" s="389"/>
      <c r="O506" s="389"/>
      <c r="P506" s="389"/>
      <c r="Q506" s="389"/>
      <c r="R506" s="388"/>
      <c r="S506" s="388"/>
      <c r="T506" s="388"/>
      <c r="U506" s="388"/>
      <c r="V506" s="388"/>
      <c r="W506" s="9"/>
      <c r="X506" s="9"/>
      <c r="Y506" s="9"/>
      <c r="Z506" s="9"/>
    </row>
    <row r="507">
      <c r="A507" s="388"/>
      <c r="B507" s="396"/>
      <c r="C507" s="396"/>
      <c r="D507" s="396"/>
      <c r="E507" s="388"/>
      <c r="F507" s="395"/>
      <c r="G507" s="395"/>
      <c r="H507" s="388"/>
      <c r="I507" s="389"/>
      <c r="J507" s="389"/>
      <c r="K507" s="389"/>
      <c r="L507" s="460"/>
      <c r="M507" s="389"/>
      <c r="N507" s="389"/>
      <c r="O507" s="389"/>
      <c r="P507" s="389"/>
      <c r="Q507" s="389"/>
      <c r="R507" s="388"/>
      <c r="S507" s="388"/>
      <c r="T507" s="388"/>
      <c r="U507" s="388"/>
      <c r="V507" s="388"/>
      <c r="W507" s="9"/>
      <c r="X507" s="9"/>
      <c r="Y507" s="9"/>
      <c r="Z507" s="9"/>
    </row>
    <row r="508">
      <c r="A508" s="388"/>
      <c r="B508" s="396"/>
      <c r="C508" s="396"/>
      <c r="D508" s="396"/>
      <c r="E508" s="388"/>
      <c r="F508" s="395"/>
      <c r="G508" s="395"/>
      <c r="H508" s="388"/>
      <c r="I508" s="389"/>
      <c r="J508" s="389"/>
      <c r="K508" s="389"/>
      <c r="L508" s="460"/>
      <c r="M508" s="389"/>
      <c r="N508" s="389"/>
      <c r="O508" s="389"/>
      <c r="P508" s="389"/>
      <c r="Q508" s="389"/>
      <c r="R508" s="388"/>
      <c r="S508" s="388"/>
      <c r="T508" s="388"/>
      <c r="U508" s="388"/>
      <c r="V508" s="388"/>
      <c r="W508" s="9"/>
      <c r="X508" s="9"/>
      <c r="Y508" s="9"/>
      <c r="Z508" s="9"/>
    </row>
    <row r="509">
      <c r="A509" s="388"/>
      <c r="B509" s="396"/>
      <c r="C509" s="396"/>
      <c r="D509" s="396"/>
      <c r="E509" s="388"/>
      <c r="F509" s="395"/>
      <c r="G509" s="395"/>
      <c r="H509" s="388"/>
      <c r="I509" s="389"/>
      <c r="J509" s="389"/>
      <c r="K509" s="389"/>
      <c r="L509" s="460"/>
      <c r="M509" s="389"/>
      <c r="N509" s="389"/>
      <c r="O509" s="389"/>
      <c r="P509" s="389"/>
      <c r="Q509" s="389"/>
      <c r="R509" s="388"/>
      <c r="S509" s="388"/>
      <c r="T509" s="388"/>
      <c r="U509" s="388"/>
      <c r="V509" s="388"/>
      <c r="W509" s="9"/>
      <c r="X509" s="9"/>
      <c r="Y509" s="9"/>
      <c r="Z509" s="9"/>
    </row>
    <row r="510">
      <c r="A510" s="388"/>
      <c r="B510" s="396"/>
      <c r="C510" s="396"/>
      <c r="D510" s="396"/>
      <c r="E510" s="388"/>
      <c r="F510" s="395"/>
      <c r="G510" s="395"/>
      <c r="H510" s="388"/>
      <c r="I510" s="389"/>
      <c r="J510" s="389"/>
      <c r="K510" s="389"/>
      <c r="L510" s="460"/>
      <c r="M510" s="389"/>
      <c r="N510" s="389"/>
      <c r="O510" s="389"/>
      <c r="P510" s="389"/>
      <c r="Q510" s="389"/>
      <c r="R510" s="388"/>
      <c r="S510" s="388"/>
      <c r="T510" s="388"/>
      <c r="U510" s="388"/>
      <c r="V510" s="388"/>
      <c r="W510" s="9"/>
      <c r="X510" s="9"/>
      <c r="Y510" s="9"/>
      <c r="Z510" s="9"/>
    </row>
    <row r="511">
      <c r="A511" s="388"/>
      <c r="B511" s="396"/>
      <c r="C511" s="396"/>
      <c r="D511" s="396"/>
      <c r="E511" s="388"/>
      <c r="F511" s="395"/>
      <c r="G511" s="395"/>
      <c r="H511" s="388"/>
      <c r="I511" s="389"/>
      <c r="J511" s="389"/>
      <c r="K511" s="389"/>
      <c r="L511" s="460"/>
      <c r="M511" s="389"/>
      <c r="N511" s="389"/>
      <c r="O511" s="389"/>
      <c r="P511" s="389"/>
      <c r="Q511" s="389"/>
      <c r="R511" s="388"/>
      <c r="S511" s="388"/>
      <c r="T511" s="388"/>
      <c r="U511" s="388"/>
      <c r="V511" s="388"/>
      <c r="W511" s="9"/>
      <c r="X511" s="9"/>
      <c r="Y511" s="9"/>
      <c r="Z511" s="9"/>
    </row>
    <row r="512">
      <c r="A512" s="388"/>
      <c r="B512" s="396"/>
      <c r="C512" s="396"/>
      <c r="D512" s="396"/>
      <c r="E512" s="388"/>
      <c r="F512" s="395"/>
      <c r="G512" s="395"/>
      <c r="H512" s="388"/>
      <c r="I512" s="389"/>
      <c r="J512" s="389"/>
      <c r="K512" s="389"/>
      <c r="L512" s="460"/>
      <c r="M512" s="389"/>
      <c r="N512" s="389"/>
      <c r="O512" s="389"/>
      <c r="P512" s="389"/>
      <c r="Q512" s="389"/>
      <c r="R512" s="388"/>
      <c r="S512" s="388"/>
      <c r="T512" s="388"/>
      <c r="U512" s="388"/>
      <c r="V512" s="388"/>
      <c r="W512" s="9"/>
      <c r="X512" s="9"/>
      <c r="Y512" s="9"/>
      <c r="Z512" s="9"/>
    </row>
    <row r="513">
      <c r="A513" s="388"/>
      <c r="B513" s="396"/>
      <c r="C513" s="396"/>
      <c r="D513" s="396"/>
      <c r="E513" s="388"/>
      <c r="F513" s="395"/>
      <c r="G513" s="395"/>
      <c r="H513" s="388"/>
      <c r="I513" s="389"/>
      <c r="J513" s="389"/>
      <c r="K513" s="389"/>
      <c r="L513" s="460"/>
      <c r="M513" s="389"/>
      <c r="N513" s="389"/>
      <c r="O513" s="389"/>
      <c r="P513" s="389"/>
      <c r="Q513" s="389"/>
      <c r="R513" s="388"/>
      <c r="S513" s="388"/>
      <c r="T513" s="388"/>
      <c r="U513" s="388"/>
      <c r="V513" s="388"/>
      <c r="W513" s="9"/>
      <c r="X513" s="9"/>
      <c r="Y513" s="9"/>
      <c r="Z513" s="9"/>
    </row>
    <row r="514">
      <c r="A514" s="388"/>
      <c r="B514" s="396"/>
      <c r="C514" s="396"/>
      <c r="D514" s="396"/>
      <c r="E514" s="388"/>
      <c r="F514" s="395"/>
      <c r="G514" s="395"/>
      <c r="H514" s="388"/>
      <c r="I514" s="389"/>
      <c r="J514" s="389"/>
      <c r="K514" s="389"/>
      <c r="L514" s="460"/>
      <c r="M514" s="389"/>
      <c r="N514" s="389"/>
      <c r="O514" s="389"/>
      <c r="P514" s="389"/>
      <c r="Q514" s="389"/>
      <c r="R514" s="388"/>
      <c r="S514" s="388"/>
      <c r="T514" s="388"/>
      <c r="U514" s="388"/>
      <c r="V514" s="388"/>
      <c r="W514" s="9"/>
      <c r="X514" s="9"/>
      <c r="Y514" s="9"/>
      <c r="Z514" s="9"/>
    </row>
    <row r="515">
      <c r="A515" s="388"/>
      <c r="B515" s="396"/>
      <c r="C515" s="396"/>
      <c r="D515" s="396"/>
      <c r="E515" s="388"/>
      <c r="F515" s="395"/>
      <c r="G515" s="395"/>
      <c r="H515" s="388"/>
      <c r="I515" s="389"/>
      <c r="J515" s="389"/>
      <c r="K515" s="389"/>
      <c r="L515" s="460"/>
      <c r="M515" s="389"/>
      <c r="N515" s="389"/>
      <c r="O515" s="389"/>
      <c r="P515" s="389"/>
      <c r="Q515" s="389"/>
      <c r="R515" s="388"/>
      <c r="S515" s="388"/>
      <c r="T515" s="388"/>
      <c r="U515" s="388"/>
      <c r="V515" s="388"/>
      <c r="W515" s="9"/>
      <c r="X515" s="9"/>
      <c r="Y515" s="9"/>
      <c r="Z515" s="9"/>
    </row>
    <row r="516">
      <c r="A516" s="388"/>
      <c r="B516" s="396"/>
      <c r="C516" s="396"/>
      <c r="D516" s="396"/>
      <c r="E516" s="388"/>
      <c r="F516" s="395"/>
      <c r="G516" s="395"/>
      <c r="H516" s="388"/>
      <c r="I516" s="389"/>
      <c r="J516" s="389"/>
      <c r="K516" s="389"/>
      <c r="L516" s="460"/>
      <c r="M516" s="389"/>
      <c r="N516" s="389"/>
      <c r="O516" s="389"/>
      <c r="P516" s="389"/>
      <c r="Q516" s="389"/>
      <c r="R516" s="388"/>
      <c r="S516" s="388"/>
      <c r="T516" s="388"/>
      <c r="U516" s="388"/>
      <c r="V516" s="388"/>
      <c r="W516" s="9"/>
      <c r="X516" s="9"/>
      <c r="Y516" s="9"/>
      <c r="Z516" s="9"/>
    </row>
    <row r="517">
      <c r="A517" s="388"/>
      <c r="B517" s="396"/>
      <c r="C517" s="396"/>
      <c r="D517" s="396"/>
      <c r="E517" s="388"/>
      <c r="F517" s="395"/>
      <c r="G517" s="395"/>
      <c r="H517" s="388"/>
      <c r="I517" s="389"/>
      <c r="J517" s="389"/>
      <c r="K517" s="389"/>
      <c r="L517" s="460"/>
      <c r="M517" s="389"/>
      <c r="N517" s="389"/>
      <c r="O517" s="389"/>
      <c r="P517" s="389"/>
      <c r="Q517" s="389"/>
      <c r="R517" s="388"/>
      <c r="S517" s="388"/>
      <c r="T517" s="388"/>
      <c r="U517" s="388"/>
      <c r="V517" s="388"/>
      <c r="W517" s="9"/>
      <c r="X517" s="9"/>
      <c r="Y517" s="9"/>
      <c r="Z517" s="9"/>
    </row>
    <row r="518">
      <c r="A518" s="388"/>
      <c r="B518" s="396"/>
      <c r="C518" s="396"/>
      <c r="D518" s="396"/>
      <c r="E518" s="388"/>
      <c r="F518" s="395"/>
      <c r="G518" s="395"/>
      <c r="H518" s="388"/>
      <c r="I518" s="389"/>
      <c r="J518" s="389"/>
      <c r="K518" s="389"/>
      <c r="L518" s="460"/>
      <c r="M518" s="389"/>
      <c r="N518" s="389"/>
      <c r="O518" s="389"/>
      <c r="P518" s="389"/>
      <c r="Q518" s="389"/>
      <c r="R518" s="388"/>
      <c r="S518" s="388"/>
      <c r="T518" s="388"/>
      <c r="U518" s="388"/>
      <c r="V518" s="388"/>
      <c r="W518" s="9"/>
      <c r="X518" s="9"/>
      <c r="Y518" s="9"/>
      <c r="Z518" s="9"/>
    </row>
    <row r="519">
      <c r="A519" s="388"/>
      <c r="B519" s="396"/>
      <c r="C519" s="396"/>
      <c r="D519" s="396"/>
      <c r="E519" s="388"/>
      <c r="F519" s="395"/>
      <c r="G519" s="395"/>
      <c r="H519" s="388"/>
      <c r="I519" s="389"/>
      <c r="J519" s="389"/>
      <c r="K519" s="389"/>
      <c r="L519" s="460"/>
      <c r="M519" s="389"/>
      <c r="N519" s="389"/>
      <c r="O519" s="389"/>
      <c r="P519" s="389"/>
      <c r="Q519" s="389"/>
      <c r="R519" s="388"/>
      <c r="S519" s="388"/>
      <c r="T519" s="388"/>
      <c r="U519" s="388"/>
      <c r="V519" s="388"/>
      <c r="W519" s="9"/>
      <c r="X519" s="9"/>
      <c r="Y519" s="9"/>
      <c r="Z519" s="9"/>
    </row>
    <row r="520">
      <c r="A520" s="388"/>
      <c r="B520" s="396"/>
      <c r="C520" s="396"/>
      <c r="D520" s="396"/>
      <c r="E520" s="388"/>
      <c r="F520" s="395"/>
      <c r="G520" s="395"/>
      <c r="H520" s="388"/>
      <c r="I520" s="389"/>
      <c r="J520" s="389"/>
      <c r="K520" s="389"/>
      <c r="L520" s="460"/>
      <c r="M520" s="389"/>
      <c r="N520" s="389"/>
      <c r="O520" s="389"/>
      <c r="P520" s="389"/>
      <c r="Q520" s="389"/>
      <c r="R520" s="388"/>
      <c r="S520" s="388"/>
      <c r="T520" s="388"/>
      <c r="U520" s="388"/>
      <c r="V520" s="388"/>
      <c r="W520" s="9"/>
      <c r="X520" s="9"/>
      <c r="Y520" s="9"/>
      <c r="Z520" s="9"/>
    </row>
    <row r="521">
      <c r="A521" s="388"/>
      <c r="B521" s="396"/>
      <c r="C521" s="396"/>
      <c r="D521" s="396"/>
      <c r="E521" s="388"/>
      <c r="F521" s="395"/>
      <c r="G521" s="395"/>
      <c r="H521" s="388"/>
      <c r="I521" s="389"/>
      <c r="J521" s="389"/>
      <c r="K521" s="389"/>
      <c r="L521" s="460"/>
      <c r="M521" s="389"/>
      <c r="N521" s="389"/>
      <c r="O521" s="389"/>
      <c r="P521" s="389"/>
      <c r="Q521" s="389"/>
      <c r="R521" s="388"/>
      <c r="S521" s="388"/>
      <c r="T521" s="388"/>
      <c r="U521" s="388"/>
      <c r="V521" s="388"/>
      <c r="W521" s="9"/>
      <c r="X521" s="9"/>
      <c r="Y521" s="9"/>
      <c r="Z521" s="9"/>
    </row>
    <row r="522">
      <c r="A522" s="388"/>
      <c r="B522" s="396"/>
      <c r="C522" s="396"/>
      <c r="D522" s="396"/>
      <c r="E522" s="388"/>
      <c r="F522" s="395"/>
      <c r="G522" s="395"/>
      <c r="H522" s="388"/>
      <c r="I522" s="389"/>
      <c r="J522" s="389"/>
      <c r="K522" s="389"/>
      <c r="L522" s="460"/>
      <c r="M522" s="389"/>
      <c r="N522" s="389"/>
      <c r="O522" s="389"/>
      <c r="P522" s="389"/>
      <c r="Q522" s="389"/>
      <c r="R522" s="388"/>
      <c r="S522" s="388"/>
      <c r="T522" s="388"/>
      <c r="U522" s="388"/>
      <c r="V522" s="388"/>
      <c r="W522" s="9"/>
      <c r="X522" s="9"/>
      <c r="Y522" s="9"/>
      <c r="Z522" s="9"/>
    </row>
    <row r="523">
      <c r="A523" s="388"/>
      <c r="B523" s="396"/>
      <c r="C523" s="396"/>
      <c r="D523" s="396"/>
      <c r="E523" s="388"/>
      <c r="F523" s="395"/>
      <c r="G523" s="395"/>
      <c r="H523" s="388"/>
      <c r="I523" s="389"/>
      <c r="J523" s="389"/>
      <c r="K523" s="389"/>
      <c r="L523" s="460"/>
      <c r="M523" s="389"/>
      <c r="N523" s="389"/>
      <c r="O523" s="389"/>
      <c r="P523" s="389"/>
      <c r="Q523" s="389"/>
      <c r="R523" s="388"/>
      <c r="S523" s="388"/>
      <c r="T523" s="388"/>
      <c r="U523" s="388"/>
      <c r="V523" s="388"/>
      <c r="W523" s="9"/>
      <c r="X523" s="9"/>
      <c r="Y523" s="9"/>
      <c r="Z523" s="9"/>
    </row>
    <row r="524">
      <c r="A524" s="388"/>
      <c r="B524" s="396"/>
      <c r="C524" s="396"/>
      <c r="D524" s="396"/>
      <c r="E524" s="388"/>
      <c r="F524" s="395"/>
      <c r="G524" s="395"/>
      <c r="H524" s="388"/>
      <c r="I524" s="389"/>
      <c r="J524" s="389"/>
      <c r="K524" s="389"/>
      <c r="L524" s="460"/>
      <c r="M524" s="389"/>
      <c r="N524" s="389"/>
      <c r="O524" s="389"/>
      <c r="P524" s="389"/>
      <c r="Q524" s="389"/>
      <c r="R524" s="388"/>
      <c r="S524" s="388"/>
      <c r="T524" s="388"/>
      <c r="U524" s="388"/>
      <c r="V524" s="388"/>
      <c r="W524" s="9"/>
      <c r="X524" s="9"/>
      <c r="Y524" s="9"/>
      <c r="Z524" s="9"/>
    </row>
    <row r="525">
      <c r="A525" s="388"/>
      <c r="B525" s="396"/>
      <c r="C525" s="396"/>
      <c r="D525" s="396"/>
      <c r="E525" s="388"/>
      <c r="F525" s="395"/>
      <c r="G525" s="395"/>
      <c r="H525" s="388"/>
      <c r="I525" s="389"/>
      <c r="J525" s="389"/>
      <c r="K525" s="389"/>
      <c r="L525" s="460"/>
      <c r="M525" s="389"/>
      <c r="N525" s="389"/>
      <c r="O525" s="389"/>
      <c r="P525" s="389"/>
      <c r="Q525" s="389"/>
      <c r="R525" s="388"/>
      <c r="S525" s="388"/>
      <c r="T525" s="388"/>
      <c r="U525" s="388"/>
      <c r="V525" s="388"/>
      <c r="W525" s="9"/>
      <c r="X525" s="9"/>
      <c r="Y525" s="9"/>
      <c r="Z525" s="9"/>
    </row>
    <row r="526">
      <c r="A526" s="388"/>
      <c r="B526" s="396"/>
      <c r="C526" s="396"/>
      <c r="D526" s="396"/>
      <c r="E526" s="388"/>
      <c r="F526" s="395"/>
      <c r="G526" s="395"/>
      <c r="H526" s="388"/>
      <c r="I526" s="389"/>
      <c r="J526" s="389"/>
      <c r="K526" s="389"/>
      <c r="L526" s="460"/>
      <c r="M526" s="389"/>
      <c r="N526" s="389"/>
      <c r="O526" s="389"/>
      <c r="P526" s="389"/>
      <c r="Q526" s="389"/>
      <c r="R526" s="388"/>
      <c r="S526" s="388"/>
      <c r="T526" s="388"/>
      <c r="U526" s="388"/>
      <c r="V526" s="388"/>
      <c r="W526" s="9"/>
      <c r="X526" s="9"/>
      <c r="Y526" s="9"/>
      <c r="Z526" s="9"/>
    </row>
    <row r="527">
      <c r="A527" s="388"/>
      <c r="B527" s="396"/>
      <c r="C527" s="396"/>
      <c r="D527" s="396"/>
      <c r="E527" s="388"/>
      <c r="F527" s="395"/>
      <c r="G527" s="395"/>
      <c r="H527" s="388"/>
      <c r="I527" s="389"/>
      <c r="J527" s="389"/>
      <c r="K527" s="389"/>
      <c r="L527" s="460"/>
      <c r="M527" s="389"/>
      <c r="N527" s="389"/>
      <c r="O527" s="389"/>
      <c r="P527" s="389"/>
      <c r="Q527" s="389"/>
      <c r="R527" s="388"/>
      <c r="S527" s="388"/>
      <c r="T527" s="388"/>
      <c r="U527" s="388"/>
      <c r="V527" s="388"/>
      <c r="W527" s="9"/>
      <c r="X527" s="9"/>
      <c r="Y527" s="9"/>
      <c r="Z527" s="9"/>
    </row>
    <row r="528">
      <c r="A528" s="388"/>
      <c r="B528" s="396"/>
      <c r="C528" s="396"/>
      <c r="D528" s="396"/>
      <c r="E528" s="388"/>
      <c r="F528" s="395"/>
      <c r="G528" s="395"/>
      <c r="H528" s="388"/>
      <c r="I528" s="389"/>
      <c r="J528" s="389"/>
      <c r="K528" s="389"/>
      <c r="L528" s="460"/>
      <c r="M528" s="389"/>
      <c r="N528" s="389"/>
      <c r="O528" s="389"/>
      <c r="P528" s="389"/>
      <c r="Q528" s="389"/>
      <c r="R528" s="388"/>
      <c r="S528" s="388"/>
      <c r="T528" s="388"/>
      <c r="U528" s="388"/>
      <c r="V528" s="388"/>
      <c r="W528" s="9"/>
      <c r="X528" s="9"/>
      <c r="Y528" s="9"/>
      <c r="Z528" s="9"/>
    </row>
    <row r="529">
      <c r="A529" s="388"/>
      <c r="B529" s="396"/>
      <c r="C529" s="396"/>
      <c r="D529" s="396"/>
      <c r="E529" s="388"/>
      <c r="F529" s="395"/>
      <c r="G529" s="395"/>
      <c r="H529" s="388"/>
      <c r="I529" s="389"/>
      <c r="J529" s="389"/>
      <c r="K529" s="389"/>
      <c r="L529" s="460"/>
      <c r="M529" s="389"/>
      <c r="N529" s="389"/>
      <c r="O529" s="389"/>
      <c r="P529" s="389"/>
      <c r="Q529" s="389"/>
      <c r="R529" s="388"/>
      <c r="S529" s="388"/>
      <c r="T529" s="388"/>
      <c r="U529" s="388"/>
      <c r="V529" s="388"/>
      <c r="W529" s="9"/>
      <c r="X529" s="9"/>
      <c r="Y529" s="9"/>
      <c r="Z529" s="9"/>
    </row>
    <row r="530">
      <c r="A530" s="388"/>
      <c r="B530" s="396"/>
      <c r="C530" s="396"/>
      <c r="D530" s="396"/>
      <c r="E530" s="388"/>
      <c r="F530" s="395"/>
      <c r="G530" s="395"/>
      <c r="H530" s="388"/>
      <c r="I530" s="389"/>
      <c r="J530" s="389"/>
      <c r="K530" s="389"/>
      <c r="L530" s="460"/>
      <c r="M530" s="389"/>
      <c r="N530" s="389"/>
      <c r="O530" s="389"/>
      <c r="P530" s="389"/>
      <c r="Q530" s="389"/>
      <c r="R530" s="388"/>
      <c r="S530" s="388"/>
      <c r="T530" s="388"/>
      <c r="U530" s="388"/>
      <c r="V530" s="388"/>
      <c r="W530" s="9"/>
      <c r="X530" s="9"/>
      <c r="Y530" s="9"/>
      <c r="Z530" s="9"/>
    </row>
    <row r="531">
      <c r="A531" s="388"/>
      <c r="B531" s="396"/>
      <c r="C531" s="396"/>
      <c r="D531" s="396"/>
      <c r="E531" s="388"/>
      <c r="F531" s="395"/>
      <c r="G531" s="395"/>
      <c r="H531" s="388"/>
      <c r="I531" s="389"/>
      <c r="J531" s="389"/>
      <c r="K531" s="389"/>
      <c r="L531" s="460"/>
      <c r="M531" s="389"/>
      <c r="N531" s="389"/>
      <c r="O531" s="389"/>
      <c r="P531" s="389"/>
      <c r="Q531" s="389"/>
      <c r="R531" s="388"/>
      <c r="S531" s="388"/>
      <c r="T531" s="388"/>
      <c r="U531" s="388"/>
      <c r="V531" s="388"/>
      <c r="W531" s="9"/>
      <c r="X531" s="9"/>
      <c r="Y531" s="9"/>
      <c r="Z531" s="9"/>
    </row>
    <row r="532">
      <c r="A532" s="388"/>
      <c r="B532" s="396"/>
      <c r="C532" s="396"/>
      <c r="D532" s="396"/>
      <c r="E532" s="388"/>
      <c r="F532" s="395"/>
      <c r="G532" s="395"/>
      <c r="H532" s="388"/>
      <c r="I532" s="389"/>
      <c r="J532" s="389"/>
      <c r="K532" s="389"/>
      <c r="L532" s="460"/>
      <c r="M532" s="389"/>
      <c r="N532" s="389"/>
      <c r="O532" s="389"/>
      <c r="P532" s="389"/>
      <c r="Q532" s="389"/>
      <c r="R532" s="388"/>
      <c r="S532" s="388"/>
      <c r="T532" s="388"/>
      <c r="U532" s="388"/>
      <c r="V532" s="388"/>
      <c r="W532" s="9"/>
      <c r="X532" s="9"/>
      <c r="Y532" s="9"/>
      <c r="Z532" s="9"/>
    </row>
    <row r="533">
      <c r="A533" s="388"/>
      <c r="B533" s="396"/>
      <c r="C533" s="396"/>
      <c r="D533" s="396"/>
      <c r="E533" s="388"/>
      <c r="F533" s="395"/>
      <c r="G533" s="395"/>
      <c r="H533" s="388"/>
      <c r="I533" s="389"/>
      <c r="J533" s="389"/>
      <c r="K533" s="389"/>
      <c r="L533" s="460"/>
      <c r="M533" s="389"/>
      <c r="N533" s="389"/>
      <c r="O533" s="389"/>
      <c r="P533" s="389"/>
      <c r="Q533" s="389"/>
      <c r="R533" s="388"/>
      <c r="S533" s="388"/>
      <c r="T533" s="388"/>
      <c r="U533" s="388"/>
      <c r="V533" s="388"/>
      <c r="W533" s="9"/>
      <c r="X533" s="9"/>
      <c r="Y533" s="9"/>
      <c r="Z533" s="9"/>
    </row>
    <row r="534">
      <c r="A534" s="388"/>
      <c r="B534" s="396"/>
      <c r="C534" s="396"/>
      <c r="D534" s="396"/>
      <c r="E534" s="388"/>
      <c r="F534" s="395"/>
      <c r="G534" s="395"/>
      <c r="H534" s="388"/>
      <c r="I534" s="389"/>
      <c r="J534" s="389"/>
      <c r="K534" s="389"/>
      <c r="L534" s="460"/>
      <c r="M534" s="389"/>
      <c r="N534" s="389"/>
      <c r="O534" s="389"/>
      <c r="P534" s="389"/>
      <c r="Q534" s="389"/>
      <c r="R534" s="388"/>
      <c r="S534" s="388"/>
      <c r="T534" s="388"/>
      <c r="U534" s="388"/>
      <c r="V534" s="388"/>
      <c r="W534" s="9"/>
      <c r="X534" s="9"/>
      <c r="Y534" s="9"/>
      <c r="Z534" s="9"/>
    </row>
    <row r="535">
      <c r="A535" s="388"/>
      <c r="B535" s="396"/>
      <c r="C535" s="396"/>
      <c r="D535" s="396"/>
      <c r="E535" s="388"/>
      <c r="F535" s="395"/>
      <c r="G535" s="395"/>
      <c r="H535" s="388"/>
      <c r="I535" s="389"/>
      <c r="J535" s="389"/>
      <c r="K535" s="389"/>
      <c r="L535" s="460"/>
      <c r="M535" s="389"/>
      <c r="N535" s="389"/>
      <c r="O535" s="389"/>
      <c r="P535" s="389"/>
      <c r="Q535" s="389"/>
      <c r="R535" s="388"/>
      <c r="S535" s="388"/>
      <c r="T535" s="388"/>
      <c r="U535" s="388"/>
      <c r="V535" s="388"/>
      <c r="W535" s="9"/>
      <c r="X535" s="9"/>
      <c r="Y535" s="9"/>
      <c r="Z535" s="9"/>
    </row>
    <row r="536">
      <c r="A536" s="388"/>
      <c r="B536" s="396"/>
      <c r="C536" s="396"/>
      <c r="D536" s="396"/>
      <c r="E536" s="388"/>
      <c r="F536" s="395"/>
      <c r="G536" s="395"/>
      <c r="H536" s="388"/>
      <c r="I536" s="389"/>
      <c r="J536" s="389"/>
      <c r="K536" s="389"/>
      <c r="L536" s="460"/>
      <c r="M536" s="389"/>
      <c r="N536" s="389"/>
      <c r="O536" s="389"/>
      <c r="P536" s="389"/>
      <c r="Q536" s="389"/>
      <c r="R536" s="388"/>
      <c r="S536" s="388"/>
      <c r="T536" s="388"/>
      <c r="U536" s="388"/>
      <c r="V536" s="388"/>
      <c r="W536" s="9"/>
      <c r="X536" s="9"/>
      <c r="Y536" s="9"/>
      <c r="Z536" s="9"/>
    </row>
    <row r="537">
      <c r="A537" s="388"/>
      <c r="B537" s="396"/>
      <c r="C537" s="396"/>
      <c r="D537" s="396"/>
      <c r="E537" s="388"/>
      <c r="F537" s="395"/>
      <c r="G537" s="395"/>
      <c r="H537" s="388"/>
      <c r="I537" s="389"/>
      <c r="J537" s="389"/>
      <c r="K537" s="389"/>
      <c r="L537" s="460"/>
      <c r="M537" s="389"/>
      <c r="N537" s="389"/>
      <c r="O537" s="389"/>
      <c r="P537" s="389"/>
      <c r="Q537" s="389"/>
      <c r="R537" s="388"/>
      <c r="S537" s="388"/>
      <c r="T537" s="388"/>
      <c r="U537" s="388"/>
      <c r="V537" s="388"/>
      <c r="W537" s="9"/>
      <c r="X537" s="9"/>
      <c r="Y537" s="9"/>
      <c r="Z537" s="9"/>
    </row>
    <row r="538">
      <c r="A538" s="388"/>
      <c r="B538" s="396"/>
      <c r="C538" s="396"/>
      <c r="D538" s="396"/>
      <c r="E538" s="388"/>
      <c r="F538" s="395"/>
      <c r="G538" s="395"/>
      <c r="H538" s="388"/>
      <c r="I538" s="389"/>
      <c r="J538" s="389"/>
      <c r="K538" s="389"/>
      <c r="L538" s="460"/>
      <c r="M538" s="389"/>
      <c r="N538" s="389"/>
      <c r="O538" s="389"/>
      <c r="P538" s="389"/>
      <c r="Q538" s="389"/>
      <c r="R538" s="388"/>
      <c r="S538" s="388"/>
      <c r="T538" s="388"/>
      <c r="U538" s="388"/>
      <c r="V538" s="388"/>
      <c r="W538" s="9"/>
      <c r="X538" s="9"/>
      <c r="Y538" s="9"/>
      <c r="Z538" s="9"/>
    </row>
    <row r="539">
      <c r="A539" s="388"/>
      <c r="B539" s="396"/>
      <c r="C539" s="396"/>
      <c r="D539" s="396"/>
      <c r="E539" s="388"/>
      <c r="F539" s="395"/>
      <c r="G539" s="395"/>
      <c r="H539" s="388"/>
      <c r="I539" s="389"/>
      <c r="J539" s="389"/>
      <c r="K539" s="389"/>
      <c r="L539" s="460"/>
      <c r="M539" s="389"/>
      <c r="N539" s="389"/>
      <c r="O539" s="389"/>
      <c r="P539" s="389"/>
      <c r="Q539" s="389"/>
      <c r="R539" s="388"/>
      <c r="S539" s="388"/>
      <c r="T539" s="388"/>
      <c r="U539" s="388"/>
      <c r="V539" s="388"/>
      <c r="W539" s="9"/>
      <c r="X539" s="9"/>
      <c r="Y539" s="9"/>
      <c r="Z539" s="9"/>
    </row>
    <row r="540">
      <c r="A540" s="388"/>
      <c r="B540" s="396"/>
      <c r="C540" s="396"/>
      <c r="D540" s="396"/>
      <c r="E540" s="388"/>
      <c r="F540" s="395"/>
      <c r="G540" s="395"/>
      <c r="H540" s="388"/>
      <c r="I540" s="389"/>
      <c r="J540" s="389"/>
      <c r="K540" s="389"/>
      <c r="L540" s="460"/>
      <c r="M540" s="389"/>
      <c r="N540" s="389"/>
      <c r="O540" s="389"/>
      <c r="P540" s="389"/>
      <c r="Q540" s="389"/>
      <c r="R540" s="388"/>
      <c r="S540" s="388"/>
      <c r="T540" s="388"/>
      <c r="U540" s="388"/>
      <c r="V540" s="388"/>
      <c r="W540" s="9"/>
      <c r="X540" s="9"/>
      <c r="Y540" s="9"/>
      <c r="Z540" s="9"/>
    </row>
    <row r="541">
      <c r="A541" s="388"/>
      <c r="B541" s="396"/>
      <c r="C541" s="396"/>
      <c r="D541" s="396"/>
      <c r="E541" s="388"/>
      <c r="F541" s="395"/>
      <c r="G541" s="395"/>
      <c r="H541" s="388"/>
      <c r="I541" s="389"/>
      <c r="J541" s="389"/>
      <c r="K541" s="389"/>
      <c r="L541" s="460"/>
      <c r="M541" s="389"/>
      <c r="N541" s="389"/>
      <c r="O541" s="389"/>
      <c r="P541" s="389"/>
      <c r="Q541" s="389"/>
      <c r="R541" s="388"/>
      <c r="S541" s="388"/>
      <c r="T541" s="388"/>
      <c r="U541" s="388"/>
      <c r="V541" s="388"/>
      <c r="W541" s="9"/>
      <c r="X541" s="9"/>
      <c r="Y541" s="9"/>
      <c r="Z541" s="9"/>
    </row>
    <row r="542">
      <c r="A542" s="388"/>
      <c r="B542" s="396"/>
      <c r="C542" s="396"/>
      <c r="D542" s="396"/>
      <c r="E542" s="388"/>
      <c r="F542" s="395"/>
      <c r="G542" s="395"/>
      <c r="H542" s="388"/>
      <c r="I542" s="389"/>
      <c r="J542" s="389"/>
      <c r="K542" s="389"/>
      <c r="L542" s="460"/>
      <c r="M542" s="389"/>
      <c r="N542" s="389"/>
      <c r="O542" s="389"/>
      <c r="P542" s="389"/>
      <c r="Q542" s="389"/>
      <c r="R542" s="388"/>
      <c r="S542" s="388"/>
      <c r="T542" s="388"/>
      <c r="U542" s="388"/>
      <c r="V542" s="388"/>
      <c r="W542" s="9"/>
      <c r="X542" s="9"/>
      <c r="Y542" s="9"/>
      <c r="Z542" s="9"/>
    </row>
    <row r="543">
      <c r="A543" s="388"/>
      <c r="B543" s="396"/>
      <c r="C543" s="396"/>
      <c r="D543" s="396"/>
      <c r="E543" s="388"/>
      <c r="F543" s="395"/>
      <c r="G543" s="395"/>
      <c r="H543" s="388"/>
      <c r="I543" s="389"/>
      <c r="J543" s="389"/>
      <c r="K543" s="389"/>
      <c r="L543" s="460"/>
      <c r="M543" s="389"/>
      <c r="N543" s="389"/>
      <c r="O543" s="389"/>
      <c r="P543" s="389"/>
      <c r="Q543" s="389"/>
      <c r="R543" s="388"/>
      <c r="S543" s="388"/>
      <c r="T543" s="388"/>
      <c r="U543" s="388"/>
      <c r="V543" s="388"/>
      <c r="W543" s="9"/>
      <c r="X543" s="9"/>
      <c r="Y543" s="9"/>
      <c r="Z543" s="9"/>
    </row>
    <row r="544">
      <c r="A544" s="388"/>
      <c r="B544" s="396"/>
      <c r="C544" s="396"/>
      <c r="D544" s="396"/>
      <c r="E544" s="388"/>
      <c r="F544" s="395"/>
      <c r="G544" s="395"/>
      <c r="H544" s="388"/>
      <c r="I544" s="389"/>
      <c r="J544" s="389"/>
      <c r="K544" s="389"/>
      <c r="L544" s="460"/>
      <c r="M544" s="389"/>
      <c r="N544" s="389"/>
      <c r="O544" s="389"/>
      <c r="P544" s="389"/>
      <c r="Q544" s="389"/>
      <c r="R544" s="388"/>
      <c r="S544" s="388"/>
      <c r="T544" s="388"/>
      <c r="U544" s="388"/>
      <c r="V544" s="388"/>
      <c r="W544" s="9"/>
      <c r="X544" s="9"/>
      <c r="Y544" s="9"/>
      <c r="Z544" s="9"/>
    </row>
    <row r="545">
      <c r="A545" s="388"/>
      <c r="B545" s="396"/>
      <c r="C545" s="396"/>
      <c r="D545" s="396"/>
      <c r="E545" s="388"/>
      <c r="F545" s="395"/>
      <c r="G545" s="395"/>
      <c r="H545" s="388"/>
      <c r="I545" s="389"/>
      <c r="J545" s="389"/>
      <c r="K545" s="389"/>
      <c r="L545" s="460"/>
      <c r="M545" s="389"/>
      <c r="N545" s="389"/>
      <c r="O545" s="389"/>
      <c r="P545" s="389"/>
      <c r="Q545" s="389"/>
      <c r="R545" s="388"/>
      <c r="S545" s="388"/>
      <c r="T545" s="388"/>
      <c r="U545" s="388"/>
      <c r="V545" s="388"/>
      <c r="W545" s="9"/>
      <c r="X545" s="9"/>
      <c r="Y545" s="9"/>
      <c r="Z545" s="9"/>
    </row>
    <row r="546">
      <c r="A546" s="388"/>
      <c r="B546" s="396"/>
      <c r="C546" s="396"/>
      <c r="D546" s="396"/>
      <c r="E546" s="388"/>
      <c r="F546" s="395"/>
      <c r="G546" s="395"/>
      <c r="H546" s="388"/>
      <c r="I546" s="389"/>
      <c r="J546" s="389"/>
      <c r="K546" s="389"/>
      <c r="L546" s="460"/>
      <c r="M546" s="389"/>
      <c r="N546" s="389"/>
      <c r="O546" s="389"/>
      <c r="P546" s="389"/>
      <c r="Q546" s="389"/>
      <c r="R546" s="388"/>
      <c r="S546" s="388"/>
      <c r="T546" s="388"/>
      <c r="U546" s="388"/>
      <c r="V546" s="388"/>
      <c r="W546" s="9"/>
      <c r="X546" s="9"/>
      <c r="Y546" s="9"/>
      <c r="Z546" s="9"/>
    </row>
    <row r="547">
      <c r="A547" s="388"/>
      <c r="B547" s="396"/>
      <c r="C547" s="396"/>
      <c r="D547" s="396"/>
      <c r="E547" s="388"/>
      <c r="F547" s="395"/>
      <c r="G547" s="395"/>
      <c r="H547" s="388"/>
      <c r="I547" s="389"/>
      <c r="J547" s="389"/>
      <c r="K547" s="389"/>
      <c r="L547" s="460"/>
      <c r="M547" s="389"/>
      <c r="N547" s="389"/>
      <c r="O547" s="389"/>
      <c r="P547" s="389"/>
      <c r="Q547" s="389"/>
      <c r="R547" s="388"/>
      <c r="S547" s="388"/>
      <c r="T547" s="388"/>
      <c r="U547" s="388"/>
      <c r="V547" s="388"/>
      <c r="W547" s="9"/>
      <c r="X547" s="9"/>
      <c r="Y547" s="9"/>
      <c r="Z547" s="9"/>
    </row>
    <row r="548">
      <c r="A548" s="388"/>
      <c r="B548" s="396"/>
      <c r="C548" s="396"/>
      <c r="D548" s="396"/>
      <c r="E548" s="388"/>
      <c r="F548" s="395"/>
      <c r="G548" s="395"/>
      <c r="H548" s="388"/>
      <c r="I548" s="389"/>
      <c r="J548" s="389"/>
      <c r="K548" s="389"/>
      <c r="L548" s="460"/>
      <c r="M548" s="389"/>
      <c r="N548" s="389"/>
      <c r="O548" s="389"/>
      <c r="P548" s="389"/>
      <c r="Q548" s="389"/>
      <c r="R548" s="388"/>
      <c r="S548" s="388"/>
      <c r="T548" s="388"/>
      <c r="U548" s="388"/>
      <c r="V548" s="388"/>
      <c r="W548" s="9"/>
      <c r="X548" s="9"/>
      <c r="Y548" s="9"/>
      <c r="Z548" s="9"/>
    </row>
    <row r="549">
      <c r="A549" s="388"/>
      <c r="B549" s="396"/>
      <c r="C549" s="396"/>
      <c r="D549" s="396"/>
      <c r="E549" s="388"/>
      <c r="F549" s="395"/>
      <c r="G549" s="395"/>
      <c r="H549" s="388"/>
      <c r="I549" s="389"/>
      <c r="J549" s="389"/>
      <c r="K549" s="389"/>
      <c r="L549" s="460"/>
      <c r="M549" s="389"/>
      <c r="N549" s="389"/>
      <c r="O549" s="389"/>
      <c r="P549" s="389"/>
      <c r="Q549" s="389"/>
      <c r="R549" s="388"/>
      <c r="S549" s="388"/>
      <c r="T549" s="388"/>
      <c r="U549" s="388"/>
      <c r="V549" s="388"/>
      <c r="W549" s="9"/>
      <c r="X549" s="9"/>
      <c r="Y549" s="9"/>
      <c r="Z549" s="9"/>
    </row>
    <row r="550">
      <c r="A550" s="388"/>
      <c r="B550" s="396"/>
      <c r="C550" s="396"/>
      <c r="D550" s="396"/>
      <c r="E550" s="388"/>
      <c r="F550" s="395"/>
      <c r="G550" s="395"/>
      <c r="H550" s="388"/>
      <c r="I550" s="389"/>
      <c r="J550" s="389"/>
      <c r="K550" s="389"/>
      <c r="L550" s="460"/>
      <c r="M550" s="389"/>
      <c r="N550" s="389"/>
      <c r="O550" s="389"/>
      <c r="P550" s="389"/>
      <c r="Q550" s="389"/>
      <c r="R550" s="388"/>
      <c r="S550" s="388"/>
      <c r="T550" s="388"/>
      <c r="U550" s="388"/>
      <c r="V550" s="388"/>
      <c r="W550" s="9"/>
      <c r="X550" s="9"/>
      <c r="Y550" s="9"/>
      <c r="Z550" s="9"/>
    </row>
    <row r="551">
      <c r="A551" s="388"/>
      <c r="B551" s="396"/>
      <c r="C551" s="396"/>
      <c r="D551" s="396"/>
      <c r="E551" s="388"/>
      <c r="F551" s="395"/>
      <c r="G551" s="395"/>
      <c r="H551" s="388"/>
      <c r="I551" s="389"/>
      <c r="J551" s="389"/>
      <c r="K551" s="389"/>
      <c r="L551" s="460"/>
      <c r="M551" s="389"/>
      <c r="N551" s="389"/>
      <c r="O551" s="389"/>
      <c r="P551" s="389"/>
      <c r="Q551" s="389"/>
      <c r="R551" s="388"/>
      <c r="S551" s="388"/>
      <c r="T551" s="388"/>
      <c r="U551" s="388"/>
      <c r="V551" s="388"/>
      <c r="W551" s="9"/>
      <c r="X551" s="9"/>
      <c r="Y551" s="9"/>
      <c r="Z551" s="9"/>
    </row>
    <row r="552">
      <c r="A552" s="388"/>
      <c r="B552" s="396"/>
      <c r="C552" s="396"/>
      <c r="D552" s="396"/>
      <c r="E552" s="388"/>
      <c r="F552" s="395"/>
      <c r="G552" s="395"/>
      <c r="H552" s="388"/>
      <c r="I552" s="389"/>
      <c r="J552" s="389"/>
      <c r="K552" s="389"/>
      <c r="L552" s="460"/>
      <c r="M552" s="389"/>
      <c r="N552" s="389"/>
      <c r="O552" s="389"/>
      <c r="P552" s="389"/>
      <c r="Q552" s="389"/>
      <c r="R552" s="388"/>
      <c r="S552" s="388"/>
      <c r="T552" s="388"/>
      <c r="U552" s="388"/>
      <c r="V552" s="388"/>
      <c r="W552" s="9"/>
      <c r="X552" s="9"/>
      <c r="Y552" s="9"/>
      <c r="Z552" s="9"/>
    </row>
    <row r="553">
      <c r="A553" s="388"/>
      <c r="B553" s="396"/>
      <c r="C553" s="396"/>
      <c r="D553" s="396"/>
      <c r="E553" s="388"/>
      <c r="F553" s="395"/>
      <c r="G553" s="395"/>
      <c r="H553" s="388"/>
      <c r="I553" s="389"/>
      <c r="J553" s="389"/>
      <c r="K553" s="389"/>
      <c r="L553" s="460"/>
      <c r="M553" s="389"/>
      <c r="N553" s="389"/>
      <c r="O553" s="389"/>
      <c r="P553" s="389"/>
      <c r="Q553" s="389"/>
      <c r="R553" s="388"/>
      <c r="S553" s="388"/>
      <c r="T553" s="388"/>
      <c r="U553" s="388"/>
      <c r="V553" s="388"/>
      <c r="W553" s="9"/>
      <c r="X553" s="9"/>
      <c r="Y553" s="9"/>
      <c r="Z553" s="9"/>
    </row>
    <row r="554">
      <c r="A554" s="388"/>
      <c r="B554" s="396"/>
      <c r="C554" s="396"/>
      <c r="D554" s="396"/>
      <c r="E554" s="388"/>
      <c r="F554" s="395"/>
      <c r="G554" s="395"/>
      <c r="H554" s="388"/>
      <c r="I554" s="389"/>
      <c r="J554" s="389"/>
      <c r="K554" s="389"/>
      <c r="L554" s="460"/>
      <c r="M554" s="389"/>
      <c r="N554" s="389"/>
      <c r="O554" s="389"/>
      <c r="P554" s="389"/>
      <c r="Q554" s="389"/>
      <c r="R554" s="388"/>
      <c r="S554" s="388"/>
      <c r="T554" s="388"/>
      <c r="U554" s="388"/>
      <c r="V554" s="388"/>
      <c r="W554" s="9"/>
      <c r="X554" s="9"/>
      <c r="Y554" s="9"/>
      <c r="Z554" s="9"/>
    </row>
    <row r="555">
      <c r="A555" s="388"/>
      <c r="B555" s="396"/>
      <c r="C555" s="396"/>
      <c r="D555" s="396"/>
      <c r="E555" s="388"/>
      <c r="F555" s="395"/>
      <c r="G555" s="395"/>
      <c r="H555" s="388"/>
      <c r="I555" s="389"/>
      <c r="J555" s="389"/>
      <c r="K555" s="389"/>
      <c r="L555" s="460"/>
      <c r="M555" s="389"/>
      <c r="N555" s="389"/>
      <c r="O555" s="389"/>
      <c r="P555" s="389"/>
      <c r="Q555" s="389"/>
      <c r="R555" s="388"/>
      <c r="S555" s="388"/>
      <c r="T555" s="388"/>
      <c r="U555" s="388"/>
      <c r="V555" s="388"/>
      <c r="W555" s="9"/>
      <c r="X555" s="9"/>
      <c r="Y555" s="9"/>
      <c r="Z555" s="9"/>
    </row>
    <row r="556">
      <c r="A556" s="388"/>
      <c r="B556" s="396"/>
      <c r="C556" s="396"/>
      <c r="D556" s="396"/>
      <c r="E556" s="388"/>
      <c r="F556" s="395"/>
      <c r="G556" s="395"/>
      <c r="H556" s="388"/>
      <c r="I556" s="389"/>
      <c r="J556" s="389"/>
      <c r="K556" s="389"/>
      <c r="L556" s="460"/>
      <c r="M556" s="389"/>
      <c r="N556" s="389"/>
      <c r="O556" s="389"/>
      <c r="P556" s="389"/>
      <c r="Q556" s="389"/>
      <c r="R556" s="388"/>
      <c r="S556" s="388"/>
      <c r="T556" s="388"/>
      <c r="U556" s="388"/>
      <c r="V556" s="388"/>
      <c r="W556" s="9"/>
      <c r="X556" s="9"/>
      <c r="Y556" s="9"/>
      <c r="Z556" s="9"/>
    </row>
    <row r="557">
      <c r="A557" s="388"/>
      <c r="B557" s="396"/>
      <c r="C557" s="396"/>
      <c r="D557" s="396"/>
      <c r="E557" s="388"/>
      <c r="F557" s="395"/>
      <c r="G557" s="395"/>
      <c r="H557" s="388"/>
      <c r="I557" s="389"/>
      <c r="J557" s="389"/>
      <c r="K557" s="389"/>
      <c r="L557" s="460"/>
      <c r="M557" s="389"/>
      <c r="N557" s="389"/>
      <c r="O557" s="389"/>
      <c r="P557" s="389"/>
      <c r="Q557" s="389"/>
      <c r="R557" s="388"/>
      <c r="S557" s="388"/>
      <c r="T557" s="388"/>
      <c r="U557" s="388"/>
      <c r="V557" s="388"/>
      <c r="W557" s="9"/>
      <c r="X557" s="9"/>
      <c r="Y557" s="9"/>
      <c r="Z557" s="9"/>
    </row>
    <row r="558">
      <c r="A558" s="388"/>
      <c r="B558" s="396"/>
      <c r="C558" s="396"/>
      <c r="D558" s="396"/>
      <c r="E558" s="388"/>
      <c r="F558" s="395"/>
      <c r="G558" s="395"/>
      <c r="H558" s="388"/>
      <c r="I558" s="389"/>
      <c r="J558" s="389"/>
      <c r="K558" s="389"/>
      <c r="L558" s="460"/>
      <c r="M558" s="389"/>
      <c r="N558" s="389"/>
      <c r="O558" s="389"/>
      <c r="P558" s="389"/>
      <c r="Q558" s="389"/>
      <c r="R558" s="388"/>
      <c r="S558" s="388"/>
      <c r="T558" s="388"/>
      <c r="U558" s="388"/>
      <c r="V558" s="388"/>
      <c r="W558" s="9"/>
      <c r="X558" s="9"/>
      <c r="Y558" s="9"/>
      <c r="Z558" s="9"/>
    </row>
    <row r="559">
      <c r="A559" s="388"/>
      <c r="B559" s="396"/>
      <c r="C559" s="396"/>
      <c r="D559" s="396"/>
      <c r="E559" s="388"/>
      <c r="F559" s="395"/>
      <c r="G559" s="395"/>
      <c r="H559" s="388"/>
      <c r="I559" s="389"/>
      <c r="J559" s="389"/>
      <c r="K559" s="389"/>
      <c r="L559" s="460"/>
      <c r="M559" s="389"/>
      <c r="N559" s="389"/>
      <c r="O559" s="389"/>
      <c r="P559" s="389"/>
      <c r="Q559" s="389"/>
      <c r="R559" s="388"/>
      <c r="S559" s="388"/>
      <c r="T559" s="388"/>
      <c r="U559" s="388"/>
      <c r="V559" s="388"/>
      <c r="W559" s="9"/>
      <c r="X559" s="9"/>
      <c r="Y559" s="9"/>
      <c r="Z559" s="9"/>
    </row>
    <row r="560">
      <c r="A560" s="388"/>
      <c r="B560" s="396"/>
      <c r="C560" s="396"/>
      <c r="D560" s="396"/>
      <c r="E560" s="388"/>
      <c r="F560" s="395"/>
      <c r="G560" s="395"/>
      <c r="H560" s="388"/>
      <c r="I560" s="389"/>
      <c r="J560" s="389"/>
      <c r="K560" s="389"/>
      <c r="L560" s="460"/>
      <c r="M560" s="389"/>
      <c r="N560" s="389"/>
      <c r="O560" s="389"/>
      <c r="P560" s="389"/>
      <c r="Q560" s="389"/>
      <c r="R560" s="388"/>
      <c r="S560" s="388"/>
      <c r="T560" s="388"/>
      <c r="U560" s="388"/>
      <c r="V560" s="388"/>
      <c r="W560" s="9"/>
      <c r="X560" s="9"/>
      <c r="Y560" s="9"/>
      <c r="Z560" s="9"/>
    </row>
    <row r="561">
      <c r="A561" s="388"/>
      <c r="B561" s="396"/>
      <c r="C561" s="396"/>
      <c r="D561" s="396"/>
      <c r="E561" s="388"/>
      <c r="F561" s="395"/>
      <c r="G561" s="395"/>
      <c r="H561" s="388"/>
      <c r="I561" s="389"/>
      <c r="J561" s="389"/>
      <c r="K561" s="389"/>
      <c r="L561" s="460"/>
      <c r="M561" s="389"/>
      <c r="N561" s="389"/>
      <c r="O561" s="389"/>
      <c r="P561" s="389"/>
      <c r="Q561" s="389"/>
      <c r="R561" s="388"/>
      <c r="S561" s="388"/>
      <c r="T561" s="388"/>
      <c r="U561" s="388"/>
      <c r="V561" s="388"/>
      <c r="W561" s="9"/>
      <c r="X561" s="9"/>
      <c r="Y561" s="9"/>
      <c r="Z561" s="9"/>
    </row>
    <row r="562">
      <c r="A562" s="388"/>
      <c r="B562" s="396"/>
      <c r="C562" s="396"/>
      <c r="D562" s="396"/>
      <c r="E562" s="388"/>
      <c r="F562" s="395"/>
      <c r="G562" s="395"/>
      <c r="H562" s="388"/>
      <c r="I562" s="389"/>
      <c r="J562" s="389"/>
      <c r="K562" s="389"/>
      <c r="L562" s="460"/>
      <c r="M562" s="389"/>
      <c r="N562" s="389"/>
      <c r="O562" s="389"/>
      <c r="P562" s="389"/>
      <c r="Q562" s="389"/>
      <c r="R562" s="388"/>
      <c r="S562" s="388"/>
      <c r="T562" s="388"/>
      <c r="U562" s="388"/>
      <c r="V562" s="388"/>
      <c r="W562" s="9"/>
      <c r="X562" s="9"/>
      <c r="Y562" s="9"/>
      <c r="Z562" s="9"/>
    </row>
    <row r="563">
      <c r="A563" s="388"/>
      <c r="B563" s="396"/>
      <c r="C563" s="396"/>
      <c r="D563" s="396"/>
      <c r="E563" s="388"/>
      <c r="F563" s="395"/>
      <c r="G563" s="395"/>
      <c r="H563" s="388"/>
      <c r="I563" s="389"/>
      <c r="J563" s="389"/>
      <c r="K563" s="389"/>
      <c r="L563" s="460"/>
      <c r="M563" s="389"/>
      <c r="N563" s="389"/>
      <c r="O563" s="389"/>
      <c r="P563" s="389"/>
      <c r="Q563" s="389"/>
      <c r="R563" s="388"/>
      <c r="S563" s="388"/>
      <c r="T563" s="388"/>
      <c r="U563" s="388"/>
      <c r="V563" s="388"/>
      <c r="W563" s="9"/>
      <c r="X563" s="9"/>
      <c r="Y563" s="9"/>
      <c r="Z563" s="9"/>
    </row>
    <row r="564">
      <c r="A564" s="388"/>
      <c r="B564" s="396"/>
      <c r="C564" s="396"/>
      <c r="D564" s="396"/>
      <c r="E564" s="388"/>
      <c r="F564" s="395"/>
      <c r="G564" s="395"/>
      <c r="H564" s="388"/>
      <c r="I564" s="389"/>
      <c r="J564" s="389"/>
      <c r="K564" s="389"/>
      <c r="L564" s="460"/>
      <c r="M564" s="389"/>
      <c r="N564" s="389"/>
      <c r="O564" s="389"/>
      <c r="P564" s="389"/>
      <c r="Q564" s="389"/>
      <c r="R564" s="388"/>
      <c r="S564" s="388"/>
      <c r="T564" s="388"/>
      <c r="U564" s="388"/>
      <c r="V564" s="388"/>
      <c r="W564" s="9"/>
      <c r="X564" s="9"/>
      <c r="Y564" s="9"/>
      <c r="Z564" s="9"/>
    </row>
    <row r="565">
      <c r="A565" s="388"/>
      <c r="B565" s="396"/>
      <c r="C565" s="396"/>
      <c r="D565" s="396"/>
      <c r="E565" s="388"/>
      <c r="F565" s="395"/>
      <c r="G565" s="395"/>
      <c r="H565" s="388"/>
      <c r="I565" s="389"/>
      <c r="J565" s="389"/>
      <c r="K565" s="389"/>
      <c r="L565" s="460"/>
      <c r="M565" s="389"/>
      <c r="N565" s="389"/>
      <c r="O565" s="389"/>
      <c r="P565" s="389"/>
      <c r="Q565" s="389"/>
      <c r="R565" s="388"/>
      <c r="S565" s="388"/>
      <c r="T565" s="388"/>
      <c r="U565" s="388"/>
      <c r="V565" s="388"/>
      <c r="W565" s="9"/>
      <c r="X565" s="9"/>
      <c r="Y565" s="9"/>
      <c r="Z565" s="9"/>
    </row>
    <row r="566">
      <c r="A566" s="388"/>
      <c r="B566" s="396"/>
      <c r="C566" s="396"/>
      <c r="D566" s="396"/>
      <c r="E566" s="388"/>
      <c r="F566" s="395"/>
      <c r="G566" s="395"/>
      <c r="H566" s="388"/>
      <c r="I566" s="389"/>
      <c r="J566" s="389"/>
      <c r="K566" s="389"/>
      <c r="L566" s="460"/>
      <c r="M566" s="389"/>
      <c r="N566" s="389"/>
      <c r="O566" s="389"/>
      <c r="P566" s="389"/>
      <c r="Q566" s="389"/>
      <c r="R566" s="388"/>
      <c r="S566" s="388"/>
      <c r="T566" s="388"/>
      <c r="U566" s="388"/>
      <c r="V566" s="388"/>
      <c r="W566" s="9"/>
      <c r="X566" s="9"/>
      <c r="Y566" s="9"/>
      <c r="Z566" s="9"/>
    </row>
    <row r="567">
      <c r="A567" s="388"/>
      <c r="B567" s="396"/>
      <c r="C567" s="396"/>
      <c r="D567" s="396"/>
      <c r="E567" s="388"/>
      <c r="F567" s="395"/>
      <c r="G567" s="395"/>
      <c r="H567" s="388"/>
      <c r="I567" s="389"/>
      <c r="J567" s="389"/>
      <c r="K567" s="389"/>
      <c r="L567" s="460"/>
      <c r="M567" s="389"/>
      <c r="N567" s="389"/>
      <c r="O567" s="389"/>
      <c r="P567" s="389"/>
      <c r="Q567" s="389"/>
      <c r="R567" s="388"/>
      <c r="S567" s="388"/>
      <c r="T567" s="388"/>
      <c r="U567" s="388"/>
      <c r="V567" s="388"/>
      <c r="W567" s="9"/>
      <c r="X567" s="9"/>
      <c r="Y567" s="9"/>
      <c r="Z567" s="9"/>
    </row>
    <row r="568">
      <c r="A568" s="388"/>
      <c r="B568" s="396"/>
      <c r="C568" s="396"/>
      <c r="D568" s="396"/>
      <c r="E568" s="388"/>
      <c r="F568" s="395"/>
      <c r="G568" s="395"/>
      <c r="H568" s="388"/>
      <c r="I568" s="389"/>
      <c r="J568" s="389"/>
      <c r="K568" s="389"/>
      <c r="L568" s="460"/>
      <c r="M568" s="389"/>
      <c r="N568" s="389"/>
      <c r="O568" s="389"/>
      <c r="P568" s="389"/>
      <c r="Q568" s="389"/>
      <c r="R568" s="388"/>
      <c r="S568" s="388"/>
      <c r="T568" s="388"/>
      <c r="U568" s="388"/>
      <c r="V568" s="388"/>
      <c r="W568" s="9"/>
      <c r="X568" s="9"/>
      <c r="Y568" s="9"/>
      <c r="Z568" s="9"/>
    </row>
    <row r="569">
      <c r="A569" s="388"/>
      <c r="B569" s="396"/>
      <c r="C569" s="396"/>
      <c r="D569" s="396"/>
      <c r="E569" s="388"/>
      <c r="F569" s="395"/>
      <c r="G569" s="395"/>
      <c r="H569" s="388"/>
      <c r="I569" s="389"/>
      <c r="J569" s="389"/>
      <c r="K569" s="389"/>
      <c r="L569" s="460"/>
      <c r="M569" s="389"/>
      <c r="N569" s="389"/>
      <c r="O569" s="389"/>
      <c r="P569" s="389"/>
      <c r="Q569" s="389"/>
      <c r="R569" s="388"/>
      <c r="S569" s="388"/>
      <c r="T569" s="388"/>
      <c r="U569" s="388"/>
      <c r="V569" s="388"/>
      <c r="W569" s="9"/>
      <c r="X569" s="9"/>
      <c r="Y569" s="9"/>
      <c r="Z569" s="9"/>
    </row>
    <row r="570">
      <c r="A570" s="388"/>
      <c r="B570" s="396"/>
      <c r="C570" s="396"/>
      <c r="D570" s="396"/>
      <c r="E570" s="388"/>
      <c r="F570" s="395"/>
      <c r="G570" s="395"/>
      <c r="H570" s="388"/>
      <c r="I570" s="389"/>
      <c r="J570" s="389"/>
      <c r="K570" s="389"/>
      <c r="L570" s="460"/>
      <c r="M570" s="389"/>
      <c r="N570" s="389"/>
      <c r="O570" s="389"/>
      <c r="P570" s="389"/>
      <c r="Q570" s="389"/>
      <c r="R570" s="388"/>
      <c r="S570" s="388"/>
      <c r="T570" s="388"/>
      <c r="U570" s="388"/>
      <c r="V570" s="388"/>
      <c r="W570" s="9"/>
      <c r="X570" s="9"/>
      <c r="Y570" s="9"/>
      <c r="Z570" s="9"/>
    </row>
    <row r="571">
      <c r="A571" s="388"/>
      <c r="B571" s="396"/>
      <c r="C571" s="396"/>
      <c r="D571" s="396"/>
      <c r="E571" s="388"/>
      <c r="F571" s="395"/>
      <c r="G571" s="395"/>
      <c r="H571" s="388"/>
      <c r="I571" s="389"/>
      <c r="J571" s="389"/>
      <c r="K571" s="389"/>
      <c r="L571" s="460"/>
      <c r="M571" s="389"/>
      <c r="N571" s="389"/>
      <c r="O571" s="389"/>
      <c r="P571" s="389"/>
      <c r="Q571" s="389"/>
      <c r="R571" s="388"/>
      <c r="S571" s="388"/>
      <c r="T571" s="388"/>
      <c r="U571" s="388"/>
      <c r="V571" s="388"/>
      <c r="W571" s="9"/>
      <c r="X571" s="9"/>
      <c r="Y571" s="9"/>
      <c r="Z571" s="9"/>
    </row>
    <row r="572">
      <c r="A572" s="388"/>
      <c r="B572" s="396"/>
      <c r="C572" s="396"/>
      <c r="D572" s="396"/>
      <c r="E572" s="388"/>
      <c r="F572" s="395"/>
      <c r="G572" s="395"/>
      <c r="H572" s="388"/>
      <c r="I572" s="389"/>
      <c r="J572" s="389"/>
      <c r="K572" s="389"/>
      <c r="L572" s="460"/>
      <c r="M572" s="389"/>
      <c r="N572" s="389"/>
      <c r="O572" s="389"/>
      <c r="P572" s="389"/>
      <c r="Q572" s="389"/>
      <c r="R572" s="388"/>
      <c r="S572" s="388"/>
      <c r="T572" s="388"/>
      <c r="U572" s="388"/>
      <c r="V572" s="388"/>
      <c r="W572" s="9"/>
      <c r="X572" s="9"/>
      <c r="Y572" s="9"/>
      <c r="Z572" s="9"/>
    </row>
    <row r="573">
      <c r="A573" s="388"/>
      <c r="B573" s="396"/>
      <c r="C573" s="396"/>
      <c r="D573" s="396"/>
      <c r="E573" s="388"/>
      <c r="F573" s="395"/>
      <c r="G573" s="395"/>
      <c r="H573" s="388"/>
      <c r="I573" s="389"/>
      <c r="J573" s="389"/>
      <c r="K573" s="389"/>
      <c r="L573" s="460"/>
      <c r="M573" s="389"/>
      <c r="N573" s="389"/>
      <c r="O573" s="389"/>
      <c r="P573" s="389"/>
      <c r="Q573" s="389"/>
      <c r="R573" s="388"/>
      <c r="S573" s="388"/>
      <c r="T573" s="388"/>
      <c r="U573" s="388"/>
      <c r="V573" s="388"/>
      <c r="W573" s="9"/>
      <c r="X573" s="9"/>
      <c r="Y573" s="9"/>
      <c r="Z573" s="9"/>
    </row>
    <row r="574">
      <c r="A574" s="388"/>
      <c r="B574" s="396"/>
      <c r="C574" s="396"/>
      <c r="D574" s="396"/>
      <c r="E574" s="388"/>
      <c r="F574" s="395"/>
      <c r="G574" s="395"/>
      <c r="H574" s="388"/>
      <c r="I574" s="389"/>
      <c r="J574" s="389"/>
      <c r="K574" s="389"/>
      <c r="L574" s="460"/>
      <c r="M574" s="389"/>
      <c r="N574" s="389"/>
      <c r="O574" s="389"/>
      <c r="P574" s="389"/>
      <c r="Q574" s="389"/>
      <c r="R574" s="388"/>
      <c r="S574" s="388"/>
      <c r="T574" s="388"/>
      <c r="U574" s="388"/>
      <c r="V574" s="388"/>
      <c r="W574" s="9"/>
      <c r="X574" s="9"/>
      <c r="Y574" s="9"/>
      <c r="Z574" s="9"/>
    </row>
    <row r="575">
      <c r="A575" s="388"/>
      <c r="B575" s="396"/>
      <c r="C575" s="396"/>
      <c r="D575" s="396"/>
      <c r="E575" s="388"/>
      <c r="F575" s="395"/>
      <c r="G575" s="395"/>
      <c r="H575" s="388"/>
      <c r="I575" s="389"/>
      <c r="J575" s="389"/>
      <c r="K575" s="389"/>
      <c r="L575" s="460"/>
      <c r="M575" s="389"/>
      <c r="N575" s="389"/>
      <c r="O575" s="389"/>
      <c r="P575" s="389"/>
      <c r="Q575" s="389"/>
      <c r="R575" s="388"/>
      <c r="S575" s="388"/>
      <c r="T575" s="388"/>
      <c r="U575" s="388"/>
      <c r="V575" s="388"/>
      <c r="W575" s="9"/>
      <c r="X575" s="9"/>
      <c r="Y575" s="9"/>
      <c r="Z575" s="9"/>
    </row>
    <row r="576">
      <c r="A576" s="388"/>
      <c r="B576" s="396"/>
      <c r="C576" s="396"/>
      <c r="D576" s="396"/>
      <c r="E576" s="388"/>
      <c r="F576" s="395"/>
      <c r="G576" s="395"/>
      <c r="H576" s="388"/>
      <c r="I576" s="389"/>
      <c r="J576" s="389"/>
      <c r="K576" s="389"/>
      <c r="L576" s="460"/>
      <c r="M576" s="389"/>
      <c r="N576" s="389"/>
      <c r="O576" s="389"/>
      <c r="P576" s="389"/>
      <c r="Q576" s="389"/>
      <c r="R576" s="388"/>
      <c r="S576" s="388"/>
      <c r="T576" s="388"/>
      <c r="U576" s="388"/>
      <c r="V576" s="388"/>
      <c r="W576" s="9"/>
      <c r="X576" s="9"/>
      <c r="Y576" s="9"/>
      <c r="Z576" s="9"/>
    </row>
    <row r="577">
      <c r="A577" s="388"/>
      <c r="B577" s="396"/>
      <c r="C577" s="396"/>
      <c r="D577" s="396"/>
      <c r="E577" s="388"/>
      <c r="F577" s="395"/>
      <c r="G577" s="395"/>
      <c r="H577" s="388"/>
      <c r="I577" s="389"/>
      <c r="J577" s="389"/>
      <c r="K577" s="389"/>
      <c r="L577" s="460"/>
      <c r="M577" s="389"/>
      <c r="N577" s="389"/>
      <c r="O577" s="389"/>
      <c r="P577" s="389"/>
      <c r="Q577" s="389"/>
      <c r="R577" s="388"/>
      <c r="S577" s="388"/>
      <c r="T577" s="388"/>
      <c r="U577" s="388"/>
      <c r="V577" s="388"/>
      <c r="W577" s="9"/>
      <c r="X577" s="9"/>
      <c r="Y577" s="9"/>
      <c r="Z577" s="9"/>
    </row>
    <row r="578">
      <c r="A578" s="388"/>
      <c r="B578" s="396"/>
      <c r="C578" s="396"/>
      <c r="D578" s="396"/>
      <c r="E578" s="388"/>
      <c r="F578" s="395"/>
      <c r="G578" s="395"/>
      <c r="H578" s="388"/>
      <c r="I578" s="389"/>
      <c r="J578" s="389"/>
      <c r="K578" s="389"/>
      <c r="L578" s="460"/>
      <c r="M578" s="389"/>
      <c r="N578" s="389"/>
      <c r="O578" s="389"/>
      <c r="P578" s="389"/>
      <c r="Q578" s="389"/>
      <c r="R578" s="388"/>
      <c r="S578" s="388"/>
      <c r="T578" s="388"/>
      <c r="U578" s="388"/>
      <c r="V578" s="388"/>
      <c r="W578" s="9"/>
      <c r="X578" s="9"/>
      <c r="Y578" s="9"/>
      <c r="Z578" s="9"/>
    </row>
    <row r="579">
      <c r="A579" s="388"/>
      <c r="B579" s="396"/>
      <c r="C579" s="396"/>
      <c r="D579" s="396"/>
      <c r="E579" s="388"/>
      <c r="F579" s="395"/>
      <c r="G579" s="395"/>
      <c r="H579" s="388"/>
      <c r="I579" s="389"/>
      <c r="J579" s="389"/>
      <c r="K579" s="389"/>
      <c r="L579" s="460"/>
      <c r="M579" s="389"/>
      <c r="N579" s="389"/>
      <c r="O579" s="389"/>
      <c r="P579" s="389"/>
      <c r="Q579" s="389"/>
      <c r="R579" s="388"/>
      <c r="S579" s="388"/>
      <c r="T579" s="388"/>
      <c r="U579" s="388"/>
      <c r="V579" s="388"/>
      <c r="W579" s="9"/>
      <c r="X579" s="9"/>
      <c r="Y579" s="9"/>
      <c r="Z579" s="9"/>
    </row>
    <row r="580">
      <c r="A580" s="388"/>
      <c r="B580" s="396"/>
      <c r="C580" s="396"/>
      <c r="D580" s="396"/>
      <c r="E580" s="388"/>
      <c r="F580" s="395"/>
      <c r="G580" s="395"/>
      <c r="H580" s="388"/>
      <c r="I580" s="389"/>
      <c r="J580" s="389"/>
      <c r="K580" s="389"/>
      <c r="L580" s="460"/>
      <c r="M580" s="389"/>
      <c r="N580" s="389"/>
      <c r="O580" s="389"/>
      <c r="P580" s="389"/>
      <c r="Q580" s="389"/>
      <c r="R580" s="388"/>
      <c r="S580" s="388"/>
      <c r="T580" s="388"/>
      <c r="U580" s="388"/>
      <c r="V580" s="388"/>
      <c r="W580" s="9"/>
      <c r="X580" s="9"/>
      <c r="Y580" s="9"/>
      <c r="Z580" s="9"/>
    </row>
    <row r="581">
      <c r="A581" s="388"/>
      <c r="B581" s="396"/>
      <c r="C581" s="396"/>
      <c r="D581" s="396"/>
      <c r="E581" s="388"/>
      <c r="F581" s="395"/>
      <c r="G581" s="395"/>
      <c r="H581" s="388"/>
      <c r="I581" s="389"/>
      <c r="J581" s="389"/>
      <c r="K581" s="389"/>
      <c r="L581" s="460"/>
      <c r="M581" s="389"/>
      <c r="N581" s="389"/>
      <c r="O581" s="389"/>
      <c r="P581" s="389"/>
      <c r="Q581" s="389"/>
      <c r="R581" s="388"/>
      <c r="S581" s="388"/>
      <c r="T581" s="388"/>
      <c r="U581" s="388"/>
      <c r="V581" s="388"/>
      <c r="W581" s="9"/>
      <c r="X581" s="9"/>
      <c r="Y581" s="9"/>
      <c r="Z581" s="9"/>
    </row>
    <row r="582">
      <c r="A582" s="388"/>
      <c r="B582" s="396"/>
      <c r="C582" s="396"/>
      <c r="D582" s="396"/>
      <c r="E582" s="388"/>
      <c r="F582" s="395"/>
      <c r="G582" s="395"/>
      <c r="H582" s="388"/>
      <c r="I582" s="389"/>
      <c r="J582" s="389"/>
      <c r="K582" s="389"/>
      <c r="L582" s="460"/>
      <c r="M582" s="389"/>
      <c r="N582" s="389"/>
      <c r="O582" s="389"/>
      <c r="P582" s="389"/>
      <c r="Q582" s="389"/>
      <c r="R582" s="388"/>
      <c r="S582" s="388"/>
      <c r="T582" s="388"/>
      <c r="U582" s="388"/>
      <c r="V582" s="388"/>
      <c r="W582" s="9"/>
      <c r="X582" s="9"/>
      <c r="Y582" s="9"/>
      <c r="Z582" s="9"/>
    </row>
    <row r="583">
      <c r="A583" s="388"/>
      <c r="B583" s="396"/>
      <c r="C583" s="396"/>
      <c r="D583" s="396"/>
      <c r="E583" s="388"/>
      <c r="F583" s="395"/>
      <c r="G583" s="395"/>
      <c r="H583" s="388"/>
      <c r="I583" s="389"/>
      <c r="J583" s="389"/>
      <c r="K583" s="389"/>
      <c r="L583" s="460"/>
      <c r="M583" s="389"/>
      <c r="N583" s="389"/>
      <c r="O583" s="389"/>
      <c r="P583" s="389"/>
      <c r="Q583" s="389"/>
      <c r="R583" s="388"/>
      <c r="S583" s="388"/>
      <c r="T583" s="388"/>
      <c r="U583" s="388"/>
      <c r="V583" s="388"/>
      <c r="W583" s="9"/>
      <c r="X583" s="9"/>
      <c r="Y583" s="9"/>
      <c r="Z583" s="9"/>
    </row>
    <row r="584">
      <c r="A584" s="388"/>
      <c r="B584" s="396"/>
      <c r="C584" s="396"/>
      <c r="D584" s="396"/>
      <c r="E584" s="388"/>
      <c r="F584" s="395"/>
      <c r="G584" s="395"/>
      <c r="H584" s="388"/>
      <c r="I584" s="389"/>
      <c r="J584" s="389"/>
      <c r="K584" s="389"/>
      <c r="L584" s="460"/>
      <c r="M584" s="389"/>
      <c r="N584" s="389"/>
      <c r="O584" s="389"/>
      <c r="P584" s="389"/>
      <c r="Q584" s="389"/>
      <c r="R584" s="388"/>
      <c r="S584" s="388"/>
      <c r="T584" s="388"/>
      <c r="U584" s="388"/>
      <c r="V584" s="388"/>
      <c r="W584" s="9"/>
      <c r="X584" s="9"/>
      <c r="Y584" s="9"/>
      <c r="Z584" s="9"/>
    </row>
    <row r="585">
      <c r="A585" s="388"/>
      <c r="B585" s="396"/>
      <c r="C585" s="396"/>
      <c r="D585" s="396"/>
      <c r="E585" s="388"/>
      <c r="F585" s="395"/>
      <c r="G585" s="395"/>
      <c r="H585" s="388"/>
      <c r="I585" s="389"/>
      <c r="J585" s="389"/>
      <c r="K585" s="389"/>
      <c r="L585" s="460"/>
      <c r="M585" s="389"/>
      <c r="N585" s="389"/>
      <c r="O585" s="389"/>
      <c r="P585" s="389"/>
      <c r="Q585" s="389"/>
      <c r="R585" s="388"/>
      <c r="S585" s="388"/>
      <c r="T585" s="388"/>
      <c r="U585" s="388"/>
      <c r="V585" s="388"/>
      <c r="W585" s="9"/>
      <c r="X585" s="9"/>
      <c r="Y585" s="9"/>
      <c r="Z585" s="9"/>
    </row>
    <row r="586">
      <c r="A586" s="388"/>
      <c r="B586" s="396"/>
      <c r="C586" s="396"/>
      <c r="D586" s="396"/>
      <c r="E586" s="388"/>
      <c r="F586" s="395"/>
      <c r="G586" s="395"/>
      <c r="H586" s="388"/>
      <c r="I586" s="389"/>
      <c r="J586" s="389"/>
      <c r="K586" s="389"/>
      <c r="L586" s="460"/>
      <c r="M586" s="389"/>
      <c r="N586" s="389"/>
      <c r="O586" s="389"/>
      <c r="P586" s="389"/>
      <c r="Q586" s="389"/>
      <c r="R586" s="388"/>
      <c r="S586" s="388"/>
      <c r="T586" s="388"/>
      <c r="U586" s="388"/>
      <c r="V586" s="388"/>
      <c r="W586" s="9"/>
      <c r="X586" s="9"/>
      <c r="Y586" s="9"/>
      <c r="Z586" s="9"/>
    </row>
    <row r="587">
      <c r="A587" s="388"/>
      <c r="B587" s="396"/>
      <c r="C587" s="396"/>
      <c r="D587" s="396"/>
      <c r="E587" s="388"/>
      <c r="F587" s="395"/>
      <c r="G587" s="395"/>
      <c r="H587" s="388"/>
      <c r="I587" s="389"/>
      <c r="J587" s="389"/>
      <c r="K587" s="389"/>
      <c r="L587" s="460"/>
      <c r="M587" s="389"/>
      <c r="N587" s="389"/>
      <c r="O587" s="389"/>
      <c r="P587" s="389"/>
      <c r="Q587" s="389"/>
      <c r="R587" s="388"/>
      <c r="S587" s="388"/>
      <c r="T587" s="388"/>
      <c r="U587" s="388"/>
      <c r="V587" s="388"/>
      <c r="W587" s="9"/>
      <c r="X587" s="9"/>
      <c r="Y587" s="9"/>
      <c r="Z587" s="9"/>
    </row>
    <row r="588">
      <c r="A588" s="388"/>
      <c r="B588" s="396"/>
      <c r="C588" s="396"/>
      <c r="D588" s="396"/>
      <c r="E588" s="388"/>
      <c r="F588" s="395"/>
      <c r="G588" s="395"/>
      <c r="H588" s="388"/>
      <c r="I588" s="389"/>
      <c r="J588" s="389"/>
      <c r="K588" s="389"/>
      <c r="L588" s="460"/>
      <c r="M588" s="389"/>
      <c r="N588" s="389"/>
      <c r="O588" s="389"/>
      <c r="P588" s="389"/>
      <c r="Q588" s="389"/>
      <c r="R588" s="388"/>
      <c r="S588" s="388"/>
      <c r="T588" s="388"/>
      <c r="U588" s="388"/>
      <c r="V588" s="388"/>
      <c r="W588" s="9"/>
      <c r="X588" s="9"/>
      <c r="Y588" s="9"/>
      <c r="Z588" s="9"/>
    </row>
    <row r="589">
      <c r="A589" s="388"/>
      <c r="B589" s="396"/>
      <c r="C589" s="396"/>
      <c r="D589" s="396"/>
      <c r="E589" s="388"/>
      <c r="F589" s="395"/>
      <c r="G589" s="395"/>
      <c r="H589" s="388"/>
      <c r="I589" s="389"/>
      <c r="J589" s="389"/>
      <c r="K589" s="389"/>
      <c r="L589" s="460"/>
      <c r="M589" s="389"/>
      <c r="N589" s="389"/>
      <c r="O589" s="389"/>
      <c r="P589" s="389"/>
      <c r="Q589" s="389"/>
      <c r="R589" s="388"/>
      <c r="S589" s="388"/>
      <c r="T589" s="388"/>
      <c r="U589" s="388"/>
      <c r="V589" s="388"/>
      <c r="W589" s="9"/>
      <c r="X589" s="9"/>
      <c r="Y589" s="9"/>
      <c r="Z589" s="9"/>
    </row>
    <row r="590">
      <c r="A590" s="388"/>
      <c r="B590" s="396"/>
      <c r="C590" s="396"/>
      <c r="D590" s="396"/>
      <c r="E590" s="388"/>
      <c r="F590" s="395"/>
      <c r="G590" s="395"/>
      <c r="H590" s="388"/>
      <c r="I590" s="389"/>
      <c r="J590" s="389"/>
      <c r="K590" s="389"/>
      <c r="L590" s="460"/>
      <c r="M590" s="389"/>
      <c r="N590" s="389"/>
      <c r="O590" s="389"/>
      <c r="P590" s="389"/>
      <c r="Q590" s="389"/>
      <c r="R590" s="388"/>
      <c r="S590" s="388"/>
      <c r="T590" s="388"/>
      <c r="U590" s="388"/>
      <c r="V590" s="388"/>
      <c r="W590" s="9"/>
      <c r="X590" s="9"/>
      <c r="Y590" s="9"/>
      <c r="Z590" s="9"/>
    </row>
    <row r="591">
      <c r="A591" s="388"/>
      <c r="B591" s="396"/>
      <c r="C591" s="396"/>
      <c r="D591" s="396"/>
      <c r="E591" s="388"/>
      <c r="F591" s="395"/>
      <c r="G591" s="395"/>
      <c r="H591" s="388"/>
      <c r="I591" s="389"/>
      <c r="J591" s="389"/>
      <c r="K591" s="389"/>
      <c r="L591" s="460"/>
      <c r="M591" s="389"/>
      <c r="N591" s="389"/>
      <c r="O591" s="389"/>
      <c r="P591" s="389"/>
      <c r="Q591" s="389"/>
      <c r="R591" s="388"/>
      <c r="S591" s="388"/>
      <c r="T591" s="388"/>
      <c r="U591" s="388"/>
      <c r="V591" s="388"/>
      <c r="W591" s="9"/>
      <c r="X591" s="9"/>
      <c r="Y591" s="9"/>
      <c r="Z591" s="9"/>
    </row>
    <row r="592">
      <c r="A592" s="388"/>
      <c r="B592" s="396"/>
      <c r="C592" s="396"/>
      <c r="D592" s="396"/>
      <c r="E592" s="388"/>
      <c r="F592" s="395"/>
      <c r="G592" s="395"/>
      <c r="H592" s="388"/>
      <c r="I592" s="389"/>
      <c r="J592" s="389"/>
      <c r="K592" s="389"/>
      <c r="L592" s="460"/>
      <c r="M592" s="389"/>
      <c r="N592" s="389"/>
      <c r="O592" s="389"/>
      <c r="P592" s="389"/>
      <c r="Q592" s="389"/>
      <c r="R592" s="388"/>
      <c r="S592" s="388"/>
      <c r="T592" s="388"/>
      <c r="U592" s="388"/>
      <c r="V592" s="388"/>
      <c r="W592" s="9"/>
      <c r="X592" s="9"/>
      <c r="Y592" s="9"/>
      <c r="Z592" s="9"/>
    </row>
    <row r="593">
      <c r="A593" s="388"/>
      <c r="B593" s="396"/>
      <c r="C593" s="396"/>
      <c r="D593" s="396"/>
      <c r="E593" s="388"/>
      <c r="F593" s="395"/>
      <c r="G593" s="395"/>
      <c r="H593" s="388"/>
      <c r="I593" s="389"/>
      <c r="J593" s="389"/>
      <c r="K593" s="389"/>
      <c r="L593" s="460"/>
      <c r="M593" s="389"/>
      <c r="N593" s="389"/>
      <c r="O593" s="389"/>
      <c r="P593" s="389"/>
      <c r="Q593" s="389"/>
      <c r="R593" s="388"/>
      <c r="S593" s="388"/>
      <c r="T593" s="388"/>
      <c r="U593" s="388"/>
      <c r="V593" s="388"/>
      <c r="W593" s="9"/>
      <c r="X593" s="9"/>
      <c r="Y593" s="9"/>
      <c r="Z593" s="9"/>
    </row>
    <row r="594">
      <c r="A594" s="388"/>
      <c r="B594" s="396"/>
      <c r="C594" s="396"/>
      <c r="D594" s="396"/>
      <c r="E594" s="388"/>
      <c r="F594" s="395"/>
      <c r="G594" s="395"/>
      <c r="H594" s="388"/>
      <c r="I594" s="389"/>
      <c r="J594" s="389"/>
      <c r="K594" s="389"/>
      <c r="L594" s="460"/>
      <c r="M594" s="389"/>
      <c r="N594" s="389"/>
      <c r="O594" s="389"/>
      <c r="P594" s="389"/>
      <c r="Q594" s="389"/>
      <c r="R594" s="388"/>
      <c r="S594" s="388"/>
      <c r="T594" s="388"/>
      <c r="U594" s="388"/>
      <c r="V594" s="388"/>
      <c r="W594" s="9"/>
      <c r="X594" s="9"/>
      <c r="Y594" s="9"/>
      <c r="Z594" s="9"/>
    </row>
    <row r="595">
      <c r="A595" s="388"/>
      <c r="B595" s="396"/>
      <c r="C595" s="396"/>
      <c r="D595" s="396"/>
      <c r="E595" s="388"/>
      <c r="F595" s="395"/>
      <c r="G595" s="395"/>
      <c r="H595" s="388"/>
      <c r="I595" s="389"/>
      <c r="J595" s="389"/>
      <c r="K595" s="389"/>
      <c r="L595" s="460"/>
      <c r="M595" s="389"/>
      <c r="N595" s="389"/>
      <c r="O595" s="389"/>
      <c r="P595" s="389"/>
      <c r="Q595" s="389"/>
      <c r="R595" s="388"/>
      <c r="S595" s="388"/>
      <c r="T595" s="388"/>
      <c r="U595" s="388"/>
      <c r="V595" s="388"/>
      <c r="W595" s="9"/>
      <c r="X595" s="9"/>
      <c r="Y595" s="9"/>
      <c r="Z595" s="9"/>
    </row>
    <row r="596">
      <c r="A596" s="388"/>
      <c r="B596" s="396"/>
      <c r="C596" s="396"/>
      <c r="D596" s="396"/>
      <c r="E596" s="388"/>
      <c r="F596" s="395"/>
      <c r="G596" s="395"/>
      <c r="H596" s="388"/>
      <c r="I596" s="389"/>
      <c r="J596" s="389"/>
      <c r="K596" s="389"/>
      <c r="L596" s="460"/>
      <c r="M596" s="389"/>
      <c r="N596" s="389"/>
      <c r="O596" s="389"/>
      <c r="P596" s="389"/>
      <c r="Q596" s="389"/>
      <c r="R596" s="388"/>
      <c r="S596" s="388"/>
      <c r="T596" s="388"/>
      <c r="U596" s="388"/>
      <c r="V596" s="388"/>
      <c r="W596" s="9"/>
      <c r="X596" s="9"/>
      <c r="Y596" s="9"/>
      <c r="Z596" s="9"/>
    </row>
    <row r="597">
      <c r="A597" s="388"/>
      <c r="B597" s="396"/>
      <c r="C597" s="396"/>
      <c r="D597" s="396"/>
      <c r="E597" s="388"/>
      <c r="F597" s="395"/>
      <c r="G597" s="395"/>
      <c r="H597" s="388"/>
      <c r="I597" s="389"/>
      <c r="J597" s="389"/>
      <c r="K597" s="389"/>
      <c r="L597" s="460"/>
      <c r="M597" s="389"/>
      <c r="N597" s="389"/>
      <c r="O597" s="389"/>
      <c r="P597" s="389"/>
      <c r="Q597" s="389"/>
      <c r="R597" s="388"/>
      <c r="S597" s="388"/>
      <c r="T597" s="388"/>
      <c r="U597" s="388"/>
      <c r="V597" s="388"/>
      <c r="W597" s="9"/>
      <c r="X597" s="9"/>
      <c r="Y597" s="9"/>
      <c r="Z597" s="9"/>
    </row>
    <row r="598">
      <c r="A598" s="388"/>
      <c r="B598" s="396"/>
      <c r="C598" s="396"/>
      <c r="D598" s="396"/>
      <c r="E598" s="388"/>
      <c r="F598" s="395"/>
      <c r="G598" s="395"/>
      <c r="H598" s="388"/>
      <c r="I598" s="389"/>
      <c r="J598" s="389"/>
      <c r="K598" s="389"/>
      <c r="L598" s="460"/>
      <c r="M598" s="389"/>
      <c r="N598" s="389"/>
      <c r="O598" s="389"/>
      <c r="P598" s="389"/>
      <c r="Q598" s="389"/>
      <c r="R598" s="388"/>
      <c r="S598" s="388"/>
      <c r="T598" s="388"/>
      <c r="U598" s="388"/>
      <c r="V598" s="388"/>
      <c r="W598" s="9"/>
      <c r="X598" s="9"/>
      <c r="Y598" s="9"/>
      <c r="Z598" s="9"/>
    </row>
    <row r="599">
      <c r="A599" s="388"/>
      <c r="B599" s="396"/>
      <c r="C599" s="396"/>
      <c r="D599" s="396"/>
      <c r="E599" s="388"/>
      <c r="F599" s="395"/>
      <c r="G599" s="395"/>
      <c r="H599" s="388"/>
      <c r="I599" s="389"/>
      <c r="J599" s="389"/>
      <c r="K599" s="389"/>
      <c r="L599" s="460"/>
      <c r="M599" s="389"/>
      <c r="N599" s="389"/>
      <c r="O599" s="389"/>
      <c r="P599" s="389"/>
      <c r="Q599" s="389"/>
      <c r="R599" s="388"/>
      <c r="S599" s="388"/>
      <c r="T599" s="388"/>
      <c r="U599" s="388"/>
      <c r="V599" s="388"/>
      <c r="W599" s="9"/>
      <c r="X599" s="9"/>
      <c r="Y599" s="9"/>
      <c r="Z599" s="9"/>
    </row>
    <row r="600">
      <c r="A600" s="388"/>
      <c r="B600" s="396"/>
      <c r="C600" s="396"/>
      <c r="D600" s="396"/>
      <c r="E600" s="388"/>
      <c r="F600" s="395"/>
      <c r="G600" s="395"/>
      <c r="H600" s="388"/>
      <c r="I600" s="389"/>
      <c r="J600" s="389"/>
      <c r="K600" s="389"/>
      <c r="L600" s="460"/>
      <c r="M600" s="389"/>
      <c r="N600" s="389"/>
      <c r="O600" s="389"/>
      <c r="P600" s="389"/>
      <c r="Q600" s="389"/>
      <c r="R600" s="388"/>
      <c r="S600" s="388"/>
      <c r="T600" s="388"/>
      <c r="U600" s="388"/>
      <c r="V600" s="388"/>
      <c r="W600" s="9"/>
      <c r="X600" s="9"/>
      <c r="Y600" s="9"/>
      <c r="Z600" s="9"/>
    </row>
    <row r="601">
      <c r="A601" s="388"/>
      <c r="B601" s="396"/>
      <c r="C601" s="396"/>
      <c r="D601" s="396"/>
      <c r="E601" s="388"/>
      <c r="F601" s="395"/>
      <c r="G601" s="395"/>
      <c r="H601" s="388"/>
      <c r="I601" s="389"/>
      <c r="J601" s="389"/>
      <c r="K601" s="389"/>
      <c r="L601" s="460"/>
      <c r="M601" s="389"/>
      <c r="N601" s="389"/>
      <c r="O601" s="389"/>
      <c r="P601" s="389"/>
      <c r="Q601" s="389"/>
      <c r="R601" s="388"/>
      <c r="S601" s="388"/>
      <c r="T601" s="388"/>
      <c r="U601" s="388"/>
      <c r="V601" s="388"/>
      <c r="W601" s="9"/>
      <c r="X601" s="9"/>
      <c r="Y601" s="9"/>
      <c r="Z601" s="9"/>
    </row>
    <row r="602">
      <c r="A602" s="388"/>
      <c r="B602" s="396"/>
      <c r="C602" s="396"/>
      <c r="D602" s="396"/>
      <c r="E602" s="388"/>
      <c r="F602" s="395"/>
      <c r="G602" s="395"/>
      <c r="H602" s="388"/>
      <c r="I602" s="389"/>
      <c r="J602" s="389"/>
      <c r="K602" s="389"/>
      <c r="L602" s="460"/>
      <c r="M602" s="389"/>
      <c r="N602" s="389"/>
      <c r="O602" s="389"/>
      <c r="P602" s="389"/>
      <c r="Q602" s="389"/>
      <c r="R602" s="388"/>
      <c r="S602" s="388"/>
      <c r="T602" s="388"/>
      <c r="U602" s="388"/>
      <c r="V602" s="388"/>
      <c r="W602" s="9"/>
      <c r="X602" s="9"/>
      <c r="Y602" s="9"/>
      <c r="Z602" s="9"/>
    </row>
    <row r="603">
      <c r="A603" s="388"/>
      <c r="B603" s="396"/>
      <c r="C603" s="396"/>
      <c r="D603" s="396"/>
      <c r="E603" s="388"/>
      <c r="F603" s="395"/>
      <c r="G603" s="395"/>
      <c r="H603" s="388"/>
      <c r="I603" s="389"/>
      <c r="J603" s="389"/>
      <c r="K603" s="389"/>
      <c r="L603" s="460"/>
      <c r="M603" s="389"/>
      <c r="N603" s="389"/>
      <c r="O603" s="389"/>
      <c r="P603" s="389"/>
      <c r="Q603" s="389"/>
      <c r="R603" s="388"/>
      <c r="S603" s="388"/>
      <c r="T603" s="388"/>
      <c r="U603" s="388"/>
      <c r="V603" s="388"/>
      <c r="W603" s="9"/>
      <c r="X603" s="9"/>
      <c r="Y603" s="9"/>
      <c r="Z603" s="9"/>
    </row>
    <row r="604">
      <c r="A604" s="388"/>
      <c r="B604" s="396"/>
      <c r="C604" s="396"/>
      <c r="D604" s="396"/>
      <c r="E604" s="388"/>
      <c r="F604" s="395"/>
      <c r="G604" s="395"/>
      <c r="H604" s="388"/>
      <c r="I604" s="389"/>
      <c r="J604" s="389"/>
      <c r="K604" s="389"/>
      <c r="L604" s="460"/>
      <c r="M604" s="389"/>
      <c r="N604" s="389"/>
      <c r="O604" s="389"/>
      <c r="P604" s="389"/>
      <c r="Q604" s="389"/>
      <c r="R604" s="388"/>
      <c r="S604" s="388"/>
      <c r="T604" s="388"/>
      <c r="U604" s="388"/>
      <c r="V604" s="388"/>
      <c r="W604" s="9"/>
      <c r="X604" s="9"/>
      <c r="Y604" s="9"/>
      <c r="Z604" s="9"/>
    </row>
    <row r="605">
      <c r="A605" s="388"/>
      <c r="B605" s="396"/>
      <c r="C605" s="396"/>
      <c r="D605" s="396"/>
      <c r="E605" s="388"/>
      <c r="F605" s="395"/>
      <c r="G605" s="395"/>
      <c r="H605" s="388"/>
      <c r="I605" s="389"/>
      <c r="J605" s="389"/>
      <c r="K605" s="389"/>
      <c r="L605" s="460"/>
      <c r="M605" s="389"/>
      <c r="N605" s="389"/>
      <c r="O605" s="389"/>
      <c r="P605" s="389"/>
      <c r="Q605" s="389"/>
      <c r="R605" s="388"/>
      <c r="S605" s="388"/>
      <c r="T605" s="388"/>
      <c r="U605" s="388"/>
      <c r="V605" s="388"/>
      <c r="W605" s="9"/>
      <c r="X605" s="9"/>
      <c r="Y605" s="9"/>
      <c r="Z605" s="9"/>
    </row>
    <row r="606">
      <c r="A606" s="388"/>
      <c r="B606" s="396"/>
      <c r="C606" s="396"/>
      <c r="D606" s="396"/>
      <c r="E606" s="388"/>
      <c r="F606" s="395"/>
      <c r="G606" s="395"/>
      <c r="H606" s="388"/>
      <c r="I606" s="389"/>
      <c r="J606" s="389"/>
      <c r="K606" s="389"/>
      <c r="L606" s="460"/>
      <c r="M606" s="389"/>
      <c r="N606" s="389"/>
      <c r="O606" s="389"/>
      <c r="P606" s="389"/>
      <c r="Q606" s="389"/>
      <c r="R606" s="388"/>
      <c r="S606" s="388"/>
      <c r="T606" s="388"/>
      <c r="U606" s="388"/>
      <c r="V606" s="388"/>
      <c r="W606" s="9"/>
      <c r="X606" s="9"/>
      <c r="Y606" s="9"/>
      <c r="Z606" s="9"/>
    </row>
    <row r="607">
      <c r="A607" s="388"/>
      <c r="B607" s="396"/>
      <c r="C607" s="396"/>
      <c r="D607" s="396"/>
      <c r="E607" s="388"/>
      <c r="F607" s="395"/>
      <c r="G607" s="395"/>
      <c r="H607" s="388"/>
      <c r="I607" s="389"/>
      <c r="J607" s="389"/>
      <c r="K607" s="389"/>
      <c r="L607" s="460"/>
      <c r="M607" s="389"/>
      <c r="N607" s="389"/>
      <c r="O607" s="389"/>
      <c r="P607" s="389"/>
      <c r="Q607" s="389"/>
      <c r="R607" s="388"/>
      <c r="S607" s="388"/>
      <c r="T607" s="388"/>
      <c r="U607" s="388"/>
      <c r="V607" s="388"/>
      <c r="W607" s="9"/>
      <c r="X607" s="9"/>
      <c r="Y607" s="9"/>
      <c r="Z607" s="9"/>
    </row>
    <row r="608">
      <c r="A608" s="388"/>
      <c r="B608" s="396"/>
      <c r="C608" s="396"/>
      <c r="D608" s="396"/>
      <c r="E608" s="388"/>
      <c r="F608" s="395"/>
      <c r="G608" s="395"/>
      <c r="H608" s="388"/>
      <c r="I608" s="389"/>
      <c r="J608" s="389"/>
      <c r="K608" s="389"/>
      <c r="L608" s="460"/>
      <c r="M608" s="389"/>
      <c r="N608" s="389"/>
      <c r="O608" s="389"/>
      <c r="P608" s="389"/>
      <c r="Q608" s="389"/>
      <c r="R608" s="388"/>
      <c r="S608" s="388"/>
      <c r="T608" s="388"/>
      <c r="U608" s="388"/>
      <c r="V608" s="388"/>
      <c r="W608" s="9"/>
      <c r="X608" s="9"/>
      <c r="Y608" s="9"/>
      <c r="Z608" s="9"/>
    </row>
    <row r="609">
      <c r="A609" s="388"/>
      <c r="B609" s="396"/>
      <c r="C609" s="396"/>
      <c r="D609" s="396"/>
      <c r="E609" s="388"/>
      <c r="F609" s="395"/>
      <c r="G609" s="395"/>
      <c r="H609" s="388"/>
      <c r="I609" s="389"/>
      <c r="J609" s="389"/>
      <c r="K609" s="389"/>
      <c r="L609" s="460"/>
      <c r="M609" s="389"/>
      <c r="N609" s="389"/>
      <c r="O609" s="389"/>
      <c r="P609" s="389"/>
      <c r="Q609" s="389"/>
      <c r="R609" s="388"/>
      <c r="S609" s="388"/>
      <c r="T609" s="388"/>
      <c r="U609" s="388"/>
      <c r="V609" s="388"/>
      <c r="W609" s="9"/>
      <c r="X609" s="9"/>
      <c r="Y609" s="9"/>
      <c r="Z609" s="9"/>
    </row>
    <row r="610">
      <c r="A610" s="388"/>
      <c r="B610" s="396"/>
      <c r="C610" s="396"/>
      <c r="D610" s="396"/>
      <c r="E610" s="388"/>
      <c r="F610" s="395"/>
      <c r="G610" s="395"/>
      <c r="H610" s="388"/>
      <c r="I610" s="389"/>
      <c r="J610" s="389"/>
      <c r="K610" s="389"/>
      <c r="L610" s="460"/>
      <c r="M610" s="389"/>
      <c r="N610" s="389"/>
      <c r="O610" s="389"/>
      <c r="P610" s="389"/>
      <c r="Q610" s="389"/>
      <c r="R610" s="388"/>
      <c r="S610" s="388"/>
      <c r="T610" s="388"/>
      <c r="U610" s="388"/>
      <c r="V610" s="388"/>
      <c r="W610" s="9"/>
      <c r="X610" s="9"/>
      <c r="Y610" s="9"/>
      <c r="Z610" s="9"/>
    </row>
    <row r="611">
      <c r="A611" s="388"/>
      <c r="B611" s="396"/>
      <c r="C611" s="396"/>
      <c r="D611" s="396"/>
      <c r="E611" s="388"/>
      <c r="F611" s="395"/>
      <c r="G611" s="395"/>
      <c r="H611" s="388"/>
      <c r="I611" s="389"/>
      <c r="J611" s="389"/>
      <c r="K611" s="389"/>
      <c r="L611" s="460"/>
      <c r="M611" s="389"/>
      <c r="N611" s="389"/>
      <c r="O611" s="389"/>
      <c r="P611" s="389"/>
      <c r="Q611" s="389"/>
      <c r="R611" s="388"/>
      <c r="S611" s="388"/>
      <c r="T611" s="388"/>
      <c r="U611" s="388"/>
      <c r="V611" s="388"/>
      <c r="W611" s="9"/>
      <c r="X611" s="9"/>
      <c r="Y611" s="9"/>
      <c r="Z611" s="9"/>
    </row>
    <row r="612">
      <c r="A612" s="388"/>
      <c r="B612" s="396"/>
      <c r="C612" s="396"/>
      <c r="D612" s="396"/>
      <c r="E612" s="388"/>
      <c r="F612" s="395"/>
      <c r="G612" s="395"/>
      <c r="H612" s="388"/>
      <c r="I612" s="389"/>
      <c r="J612" s="389"/>
      <c r="K612" s="389"/>
      <c r="L612" s="460"/>
      <c r="M612" s="389"/>
      <c r="N612" s="389"/>
      <c r="O612" s="389"/>
      <c r="P612" s="389"/>
      <c r="Q612" s="389"/>
      <c r="R612" s="388"/>
      <c r="S612" s="388"/>
      <c r="T612" s="388"/>
      <c r="U612" s="388"/>
      <c r="V612" s="388"/>
      <c r="W612" s="9"/>
      <c r="X612" s="9"/>
      <c r="Y612" s="9"/>
      <c r="Z612" s="9"/>
    </row>
    <row r="613">
      <c r="A613" s="388"/>
      <c r="B613" s="396"/>
      <c r="C613" s="396"/>
      <c r="D613" s="396"/>
      <c r="E613" s="388"/>
      <c r="F613" s="395"/>
      <c r="G613" s="395"/>
      <c r="H613" s="388"/>
      <c r="I613" s="389"/>
      <c r="J613" s="389"/>
      <c r="K613" s="389"/>
      <c r="L613" s="460"/>
      <c r="M613" s="389"/>
      <c r="N613" s="389"/>
      <c r="O613" s="389"/>
      <c r="P613" s="389"/>
      <c r="Q613" s="389"/>
      <c r="R613" s="388"/>
      <c r="S613" s="388"/>
      <c r="T613" s="388"/>
      <c r="U613" s="388"/>
      <c r="V613" s="388"/>
      <c r="W613" s="9"/>
      <c r="X613" s="9"/>
      <c r="Y613" s="9"/>
      <c r="Z613" s="9"/>
    </row>
    <row r="614">
      <c r="A614" s="388"/>
      <c r="B614" s="396"/>
      <c r="C614" s="396"/>
      <c r="D614" s="396"/>
      <c r="E614" s="388"/>
      <c r="F614" s="395"/>
      <c r="G614" s="395"/>
      <c r="H614" s="388"/>
      <c r="I614" s="389"/>
      <c r="J614" s="389"/>
      <c r="K614" s="389"/>
      <c r="L614" s="460"/>
      <c r="M614" s="389"/>
      <c r="N614" s="389"/>
      <c r="O614" s="389"/>
      <c r="P614" s="389"/>
      <c r="Q614" s="389"/>
      <c r="R614" s="388"/>
      <c r="S614" s="388"/>
      <c r="T614" s="388"/>
      <c r="U614" s="388"/>
      <c r="V614" s="388"/>
      <c r="W614" s="9"/>
      <c r="X614" s="9"/>
      <c r="Y614" s="9"/>
      <c r="Z614" s="9"/>
    </row>
    <row r="615">
      <c r="A615" s="388"/>
      <c r="B615" s="396"/>
      <c r="C615" s="396"/>
      <c r="D615" s="396"/>
      <c r="E615" s="388"/>
      <c r="F615" s="395"/>
      <c r="G615" s="395"/>
      <c r="H615" s="388"/>
      <c r="I615" s="389"/>
      <c r="J615" s="389"/>
      <c r="K615" s="389"/>
      <c r="L615" s="460"/>
      <c r="M615" s="389"/>
      <c r="N615" s="389"/>
      <c r="O615" s="389"/>
      <c r="P615" s="389"/>
      <c r="Q615" s="389"/>
      <c r="R615" s="388"/>
      <c r="S615" s="388"/>
      <c r="T615" s="388"/>
      <c r="U615" s="388"/>
      <c r="V615" s="388"/>
      <c r="W615" s="9"/>
      <c r="X615" s="9"/>
      <c r="Y615" s="9"/>
      <c r="Z615" s="9"/>
    </row>
    <row r="616">
      <c r="A616" s="388"/>
      <c r="B616" s="396"/>
      <c r="C616" s="396"/>
      <c r="D616" s="396"/>
      <c r="E616" s="388"/>
      <c r="F616" s="395"/>
      <c r="G616" s="395"/>
      <c r="H616" s="388"/>
      <c r="I616" s="389"/>
      <c r="J616" s="389"/>
      <c r="K616" s="389"/>
      <c r="L616" s="460"/>
      <c r="M616" s="389"/>
      <c r="N616" s="389"/>
      <c r="O616" s="389"/>
      <c r="P616" s="389"/>
      <c r="Q616" s="389"/>
      <c r="R616" s="388"/>
      <c r="S616" s="388"/>
      <c r="T616" s="388"/>
      <c r="U616" s="388"/>
      <c r="V616" s="388"/>
      <c r="W616" s="9"/>
      <c r="X616" s="9"/>
      <c r="Y616" s="9"/>
      <c r="Z616" s="9"/>
    </row>
    <row r="617">
      <c r="A617" s="388"/>
      <c r="B617" s="396"/>
      <c r="C617" s="396"/>
      <c r="D617" s="396"/>
      <c r="E617" s="388"/>
      <c r="F617" s="395"/>
      <c r="G617" s="395"/>
      <c r="H617" s="388"/>
      <c r="I617" s="389"/>
      <c r="J617" s="389"/>
      <c r="K617" s="389"/>
      <c r="L617" s="460"/>
      <c r="M617" s="389"/>
      <c r="N617" s="389"/>
      <c r="O617" s="389"/>
      <c r="P617" s="389"/>
      <c r="Q617" s="389"/>
      <c r="R617" s="388"/>
      <c r="S617" s="388"/>
      <c r="T617" s="388"/>
      <c r="U617" s="388"/>
      <c r="V617" s="388"/>
      <c r="W617" s="9"/>
      <c r="X617" s="9"/>
      <c r="Y617" s="9"/>
      <c r="Z617" s="9"/>
    </row>
    <row r="618">
      <c r="A618" s="388"/>
      <c r="B618" s="396"/>
      <c r="C618" s="396"/>
      <c r="D618" s="396"/>
      <c r="E618" s="388"/>
      <c r="F618" s="395"/>
      <c r="G618" s="395"/>
      <c r="H618" s="388"/>
      <c r="I618" s="389"/>
      <c r="J618" s="389"/>
      <c r="K618" s="389"/>
      <c r="L618" s="460"/>
      <c r="M618" s="389"/>
      <c r="N618" s="389"/>
      <c r="O618" s="389"/>
      <c r="P618" s="389"/>
      <c r="Q618" s="389"/>
      <c r="R618" s="388"/>
      <c r="S618" s="388"/>
      <c r="T618" s="388"/>
      <c r="U618" s="388"/>
      <c r="V618" s="388"/>
      <c r="W618" s="9"/>
      <c r="X618" s="9"/>
      <c r="Y618" s="9"/>
      <c r="Z618" s="9"/>
    </row>
    <row r="619">
      <c r="A619" s="388"/>
      <c r="B619" s="396"/>
      <c r="C619" s="396"/>
      <c r="D619" s="396"/>
      <c r="E619" s="388"/>
      <c r="F619" s="395"/>
      <c r="G619" s="395"/>
      <c r="H619" s="388"/>
      <c r="I619" s="389"/>
      <c r="J619" s="389"/>
      <c r="K619" s="389"/>
      <c r="L619" s="460"/>
      <c r="M619" s="389"/>
      <c r="N619" s="389"/>
      <c r="O619" s="389"/>
      <c r="P619" s="389"/>
      <c r="Q619" s="389"/>
      <c r="R619" s="388"/>
      <c r="S619" s="388"/>
      <c r="T619" s="388"/>
      <c r="U619" s="388"/>
      <c r="V619" s="388"/>
      <c r="W619" s="9"/>
      <c r="X619" s="9"/>
      <c r="Y619" s="9"/>
      <c r="Z619" s="9"/>
    </row>
    <row r="620">
      <c r="A620" s="388"/>
      <c r="B620" s="396"/>
      <c r="C620" s="396"/>
      <c r="D620" s="396"/>
      <c r="E620" s="388"/>
      <c r="F620" s="395"/>
      <c r="G620" s="395"/>
      <c r="H620" s="388"/>
      <c r="I620" s="389"/>
      <c r="J620" s="389"/>
      <c r="K620" s="389"/>
      <c r="L620" s="460"/>
      <c r="M620" s="389"/>
      <c r="N620" s="389"/>
      <c r="O620" s="389"/>
      <c r="P620" s="389"/>
      <c r="Q620" s="389"/>
      <c r="R620" s="388"/>
      <c r="S620" s="388"/>
      <c r="T620" s="388"/>
      <c r="U620" s="388"/>
      <c r="V620" s="388"/>
      <c r="W620" s="9"/>
      <c r="X620" s="9"/>
      <c r="Y620" s="9"/>
      <c r="Z620" s="9"/>
    </row>
    <row r="621">
      <c r="A621" s="388"/>
      <c r="B621" s="396"/>
      <c r="C621" s="396"/>
      <c r="D621" s="396"/>
      <c r="E621" s="388"/>
      <c r="F621" s="395"/>
      <c r="G621" s="395"/>
      <c r="H621" s="388"/>
      <c r="I621" s="389"/>
      <c r="J621" s="389"/>
      <c r="K621" s="389"/>
      <c r="L621" s="460"/>
      <c r="M621" s="389"/>
      <c r="N621" s="389"/>
      <c r="O621" s="389"/>
      <c r="P621" s="389"/>
      <c r="Q621" s="389"/>
      <c r="R621" s="388"/>
      <c r="S621" s="388"/>
      <c r="T621" s="388"/>
      <c r="U621" s="388"/>
      <c r="V621" s="388"/>
      <c r="W621" s="9"/>
      <c r="X621" s="9"/>
      <c r="Y621" s="9"/>
      <c r="Z621" s="9"/>
    </row>
    <row r="622">
      <c r="A622" s="388"/>
      <c r="B622" s="396"/>
      <c r="C622" s="396"/>
      <c r="D622" s="396"/>
      <c r="E622" s="388"/>
      <c r="F622" s="395"/>
      <c r="G622" s="395"/>
      <c r="H622" s="388"/>
      <c r="I622" s="389"/>
      <c r="J622" s="389"/>
      <c r="K622" s="389"/>
      <c r="L622" s="460"/>
      <c r="M622" s="389"/>
      <c r="N622" s="389"/>
      <c r="O622" s="389"/>
      <c r="P622" s="389"/>
      <c r="Q622" s="389"/>
      <c r="R622" s="388"/>
      <c r="S622" s="388"/>
      <c r="T622" s="388"/>
      <c r="U622" s="388"/>
      <c r="V622" s="388"/>
      <c r="W622" s="9"/>
      <c r="X622" s="9"/>
      <c r="Y622" s="9"/>
      <c r="Z622" s="9"/>
    </row>
    <row r="623">
      <c r="A623" s="388"/>
      <c r="B623" s="396"/>
      <c r="C623" s="396"/>
      <c r="D623" s="396"/>
      <c r="E623" s="388"/>
      <c r="F623" s="395"/>
      <c r="G623" s="395"/>
      <c r="H623" s="388"/>
      <c r="I623" s="389"/>
      <c r="J623" s="389"/>
      <c r="K623" s="389"/>
      <c r="L623" s="460"/>
      <c r="M623" s="389"/>
      <c r="N623" s="389"/>
      <c r="O623" s="389"/>
      <c r="P623" s="389"/>
      <c r="Q623" s="389"/>
      <c r="R623" s="388"/>
      <c r="S623" s="388"/>
      <c r="T623" s="388"/>
      <c r="U623" s="388"/>
      <c r="V623" s="388"/>
      <c r="W623" s="9"/>
      <c r="X623" s="9"/>
      <c r="Y623" s="9"/>
      <c r="Z623" s="9"/>
    </row>
    <row r="624">
      <c r="A624" s="388"/>
      <c r="B624" s="396"/>
      <c r="C624" s="396"/>
      <c r="D624" s="396"/>
      <c r="E624" s="388"/>
      <c r="F624" s="395"/>
      <c r="G624" s="395"/>
      <c r="H624" s="388"/>
      <c r="I624" s="389"/>
      <c r="J624" s="389"/>
      <c r="K624" s="389"/>
      <c r="L624" s="460"/>
      <c r="M624" s="389"/>
      <c r="N624" s="389"/>
      <c r="O624" s="389"/>
      <c r="P624" s="389"/>
      <c r="Q624" s="389"/>
      <c r="R624" s="388"/>
      <c r="S624" s="388"/>
      <c r="T624" s="388"/>
      <c r="U624" s="388"/>
      <c r="V624" s="388"/>
      <c r="W624" s="9"/>
      <c r="X624" s="9"/>
      <c r="Y624" s="9"/>
      <c r="Z624" s="9"/>
    </row>
    <row r="625">
      <c r="A625" s="388"/>
      <c r="B625" s="396"/>
      <c r="C625" s="396"/>
      <c r="D625" s="396"/>
      <c r="E625" s="388"/>
      <c r="F625" s="395"/>
      <c r="G625" s="395"/>
      <c r="H625" s="388"/>
      <c r="I625" s="389"/>
      <c r="J625" s="389"/>
      <c r="K625" s="389"/>
      <c r="L625" s="460"/>
      <c r="M625" s="389"/>
      <c r="N625" s="389"/>
      <c r="O625" s="389"/>
      <c r="P625" s="389"/>
      <c r="Q625" s="389"/>
      <c r="R625" s="388"/>
      <c r="S625" s="388"/>
      <c r="T625" s="388"/>
      <c r="U625" s="388"/>
      <c r="V625" s="388"/>
      <c r="W625" s="9"/>
      <c r="X625" s="9"/>
      <c r="Y625" s="9"/>
      <c r="Z625" s="9"/>
    </row>
    <row r="626">
      <c r="A626" s="388"/>
      <c r="B626" s="396"/>
      <c r="C626" s="396"/>
      <c r="D626" s="396"/>
      <c r="E626" s="388"/>
      <c r="F626" s="395"/>
      <c r="G626" s="395"/>
      <c r="H626" s="388"/>
      <c r="I626" s="389"/>
      <c r="J626" s="389"/>
      <c r="K626" s="389"/>
      <c r="L626" s="460"/>
      <c r="M626" s="389"/>
      <c r="N626" s="389"/>
      <c r="O626" s="389"/>
      <c r="P626" s="389"/>
      <c r="Q626" s="389"/>
      <c r="R626" s="388"/>
      <c r="S626" s="388"/>
      <c r="T626" s="388"/>
      <c r="U626" s="388"/>
      <c r="V626" s="388"/>
      <c r="W626" s="9"/>
      <c r="X626" s="9"/>
      <c r="Y626" s="9"/>
      <c r="Z626" s="9"/>
    </row>
    <row r="627">
      <c r="A627" s="388"/>
      <c r="B627" s="396"/>
      <c r="C627" s="396"/>
      <c r="D627" s="396"/>
      <c r="E627" s="388"/>
      <c r="F627" s="395"/>
      <c r="G627" s="395"/>
      <c r="H627" s="388"/>
      <c r="I627" s="389"/>
      <c r="J627" s="389"/>
      <c r="K627" s="389"/>
      <c r="L627" s="460"/>
      <c r="M627" s="389"/>
      <c r="N627" s="389"/>
      <c r="O627" s="389"/>
      <c r="P627" s="389"/>
      <c r="Q627" s="389"/>
      <c r="R627" s="388"/>
      <c r="S627" s="388"/>
      <c r="T627" s="388"/>
      <c r="U627" s="388"/>
      <c r="V627" s="388"/>
      <c r="W627" s="9"/>
      <c r="X627" s="9"/>
      <c r="Y627" s="9"/>
      <c r="Z627" s="9"/>
    </row>
    <row r="628">
      <c r="A628" s="388"/>
      <c r="B628" s="396"/>
      <c r="C628" s="396"/>
      <c r="D628" s="396"/>
      <c r="E628" s="388"/>
      <c r="F628" s="395"/>
      <c r="G628" s="395"/>
      <c r="H628" s="388"/>
      <c r="I628" s="389"/>
      <c r="J628" s="389"/>
      <c r="K628" s="389"/>
      <c r="L628" s="460"/>
      <c r="M628" s="389"/>
      <c r="N628" s="389"/>
      <c r="O628" s="389"/>
      <c r="P628" s="389"/>
      <c r="Q628" s="389"/>
      <c r="R628" s="388"/>
      <c r="S628" s="388"/>
      <c r="T628" s="388"/>
      <c r="U628" s="388"/>
      <c r="V628" s="388"/>
      <c r="W628" s="9"/>
      <c r="X628" s="9"/>
      <c r="Y628" s="9"/>
      <c r="Z628" s="9"/>
    </row>
    <row r="629">
      <c r="A629" s="388"/>
      <c r="B629" s="396"/>
      <c r="C629" s="396"/>
      <c r="D629" s="396"/>
      <c r="E629" s="388"/>
      <c r="F629" s="395"/>
      <c r="G629" s="395"/>
      <c r="H629" s="388"/>
      <c r="I629" s="389"/>
      <c r="J629" s="389"/>
      <c r="K629" s="389"/>
      <c r="L629" s="460"/>
      <c r="M629" s="389"/>
      <c r="N629" s="389"/>
      <c r="O629" s="389"/>
      <c r="P629" s="389"/>
      <c r="Q629" s="389"/>
      <c r="R629" s="388"/>
      <c r="S629" s="388"/>
      <c r="T629" s="388"/>
      <c r="U629" s="388"/>
      <c r="V629" s="388"/>
      <c r="W629" s="9"/>
      <c r="X629" s="9"/>
      <c r="Y629" s="9"/>
      <c r="Z629" s="9"/>
    </row>
    <row r="630">
      <c r="A630" s="388"/>
      <c r="B630" s="396"/>
      <c r="C630" s="396"/>
      <c r="D630" s="396"/>
      <c r="E630" s="388"/>
      <c r="F630" s="395"/>
      <c r="G630" s="395"/>
      <c r="H630" s="388"/>
      <c r="I630" s="389"/>
      <c r="J630" s="389"/>
      <c r="K630" s="389"/>
      <c r="L630" s="460"/>
      <c r="M630" s="389"/>
      <c r="N630" s="389"/>
      <c r="O630" s="389"/>
      <c r="P630" s="389"/>
      <c r="Q630" s="389"/>
      <c r="R630" s="388"/>
      <c r="S630" s="388"/>
      <c r="T630" s="388"/>
      <c r="U630" s="388"/>
      <c r="V630" s="388"/>
      <c r="W630" s="9"/>
      <c r="X630" s="9"/>
      <c r="Y630" s="9"/>
      <c r="Z630" s="9"/>
    </row>
    <row r="631">
      <c r="A631" s="388"/>
      <c r="B631" s="396"/>
      <c r="C631" s="396"/>
      <c r="D631" s="396"/>
      <c r="E631" s="388"/>
      <c r="F631" s="395"/>
      <c r="G631" s="395"/>
      <c r="H631" s="388"/>
      <c r="I631" s="389"/>
      <c r="J631" s="389"/>
      <c r="K631" s="389"/>
      <c r="L631" s="460"/>
      <c r="M631" s="389"/>
      <c r="N631" s="389"/>
      <c r="O631" s="389"/>
      <c r="P631" s="389"/>
      <c r="Q631" s="389"/>
      <c r="R631" s="388"/>
      <c r="S631" s="388"/>
      <c r="T631" s="388"/>
      <c r="U631" s="388"/>
      <c r="V631" s="388"/>
      <c r="W631" s="9"/>
      <c r="X631" s="9"/>
      <c r="Y631" s="9"/>
      <c r="Z631" s="9"/>
    </row>
    <row r="632">
      <c r="A632" s="388"/>
      <c r="B632" s="396"/>
      <c r="C632" s="396"/>
      <c r="D632" s="396"/>
      <c r="E632" s="388"/>
      <c r="F632" s="395"/>
      <c r="G632" s="395"/>
      <c r="H632" s="388"/>
      <c r="I632" s="389"/>
      <c r="J632" s="389"/>
      <c r="K632" s="389"/>
      <c r="L632" s="460"/>
      <c r="M632" s="389"/>
      <c r="N632" s="389"/>
      <c r="O632" s="389"/>
      <c r="P632" s="389"/>
      <c r="Q632" s="389"/>
      <c r="R632" s="388"/>
      <c r="S632" s="388"/>
      <c r="T632" s="388"/>
      <c r="U632" s="388"/>
      <c r="V632" s="388"/>
      <c r="W632" s="9"/>
      <c r="X632" s="9"/>
      <c r="Y632" s="9"/>
      <c r="Z632" s="9"/>
    </row>
    <row r="633">
      <c r="A633" s="388"/>
      <c r="B633" s="396"/>
      <c r="C633" s="396"/>
      <c r="D633" s="396"/>
      <c r="E633" s="388"/>
      <c r="F633" s="395"/>
      <c r="G633" s="395"/>
      <c r="H633" s="388"/>
      <c r="I633" s="389"/>
      <c r="J633" s="389"/>
      <c r="K633" s="389"/>
      <c r="L633" s="460"/>
      <c r="M633" s="389"/>
      <c r="N633" s="389"/>
      <c r="O633" s="389"/>
      <c r="P633" s="389"/>
      <c r="Q633" s="389"/>
      <c r="R633" s="388"/>
      <c r="S633" s="388"/>
      <c r="T633" s="388"/>
      <c r="U633" s="388"/>
      <c r="V633" s="388"/>
      <c r="W633" s="9"/>
      <c r="X633" s="9"/>
      <c r="Y633" s="9"/>
      <c r="Z633" s="9"/>
    </row>
    <row r="634">
      <c r="A634" s="388"/>
      <c r="B634" s="396"/>
      <c r="C634" s="396"/>
      <c r="D634" s="396"/>
      <c r="E634" s="388"/>
      <c r="F634" s="395"/>
      <c r="G634" s="395"/>
      <c r="H634" s="388"/>
      <c r="I634" s="389"/>
      <c r="J634" s="389"/>
      <c r="K634" s="389"/>
      <c r="L634" s="460"/>
      <c r="M634" s="389"/>
      <c r="N634" s="389"/>
      <c r="O634" s="389"/>
      <c r="P634" s="389"/>
      <c r="Q634" s="389"/>
      <c r="R634" s="388"/>
      <c r="S634" s="388"/>
      <c r="T634" s="388"/>
      <c r="U634" s="388"/>
      <c r="V634" s="388"/>
      <c r="W634" s="9"/>
      <c r="X634" s="9"/>
      <c r="Y634" s="9"/>
      <c r="Z634" s="9"/>
    </row>
    <row r="635">
      <c r="A635" s="388"/>
      <c r="B635" s="396"/>
      <c r="C635" s="396"/>
      <c r="D635" s="396"/>
      <c r="E635" s="388"/>
      <c r="F635" s="395"/>
      <c r="G635" s="395"/>
      <c r="H635" s="388"/>
      <c r="I635" s="389"/>
      <c r="J635" s="389"/>
      <c r="K635" s="389"/>
      <c r="L635" s="460"/>
      <c r="M635" s="389"/>
      <c r="N635" s="389"/>
      <c r="O635" s="389"/>
      <c r="P635" s="389"/>
      <c r="Q635" s="389"/>
      <c r="R635" s="388"/>
      <c r="S635" s="388"/>
      <c r="T635" s="388"/>
      <c r="U635" s="388"/>
      <c r="V635" s="388"/>
      <c r="W635" s="9"/>
      <c r="X635" s="9"/>
      <c r="Y635" s="9"/>
      <c r="Z635" s="9"/>
    </row>
    <row r="636">
      <c r="A636" s="388"/>
      <c r="B636" s="396"/>
      <c r="C636" s="396"/>
      <c r="D636" s="396"/>
      <c r="E636" s="388"/>
      <c r="F636" s="395"/>
      <c r="G636" s="395"/>
      <c r="H636" s="388"/>
      <c r="I636" s="389"/>
      <c r="J636" s="389"/>
      <c r="K636" s="389"/>
      <c r="L636" s="460"/>
      <c r="M636" s="389"/>
      <c r="N636" s="389"/>
      <c r="O636" s="389"/>
      <c r="P636" s="389"/>
      <c r="Q636" s="389"/>
      <c r="R636" s="388"/>
      <c r="S636" s="388"/>
      <c r="T636" s="388"/>
      <c r="U636" s="388"/>
      <c r="V636" s="388"/>
      <c r="W636" s="9"/>
      <c r="X636" s="9"/>
      <c r="Y636" s="9"/>
      <c r="Z636" s="9"/>
    </row>
    <row r="637">
      <c r="A637" s="388"/>
      <c r="B637" s="396"/>
      <c r="C637" s="396"/>
      <c r="D637" s="396"/>
      <c r="E637" s="388"/>
      <c r="F637" s="395"/>
      <c r="G637" s="395"/>
      <c r="H637" s="388"/>
      <c r="I637" s="389"/>
      <c r="J637" s="389"/>
      <c r="K637" s="389"/>
      <c r="L637" s="460"/>
      <c r="M637" s="389"/>
      <c r="N637" s="389"/>
      <c r="O637" s="389"/>
      <c r="P637" s="389"/>
      <c r="Q637" s="389"/>
      <c r="R637" s="388"/>
      <c r="S637" s="388"/>
      <c r="T637" s="388"/>
      <c r="U637" s="388"/>
      <c r="V637" s="388"/>
      <c r="W637" s="9"/>
      <c r="X637" s="9"/>
      <c r="Y637" s="9"/>
      <c r="Z637" s="9"/>
    </row>
    <row r="638">
      <c r="A638" s="388"/>
      <c r="B638" s="396"/>
      <c r="C638" s="396"/>
      <c r="D638" s="396"/>
      <c r="E638" s="388"/>
      <c r="F638" s="395"/>
      <c r="G638" s="395"/>
      <c r="H638" s="388"/>
      <c r="I638" s="389"/>
      <c r="J638" s="389"/>
      <c r="K638" s="389"/>
      <c r="L638" s="460"/>
      <c r="M638" s="389"/>
      <c r="N638" s="389"/>
      <c r="O638" s="389"/>
      <c r="P638" s="389"/>
      <c r="Q638" s="389"/>
      <c r="R638" s="388"/>
      <c r="S638" s="388"/>
      <c r="T638" s="388"/>
      <c r="U638" s="388"/>
      <c r="V638" s="388"/>
      <c r="W638" s="9"/>
      <c r="X638" s="9"/>
      <c r="Y638" s="9"/>
      <c r="Z638" s="9"/>
    </row>
    <row r="639">
      <c r="A639" s="388"/>
      <c r="B639" s="396"/>
      <c r="C639" s="396"/>
      <c r="D639" s="396"/>
      <c r="E639" s="388"/>
      <c r="F639" s="395"/>
      <c r="G639" s="395"/>
      <c r="H639" s="388"/>
      <c r="I639" s="389"/>
      <c r="J639" s="389"/>
      <c r="K639" s="389"/>
      <c r="L639" s="460"/>
      <c r="M639" s="389"/>
      <c r="N639" s="389"/>
      <c r="O639" s="389"/>
      <c r="P639" s="389"/>
      <c r="Q639" s="389"/>
      <c r="R639" s="388"/>
      <c r="S639" s="388"/>
      <c r="T639" s="388"/>
      <c r="U639" s="388"/>
      <c r="V639" s="388"/>
      <c r="W639" s="9"/>
      <c r="X639" s="9"/>
      <c r="Y639" s="9"/>
      <c r="Z639" s="9"/>
    </row>
    <row r="640">
      <c r="A640" s="388"/>
      <c r="B640" s="396"/>
      <c r="C640" s="396"/>
      <c r="D640" s="396"/>
      <c r="E640" s="388"/>
      <c r="F640" s="395"/>
      <c r="G640" s="395"/>
      <c r="H640" s="388"/>
      <c r="I640" s="389"/>
      <c r="J640" s="389"/>
      <c r="K640" s="389"/>
      <c r="L640" s="460"/>
      <c r="M640" s="389"/>
      <c r="N640" s="389"/>
      <c r="O640" s="389"/>
      <c r="P640" s="389"/>
      <c r="Q640" s="389"/>
      <c r="R640" s="388"/>
      <c r="S640" s="388"/>
      <c r="T640" s="388"/>
      <c r="U640" s="388"/>
      <c r="V640" s="388"/>
      <c r="W640" s="9"/>
      <c r="X640" s="9"/>
      <c r="Y640" s="9"/>
      <c r="Z640" s="9"/>
    </row>
    <row r="641">
      <c r="A641" s="388"/>
      <c r="B641" s="396"/>
      <c r="C641" s="396"/>
      <c r="D641" s="396"/>
      <c r="E641" s="388"/>
      <c r="F641" s="395"/>
      <c r="G641" s="395"/>
      <c r="H641" s="388"/>
      <c r="I641" s="389"/>
      <c r="J641" s="389"/>
      <c r="K641" s="389"/>
      <c r="L641" s="460"/>
      <c r="M641" s="389"/>
      <c r="N641" s="389"/>
      <c r="O641" s="389"/>
      <c r="P641" s="389"/>
      <c r="Q641" s="389"/>
      <c r="R641" s="388"/>
      <c r="S641" s="388"/>
      <c r="T641" s="388"/>
      <c r="U641" s="388"/>
      <c r="V641" s="388"/>
      <c r="W641" s="9"/>
      <c r="X641" s="9"/>
      <c r="Y641" s="9"/>
      <c r="Z641" s="9"/>
    </row>
    <row r="642">
      <c r="A642" s="388"/>
      <c r="B642" s="396"/>
      <c r="C642" s="396"/>
      <c r="D642" s="396"/>
      <c r="E642" s="388"/>
      <c r="F642" s="395"/>
      <c r="G642" s="395"/>
      <c r="H642" s="388"/>
      <c r="I642" s="389"/>
      <c r="J642" s="389"/>
      <c r="K642" s="389"/>
      <c r="L642" s="460"/>
      <c r="M642" s="389"/>
      <c r="N642" s="389"/>
      <c r="O642" s="389"/>
      <c r="P642" s="389"/>
      <c r="Q642" s="389"/>
      <c r="R642" s="388"/>
      <c r="S642" s="388"/>
      <c r="T642" s="388"/>
      <c r="U642" s="388"/>
      <c r="V642" s="388"/>
      <c r="W642" s="9"/>
      <c r="X642" s="9"/>
      <c r="Y642" s="9"/>
      <c r="Z642" s="9"/>
    </row>
    <row r="643">
      <c r="A643" s="388"/>
      <c r="B643" s="396"/>
      <c r="C643" s="396"/>
      <c r="D643" s="396"/>
      <c r="E643" s="388"/>
      <c r="F643" s="395"/>
      <c r="G643" s="395"/>
      <c r="H643" s="388"/>
      <c r="I643" s="389"/>
      <c r="J643" s="389"/>
      <c r="K643" s="389"/>
      <c r="L643" s="460"/>
      <c r="M643" s="389"/>
      <c r="N643" s="389"/>
      <c r="O643" s="389"/>
      <c r="P643" s="389"/>
      <c r="Q643" s="389"/>
      <c r="R643" s="388"/>
      <c r="S643" s="388"/>
      <c r="T643" s="388"/>
      <c r="U643" s="388"/>
      <c r="V643" s="388"/>
      <c r="W643" s="9"/>
      <c r="X643" s="9"/>
      <c r="Y643" s="9"/>
      <c r="Z643" s="9"/>
    </row>
    <row r="644">
      <c r="A644" s="388"/>
      <c r="B644" s="396"/>
      <c r="C644" s="396"/>
      <c r="D644" s="396"/>
      <c r="E644" s="388"/>
      <c r="F644" s="395"/>
      <c r="G644" s="395"/>
      <c r="H644" s="388"/>
      <c r="I644" s="389"/>
      <c r="J644" s="389"/>
      <c r="K644" s="389"/>
      <c r="L644" s="460"/>
      <c r="M644" s="389"/>
      <c r="N644" s="389"/>
      <c r="O644" s="389"/>
      <c r="P644" s="389"/>
      <c r="Q644" s="389"/>
      <c r="R644" s="388"/>
      <c r="S644" s="388"/>
      <c r="T644" s="388"/>
      <c r="U644" s="388"/>
      <c r="V644" s="388"/>
      <c r="W644" s="9"/>
      <c r="X644" s="9"/>
      <c r="Y644" s="9"/>
      <c r="Z644" s="9"/>
    </row>
    <row r="645">
      <c r="A645" s="388"/>
      <c r="B645" s="396"/>
      <c r="C645" s="396"/>
      <c r="D645" s="396"/>
      <c r="E645" s="388"/>
      <c r="F645" s="395"/>
      <c r="G645" s="395"/>
      <c r="H645" s="388"/>
      <c r="I645" s="389"/>
      <c r="J645" s="389"/>
      <c r="K645" s="389"/>
      <c r="L645" s="460"/>
      <c r="M645" s="389"/>
      <c r="N645" s="389"/>
      <c r="O645" s="389"/>
      <c r="P645" s="389"/>
      <c r="Q645" s="389"/>
      <c r="R645" s="388"/>
      <c r="S645" s="388"/>
      <c r="T645" s="388"/>
      <c r="U645" s="388"/>
      <c r="V645" s="388"/>
      <c r="W645" s="9"/>
      <c r="X645" s="9"/>
      <c r="Y645" s="9"/>
      <c r="Z645" s="9"/>
    </row>
    <row r="646">
      <c r="A646" s="388"/>
      <c r="B646" s="396"/>
      <c r="C646" s="396"/>
      <c r="D646" s="396"/>
      <c r="E646" s="388"/>
      <c r="F646" s="395"/>
      <c r="G646" s="395"/>
      <c r="H646" s="388"/>
      <c r="I646" s="389"/>
      <c r="J646" s="389"/>
      <c r="K646" s="389"/>
      <c r="L646" s="460"/>
      <c r="M646" s="389"/>
      <c r="N646" s="389"/>
      <c r="O646" s="389"/>
      <c r="P646" s="389"/>
      <c r="Q646" s="389"/>
      <c r="R646" s="388"/>
      <c r="S646" s="388"/>
      <c r="T646" s="388"/>
      <c r="U646" s="388"/>
      <c r="V646" s="388"/>
      <c r="W646" s="9"/>
      <c r="X646" s="9"/>
      <c r="Y646" s="9"/>
      <c r="Z646" s="9"/>
    </row>
    <row r="647">
      <c r="A647" s="388"/>
      <c r="B647" s="396"/>
      <c r="C647" s="396"/>
      <c r="D647" s="396"/>
      <c r="E647" s="388"/>
      <c r="F647" s="395"/>
      <c r="G647" s="395"/>
      <c r="H647" s="388"/>
      <c r="I647" s="389"/>
      <c r="J647" s="389"/>
      <c r="K647" s="389"/>
      <c r="L647" s="460"/>
      <c r="M647" s="389"/>
      <c r="N647" s="389"/>
      <c r="O647" s="389"/>
      <c r="P647" s="389"/>
      <c r="Q647" s="389"/>
      <c r="R647" s="388"/>
      <c r="S647" s="388"/>
      <c r="T647" s="388"/>
      <c r="U647" s="388"/>
      <c r="V647" s="388"/>
      <c r="W647" s="9"/>
      <c r="X647" s="9"/>
      <c r="Y647" s="9"/>
      <c r="Z647" s="9"/>
    </row>
    <row r="648">
      <c r="A648" s="388"/>
      <c r="B648" s="396"/>
      <c r="C648" s="396"/>
      <c r="D648" s="396"/>
      <c r="E648" s="388"/>
      <c r="F648" s="395"/>
      <c r="G648" s="395"/>
      <c r="H648" s="388"/>
      <c r="I648" s="389"/>
      <c r="J648" s="389"/>
      <c r="K648" s="389"/>
      <c r="L648" s="460"/>
      <c r="M648" s="389"/>
      <c r="N648" s="389"/>
      <c r="O648" s="389"/>
      <c r="P648" s="389"/>
      <c r="Q648" s="389"/>
      <c r="R648" s="388"/>
      <c r="S648" s="388"/>
      <c r="T648" s="388"/>
      <c r="U648" s="388"/>
      <c r="V648" s="388"/>
      <c r="W648" s="9"/>
      <c r="X648" s="9"/>
      <c r="Y648" s="9"/>
      <c r="Z648" s="9"/>
    </row>
    <row r="649">
      <c r="A649" s="388"/>
      <c r="B649" s="396"/>
      <c r="C649" s="396"/>
      <c r="D649" s="396"/>
      <c r="E649" s="388"/>
      <c r="F649" s="395"/>
      <c r="G649" s="395"/>
      <c r="H649" s="388"/>
      <c r="I649" s="389"/>
      <c r="J649" s="389"/>
      <c r="K649" s="389"/>
      <c r="L649" s="460"/>
      <c r="M649" s="389"/>
      <c r="N649" s="389"/>
      <c r="O649" s="389"/>
      <c r="P649" s="389"/>
      <c r="Q649" s="389"/>
      <c r="R649" s="388"/>
      <c r="S649" s="388"/>
      <c r="T649" s="388"/>
      <c r="U649" s="388"/>
      <c r="V649" s="388"/>
      <c r="W649" s="9"/>
      <c r="X649" s="9"/>
      <c r="Y649" s="9"/>
      <c r="Z649" s="9"/>
    </row>
    <row r="650">
      <c r="A650" s="388"/>
      <c r="B650" s="396"/>
      <c r="C650" s="396"/>
      <c r="D650" s="396"/>
      <c r="E650" s="388"/>
      <c r="F650" s="395"/>
      <c r="G650" s="395"/>
      <c r="H650" s="388"/>
      <c r="I650" s="389"/>
      <c r="J650" s="389"/>
      <c r="K650" s="389"/>
      <c r="L650" s="460"/>
      <c r="M650" s="389"/>
      <c r="N650" s="389"/>
      <c r="O650" s="389"/>
      <c r="P650" s="389"/>
      <c r="Q650" s="389"/>
      <c r="R650" s="388"/>
      <c r="S650" s="388"/>
      <c r="T650" s="388"/>
      <c r="U650" s="388"/>
      <c r="V650" s="388"/>
      <c r="W650" s="9"/>
      <c r="X650" s="9"/>
      <c r="Y650" s="9"/>
      <c r="Z650" s="9"/>
    </row>
    <row r="651">
      <c r="A651" s="388"/>
      <c r="B651" s="396"/>
      <c r="C651" s="396"/>
      <c r="D651" s="396"/>
      <c r="E651" s="388"/>
      <c r="F651" s="395"/>
      <c r="G651" s="395"/>
      <c r="H651" s="388"/>
      <c r="I651" s="389"/>
      <c r="J651" s="389"/>
      <c r="K651" s="389"/>
      <c r="L651" s="460"/>
      <c r="M651" s="389"/>
      <c r="N651" s="389"/>
      <c r="O651" s="389"/>
      <c r="P651" s="389"/>
      <c r="Q651" s="389"/>
      <c r="R651" s="388"/>
      <c r="S651" s="388"/>
      <c r="T651" s="388"/>
      <c r="U651" s="388"/>
      <c r="V651" s="388"/>
      <c r="W651" s="9"/>
      <c r="X651" s="9"/>
      <c r="Y651" s="9"/>
      <c r="Z651" s="9"/>
    </row>
    <row r="652">
      <c r="A652" s="388"/>
      <c r="B652" s="396"/>
      <c r="C652" s="396"/>
      <c r="D652" s="396"/>
      <c r="E652" s="388"/>
      <c r="F652" s="395"/>
      <c r="G652" s="395"/>
      <c r="H652" s="388"/>
      <c r="I652" s="389"/>
      <c r="J652" s="389"/>
      <c r="K652" s="389"/>
      <c r="L652" s="460"/>
      <c r="M652" s="389"/>
      <c r="N652" s="389"/>
      <c r="O652" s="389"/>
      <c r="P652" s="389"/>
      <c r="Q652" s="389"/>
      <c r="R652" s="388"/>
      <c r="S652" s="388"/>
      <c r="T652" s="388"/>
      <c r="U652" s="388"/>
      <c r="V652" s="388"/>
      <c r="W652" s="9"/>
      <c r="X652" s="9"/>
      <c r="Y652" s="9"/>
      <c r="Z652" s="9"/>
    </row>
    <row r="653">
      <c r="A653" s="388"/>
      <c r="B653" s="396"/>
      <c r="C653" s="396"/>
      <c r="D653" s="396"/>
      <c r="E653" s="388"/>
      <c r="F653" s="395"/>
      <c r="G653" s="395"/>
      <c r="H653" s="388"/>
      <c r="I653" s="389"/>
      <c r="J653" s="389"/>
      <c r="K653" s="389"/>
      <c r="L653" s="460"/>
      <c r="M653" s="389"/>
      <c r="N653" s="389"/>
      <c r="O653" s="389"/>
      <c r="P653" s="389"/>
      <c r="Q653" s="389"/>
      <c r="R653" s="388"/>
      <c r="S653" s="388"/>
      <c r="T653" s="388"/>
      <c r="U653" s="388"/>
      <c r="V653" s="388"/>
      <c r="W653" s="9"/>
      <c r="X653" s="9"/>
      <c r="Y653" s="9"/>
      <c r="Z653" s="9"/>
    </row>
    <row r="654">
      <c r="A654" s="388"/>
      <c r="B654" s="396"/>
      <c r="C654" s="396"/>
      <c r="D654" s="396"/>
      <c r="E654" s="388"/>
      <c r="F654" s="395"/>
      <c r="G654" s="395"/>
      <c r="H654" s="388"/>
      <c r="I654" s="389"/>
      <c r="J654" s="389"/>
      <c r="K654" s="389"/>
      <c r="L654" s="460"/>
      <c r="M654" s="389"/>
      <c r="N654" s="389"/>
      <c r="O654" s="389"/>
      <c r="P654" s="389"/>
      <c r="Q654" s="389"/>
      <c r="R654" s="388"/>
      <c r="S654" s="388"/>
      <c r="T654" s="388"/>
      <c r="U654" s="388"/>
      <c r="V654" s="388"/>
      <c r="W654" s="9"/>
      <c r="X654" s="9"/>
      <c r="Y654" s="9"/>
      <c r="Z654" s="9"/>
    </row>
    <row r="655">
      <c r="A655" s="388"/>
      <c r="B655" s="396"/>
      <c r="C655" s="396"/>
      <c r="D655" s="396"/>
      <c r="E655" s="388"/>
      <c r="F655" s="395"/>
      <c r="G655" s="395"/>
      <c r="H655" s="388"/>
      <c r="I655" s="389"/>
      <c r="J655" s="389"/>
      <c r="K655" s="389"/>
      <c r="L655" s="460"/>
      <c r="M655" s="389"/>
      <c r="N655" s="389"/>
      <c r="O655" s="389"/>
      <c r="P655" s="389"/>
      <c r="Q655" s="389"/>
      <c r="R655" s="388"/>
      <c r="S655" s="388"/>
      <c r="T655" s="388"/>
      <c r="U655" s="388"/>
      <c r="V655" s="388"/>
      <c r="W655" s="9"/>
      <c r="X655" s="9"/>
      <c r="Y655" s="9"/>
      <c r="Z655" s="9"/>
    </row>
    <row r="656">
      <c r="A656" s="388"/>
      <c r="B656" s="396"/>
      <c r="C656" s="396"/>
      <c r="D656" s="396"/>
      <c r="E656" s="388"/>
      <c r="F656" s="395"/>
      <c r="G656" s="395"/>
      <c r="H656" s="388"/>
      <c r="I656" s="389"/>
      <c r="J656" s="389"/>
      <c r="K656" s="389"/>
      <c r="L656" s="460"/>
      <c r="M656" s="389"/>
      <c r="N656" s="389"/>
      <c r="O656" s="389"/>
      <c r="P656" s="389"/>
      <c r="Q656" s="389"/>
      <c r="R656" s="388"/>
      <c r="S656" s="388"/>
      <c r="T656" s="388"/>
      <c r="U656" s="388"/>
      <c r="V656" s="388"/>
      <c r="W656" s="9"/>
      <c r="X656" s="9"/>
      <c r="Y656" s="9"/>
      <c r="Z656" s="9"/>
    </row>
    <row r="657">
      <c r="A657" s="388"/>
      <c r="B657" s="396"/>
      <c r="C657" s="396"/>
      <c r="D657" s="396"/>
      <c r="E657" s="388"/>
      <c r="F657" s="395"/>
      <c r="G657" s="395"/>
      <c r="H657" s="388"/>
      <c r="I657" s="389"/>
      <c r="J657" s="389"/>
      <c r="K657" s="389"/>
      <c r="L657" s="460"/>
      <c r="M657" s="389"/>
      <c r="N657" s="389"/>
      <c r="O657" s="389"/>
      <c r="P657" s="389"/>
      <c r="Q657" s="389"/>
      <c r="R657" s="388"/>
      <c r="S657" s="388"/>
      <c r="T657" s="388"/>
      <c r="U657" s="388"/>
      <c r="V657" s="388"/>
      <c r="W657" s="9"/>
      <c r="X657" s="9"/>
      <c r="Y657" s="9"/>
      <c r="Z657" s="9"/>
    </row>
    <row r="658">
      <c r="A658" s="388"/>
      <c r="B658" s="396"/>
      <c r="C658" s="396"/>
      <c r="D658" s="396"/>
      <c r="E658" s="388"/>
      <c r="F658" s="395"/>
      <c r="G658" s="395"/>
      <c r="H658" s="388"/>
      <c r="I658" s="389"/>
      <c r="J658" s="389"/>
      <c r="K658" s="389"/>
      <c r="L658" s="460"/>
      <c r="M658" s="389"/>
      <c r="N658" s="389"/>
      <c r="O658" s="389"/>
      <c r="P658" s="389"/>
      <c r="Q658" s="389"/>
      <c r="R658" s="388"/>
      <c r="S658" s="388"/>
      <c r="T658" s="388"/>
      <c r="U658" s="388"/>
      <c r="V658" s="388"/>
      <c r="W658" s="9"/>
      <c r="X658" s="9"/>
      <c r="Y658" s="9"/>
      <c r="Z658" s="9"/>
    </row>
    <row r="659">
      <c r="A659" s="388"/>
      <c r="B659" s="396"/>
      <c r="C659" s="396"/>
      <c r="D659" s="396"/>
      <c r="E659" s="388"/>
      <c r="F659" s="395"/>
      <c r="G659" s="395"/>
      <c r="H659" s="388"/>
      <c r="I659" s="389"/>
      <c r="J659" s="389"/>
      <c r="K659" s="389"/>
      <c r="L659" s="460"/>
      <c r="M659" s="389"/>
      <c r="N659" s="389"/>
      <c r="O659" s="389"/>
      <c r="P659" s="389"/>
      <c r="Q659" s="389"/>
      <c r="R659" s="388"/>
      <c r="S659" s="388"/>
      <c r="T659" s="388"/>
      <c r="U659" s="388"/>
      <c r="V659" s="388"/>
      <c r="W659" s="9"/>
      <c r="X659" s="9"/>
      <c r="Y659" s="9"/>
      <c r="Z659" s="9"/>
    </row>
    <row r="660">
      <c r="A660" s="388"/>
      <c r="B660" s="396"/>
      <c r="C660" s="396"/>
      <c r="D660" s="396"/>
      <c r="E660" s="388"/>
      <c r="F660" s="395"/>
      <c r="G660" s="395"/>
      <c r="H660" s="388"/>
      <c r="I660" s="389"/>
      <c r="J660" s="389"/>
      <c r="K660" s="389"/>
      <c r="L660" s="460"/>
      <c r="M660" s="389"/>
      <c r="N660" s="389"/>
      <c r="O660" s="389"/>
      <c r="P660" s="389"/>
      <c r="Q660" s="389"/>
      <c r="R660" s="388"/>
      <c r="S660" s="388"/>
      <c r="T660" s="388"/>
      <c r="U660" s="388"/>
      <c r="V660" s="388"/>
      <c r="W660" s="9"/>
      <c r="X660" s="9"/>
      <c r="Y660" s="9"/>
      <c r="Z660" s="9"/>
    </row>
    <row r="661">
      <c r="A661" s="388"/>
      <c r="B661" s="396"/>
      <c r="C661" s="396"/>
      <c r="D661" s="396"/>
      <c r="E661" s="388"/>
      <c r="F661" s="395"/>
      <c r="G661" s="395"/>
      <c r="H661" s="388"/>
      <c r="I661" s="389"/>
      <c r="J661" s="389"/>
      <c r="K661" s="389"/>
      <c r="L661" s="460"/>
      <c r="M661" s="389"/>
      <c r="N661" s="389"/>
      <c r="O661" s="389"/>
      <c r="P661" s="389"/>
      <c r="Q661" s="389"/>
      <c r="R661" s="388"/>
      <c r="S661" s="388"/>
      <c r="T661" s="388"/>
      <c r="U661" s="388"/>
      <c r="V661" s="388"/>
      <c r="W661" s="9"/>
      <c r="X661" s="9"/>
      <c r="Y661" s="9"/>
      <c r="Z661" s="9"/>
    </row>
    <row r="662">
      <c r="A662" s="388"/>
      <c r="B662" s="396"/>
      <c r="C662" s="396"/>
      <c r="D662" s="396"/>
      <c r="E662" s="388"/>
      <c r="F662" s="395"/>
      <c r="G662" s="395"/>
      <c r="H662" s="388"/>
      <c r="I662" s="389"/>
      <c r="J662" s="389"/>
      <c r="K662" s="389"/>
      <c r="L662" s="460"/>
      <c r="M662" s="389"/>
      <c r="N662" s="389"/>
      <c r="O662" s="389"/>
      <c r="P662" s="389"/>
      <c r="Q662" s="389"/>
      <c r="R662" s="388"/>
      <c r="S662" s="388"/>
      <c r="T662" s="388"/>
      <c r="U662" s="388"/>
      <c r="V662" s="388"/>
      <c r="W662" s="9"/>
      <c r="X662" s="9"/>
      <c r="Y662" s="9"/>
      <c r="Z662" s="9"/>
    </row>
    <row r="663">
      <c r="A663" s="388"/>
      <c r="B663" s="396"/>
      <c r="C663" s="396"/>
      <c r="D663" s="396"/>
      <c r="E663" s="388"/>
      <c r="F663" s="395"/>
      <c r="G663" s="395"/>
      <c r="H663" s="388"/>
      <c r="I663" s="389"/>
      <c r="J663" s="389"/>
      <c r="K663" s="389"/>
      <c r="L663" s="460"/>
      <c r="M663" s="389"/>
      <c r="N663" s="389"/>
      <c r="O663" s="389"/>
      <c r="P663" s="389"/>
      <c r="Q663" s="389"/>
      <c r="R663" s="388"/>
      <c r="S663" s="388"/>
      <c r="T663" s="388"/>
      <c r="U663" s="388"/>
      <c r="V663" s="388"/>
      <c r="W663" s="9"/>
      <c r="X663" s="9"/>
      <c r="Y663" s="9"/>
      <c r="Z663" s="9"/>
    </row>
    <row r="664">
      <c r="A664" s="388"/>
      <c r="B664" s="396"/>
      <c r="C664" s="396"/>
      <c r="D664" s="396"/>
      <c r="E664" s="388"/>
      <c r="F664" s="395"/>
      <c r="G664" s="395"/>
      <c r="H664" s="388"/>
      <c r="I664" s="389"/>
      <c r="J664" s="389"/>
      <c r="K664" s="389"/>
      <c r="L664" s="460"/>
      <c r="M664" s="389"/>
      <c r="N664" s="389"/>
      <c r="O664" s="389"/>
      <c r="P664" s="389"/>
      <c r="Q664" s="389"/>
      <c r="R664" s="388"/>
      <c r="S664" s="388"/>
      <c r="T664" s="388"/>
      <c r="U664" s="388"/>
      <c r="V664" s="388"/>
      <c r="W664" s="9"/>
      <c r="X664" s="9"/>
      <c r="Y664" s="9"/>
      <c r="Z664" s="9"/>
    </row>
    <row r="665">
      <c r="A665" s="388"/>
      <c r="B665" s="396"/>
      <c r="C665" s="396"/>
      <c r="D665" s="396"/>
      <c r="E665" s="388"/>
      <c r="F665" s="395"/>
      <c r="G665" s="395"/>
      <c r="H665" s="388"/>
      <c r="I665" s="389"/>
      <c r="J665" s="389"/>
      <c r="K665" s="389"/>
      <c r="L665" s="460"/>
      <c r="M665" s="389"/>
      <c r="N665" s="389"/>
      <c r="O665" s="389"/>
      <c r="P665" s="389"/>
      <c r="Q665" s="389"/>
      <c r="R665" s="388"/>
      <c r="S665" s="388"/>
      <c r="T665" s="388"/>
      <c r="U665" s="388"/>
      <c r="V665" s="388"/>
      <c r="W665" s="9"/>
      <c r="X665" s="9"/>
      <c r="Y665" s="9"/>
      <c r="Z665" s="9"/>
    </row>
    <row r="666">
      <c r="A666" s="388"/>
      <c r="B666" s="396"/>
      <c r="C666" s="396"/>
      <c r="D666" s="396"/>
      <c r="E666" s="388"/>
      <c r="F666" s="395"/>
      <c r="G666" s="395"/>
      <c r="H666" s="388"/>
      <c r="I666" s="389"/>
      <c r="J666" s="389"/>
      <c r="K666" s="389"/>
      <c r="L666" s="460"/>
      <c r="M666" s="389"/>
      <c r="N666" s="389"/>
      <c r="O666" s="389"/>
      <c r="P666" s="389"/>
      <c r="Q666" s="389"/>
      <c r="R666" s="388"/>
      <c r="S666" s="388"/>
      <c r="T666" s="388"/>
      <c r="U666" s="388"/>
      <c r="V666" s="388"/>
      <c r="W666" s="9"/>
      <c r="X666" s="9"/>
      <c r="Y666" s="9"/>
      <c r="Z666" s="9"/>
    </row>
    <row r="667">
      <c r="A667" s="388"/>
      <c r="B667" s="396"/>
      <c r="C667" s="396"/>
      <c r="D667" s="396"/>
      <c r="E667" s="388"/>
      <c r="F667" s="395"/>
      <c r="G667" s="395"/>
      <c r="H667" s="388"/>
      <c r="I667" s="389"/>
      <c r="J667" s="389"/>
      <c r="K667" s="389"/>
      <c r="L667" s="460"/>
      <c r="M667" s="389"/>
      <c r="N667" s="389"/>
      <c r="O667" s="389"/>
      <c r="P667" s="389"/>
      <c r="Q667" s="389"/>
      <c r="R667" s="388"/>
      <c r="S667" s="388"/>
      <c r="T667" s="388"/>
      <c r="U667" s="388"/>
      <c r="V667" s="388"/>
      <c r="W667" s="9"/>
      <c r="X667" s="9"/>
      <c r="Y667" s="9"/>
      <c r="Z667" s="9"/>
    </row>
    <row r="668">
      <c r="A668" s="388"/>
      <c r="B668" s="396"/>
      <c r="C668" s="396"/>
      <c r="D668" s="396"/>
      <c r="E668" s="388"/>
      <c r="F668" s="395"/>
      <c r="G668" s="395"/>
      <c r="H668" s="388"/>
      <c r="I668" s="389"/>
      <c r="J668" s="389"/>
      <c r="K668" s="389"/>
      <c r="L668" s="460"/>
      <c r="M668" s="389"/>
      <c r="N668" s="389"/>
      <c r="O668" s="389"/>
      <c r="P668" s="389"/>
      <c r="Q668" s="389"/>
      <c r="R668" s="388"/>
      <c r="S668" s="388"/>
      <c r="T668" s="388"/>
      <c r="U668" s="388"/>
      <c r="V668" s="388"/>
      <c r="W668" s="9"/>
      <c r="X668" s="9"/>
      <c r="Y668" s="9"/>
      <c r="Z668" s="9"/>
    </row>
    <row r="669">
      <c r="A669" s="388"/>
      <c r="B669" s="396"/>
      <c r="C669" s="396"/>
      <c r="D669" s="396"/>
      <c r="E669" s="388"/>
      <c r="F669" s="395"/>
      <c r="G669" s="395"/>
      <c r="H669" s="388"/>
      <c r="I669" s="389"/>
      <c r="J669" s="389"/>
      <c r="K669" s="389"/>
      <c r="L669" s="460"/>
      <c r="M669" s="389"/>
      <c r="N669" s="389"/>
      <c r="O669" s="389"/>
      <c r="P669" s="389"/>
      <c r="Q669" s="389"/>
      <c r="R669" s="388"/>
      <c r="S669" s="388"/>
      <c r="T669" s="388"/>
      <c r="U669" s="388"/>
      <c r="V669" s="388"/>
      <c r="W669" s="9"/>
      <c r="X669" s="9"/>
      <c r="Y669" s="9"/>
      <c r="Z669" s="9"/>
    </row>
    <row r="670">
      <c r="A670" s="388"/>
      <c r="B670" s="396"/>
      <c r="C670" s="396"/>
      <c r="D670" s="396"/>
      <c r="E670" s="388"/>
      <c r="F670" s="395"/>
      <c r="G670" s="395"/>
      <c r="H670" s="388"/>
      <c r="I670" s="389"/>
      <c r="J670" s="389"/>
      <c r="K670" s="389"/>
      <c r="L670" s="460"/>
      <c r="M670" s="389"/>
      <c r="N670" s="389"/>
      <c r="O670" s="389"/>
      <c r="P670" s="389"/>
      <c r="Q670" s="389"/>
      <c r="R670" s="388"/>
      <c r="S670" s="388"/>
      <c r="T670" s="388"/>
      <c r="U670" s="388"/>
      <c r="V670" s="388"/>
      <c r="W670" s="9"/>
      <c r="X670" s="9"/>
      <c r="Y670" s="9"/>
      <c r="Z670" s="9"/>
    </row>
    <row r="671">
      <c r="A671" s="388"/>
      <c r="B671" s="396"/>
      <c r="C671" s="396"/>
      <c r="D671" s="396"/>
      <c r="E671" s="388"/>
      <c r="F671" s="395"/>
      <c r="G671" s="395"/>
      <c r="H671" s="388"/>
      <c r="I671" s="389"/>
      <c r="J671" s="389"/>
      <c r="K671" s="389"/>
      <c r="L671" s="460"/>
      <c r="M671" s="389"/>
      <c r="N671" s="389"/>
      <c r="O671" s="389"/>
      <c r="P671" s="389"/>
      <c r="Q671" s="389"/>
      <c r="R671" s="388"/>
      <c r="S671" s="388"/>
      <c r="T671" s="388"/>
      <c r="U671" s="388"/>
      <c r="V671" s="388"/>
      <c r="W671" s="9"/>
      <c r="X671" s="9"/>
      <c r="Y671" s="9"/>
      <c r="Z671" s="9"/>
    </row>
    <row r="672">
      <c r="A672" s="388"/>
      <c r="B672" s="396"/>
      <c r="C672" s="396"/>
      <c r="D672" s="396"/>
      <c r="E672" s="388"/>
      <c r="F672" s="395"/>
      <c r="G672" s="395"/>
      <c r="H672" s="388"/>
      <c r="I672" s="389"/>
      <c r="J672" s="389"/>
      <c r="K672" s="389"/>
      <c r="L672" s="460"/>
      <c r="M672" s="389"/>
      <c r="N672" s="389"/>
      <c r="O672" s="389"/>
      <c r="P672" s="389"/>
      <c r="Q672" s="389"/>
      <c r="R672" s="388"/>
      <c r="S672" s="388"/>
      <c r="T672" s="388"/>
      <c r="U672" s="388"/>
      <c r="V672" s="388"/>
      <c r="W672" s="9"/>
      <c r="X672" s="9"/>
      <c r="Y672" s="9"/>
      <c r="Z672" s="9"/>
    </row>
    <row r="673">
      <c r="A673" s="388"/>
      <c r="B673" s="396"/>
      <c r="C673" s="396"/>
      <c r="D673" s="396"/>
      <c r="E673" s="388"/>
      <c r="F673" s="395"/>
      <c r="G673" s="395"/>
      <c r="H673" s="388"/>
      <c r="I673" s="389"/>
      <c r="J673" s="389"/>
      <c r="K673" s="389"/>
      <c r="L673" s="460"/>
      <c r="M673" s="389"/>
      <c r="N673" s="389"/>
      <c r="O673" s="389"/>
      <c r="P673" s="389"/>
      <c r="Q673" s="389"/>
      <c r="R673" s="388"/>
      <c r="S673" s="388"/>
      <c r="T673" s="388"/>
      <c r="U673" s="388"/>
      <c r="V673" s="388"/>
      <c r="W673" s="9"/>
      <c r="X673" s="9"/>
      <c r="Y673" s="9"/>
      <c r="Z673" s="9"/>
    </row>
    <row r="674">
      <c r="A674" s="388"/>
      <c r="B674" s="396"/>
      <c r="C674" s="396"/>
      <c r="D674" s="396"/>
      <c r="E674" s="388"/>
      <c r="F674" s="395"/>
      <c r="G674" s="395"/>
      <c r="H674" s="388"/>
      <c r="I674" s="389"/>
      <c r="J674" s="389"/>
      <c r="K674" s="389"/>
      <c r="L674" s="460"/>
      <c r="M674" s="389"/>
      <c r="N674" s="389"/>
      <c r="O674" s="389"/>
      <c r="P674" s="389"/>
      <c r="Q674" s="389"/>
      <c r="R674" s="388"/>
      <c r="S674" s="388"/>
      <c r="T674" s="388"/>
      <c r="U674" s="388"/>
      <c r="V674" s="388"/>
      <c r="W674" s="9"/>
      <c r="X674" s="9"/>
      <c r="Y674" s="9"/>
      <c r="Z674" s="9"/>
    </row>
    <row r="675">
      <c r="A675" s="388"/>
      <c r="B675" s="396"/>
      <c r="C675" s="396"/>
      <c r="D675" s="396"/>
      <c r="E675" s="388"/>
      <c r="F675" s="395"/>
      <c r="G675" s="395"/>
      <c r="H675" s="388"/>
      <c r="I675" s="389"/>
      <c r="J675" s="389"/>
      <c r="K675" s="389"/>
      <c r="L675" s="460"/>
      <c r="M675" s="389"/>
      <c r="N675" s="389"/>
      <c r="O675" s="389"/>
      <c r="P675" s="389"/>
      <c r="Q675" s="389"/>
      <c r="R675" s="388"/>
      <c r="S675" s="388"/>
      <c r="T675" s="388"/>
      <c r="U675" s="388"/>
      <c r="V675" s="388"/>
      <c r="W675" s="9"/>
      <c r="X675" s="9"/>
      <c r="Y675" s="9"/>
      <c r="Z675" s="9"/>
    </row>
    <row r="676">
      <c r="A676" s="388"/>
      <c r="B676" s="396"/>
      <c r="C676" s="396"/>
      <c r="D676" s="396"/>
      <c r="E676" s="388"/>
      <c r="F676" s="395"/>
      <c r="G676" s="395"/>
      <c r="H676" s="388"/>
      <c r="I676" s="389"/>
      <c r="J676" s="389"/>
      <c r="K676" s="389"/>
      <c r="L676" s="460"/>
      <c r="M676" s="389"/>
      <c r="N676" s="389"/>
      <c r="O676" s="389"/>
      <c r="P676" s="389"/>
      <c r="Q676" s="389"/>
      <c r="R676" s="388"/>
      <c r="S676" s="388"/>
      <c r="T676" s="388"/>
      <c r="U676" s="388"/>
      <c r="V676" s="388"/>
      <c r="W676" s="9"/>
      <c r="X676" s="9"/>
      <c r="Y676" s="9"/>
      <c r="Z676" s="9"/>
    </row>
    <row r="677">
      <c r="A677" s="388"/>
      <c r="B677" s="396"/>
      <c r="C677" s="396"/>
      <c r="D677" s="396"/>
      <c r="E677" s="388"/>
      <c r="F677" s="395"/>
      <c r="G677" s="395"/>
      <c r="H677" s="388"/>
      <c r="I677" s="389"/>
      <c r="J677" s="389"/>
      <c r="K677" s="389"/>
      <c r="L677" s="460"/>
      <c r="M677" s="389"/>
      <c r="N677" s="389"/>
      <c r="O677" s="389"/>
      <c r="P677" s="389"/>
      <c r="Q677" s="389"/>
      <c r="R677" s="388"/>
      <c r="S677" s="388"/>
      <c r="T677" s="388"/>
      <c r="U677" s="388"/>
      <c r="V677" s="388"/>
      <c r="W677" s="9"/>
      <c r="X677" s="9"/>
      <c r="Y677" s="9"/>
      <c r="Z677" s="9"/>
    </row>
    <row r="678">
      <c r="A678" s="388"/>
      <c r="B678" s="396"/>
      <c r="C678" s="396"/>
      <c r="D678" s="396"/>
      <c r="E678" s="388"/>
      <c r="F678" s="395"/>
      <c r="G678" s="395"/>
      <c r="H678" s="388"/>
      <c r="I678" s="389"/>
      <c r="J678" s="389"/>
      <c r="K678" s="389"/>
      <c r="L678" s="460"/>
      <c r="M678" s="389"/>
      <c r="N678" s="389"/>
      <c r="O678" s="389"/>
      <c r="P678" s="389"/>
      <c r="Q678" s="389"/>
      <c r="R678" s="388"/>
      <c r="S678" s="388"/>
      <c r="T678" s="388"/>
      <c r="U678" s="388"/>
      <c r="V678" s="388"/>
      <c r="W678" s="9"/>
      <c r="X678" s="9"/>
      <c r="Y678" s="9"/>
      <c r="Z678" s="9"/>
    </row>
    <row r="679">
      <c r="A679" s="388"/>
      <c r="B679" s="396"/>
      <c r="C679" s="396"/>
      <c r="D679" s="396"/>
      <c r="E679" s="388"/>
      <c r="F679" s="395"/>
      <c r="G679" s="395"/>
      <c r="H679" s="388"/>
      <c r="I679" s="389"/>
      <c r="J679" s="389"/>
      <c r="K679" s="389"/>
      <c r="L679" s="460"/>
      <c r="M679" s="389"/>
      <c r="N679" s="389"/>
      <c r="O679" s="389"/>
      <c r="P679" s="389"/>
      <c r="Q679" s="389"/>
      <c r="R679" s="388"/>
      <c r="S679" s="388"/>
      <c r="T679" s="388"/>
      <c r="U679" s="388"/>
      <c r="V679" s="388"/>
      <c r="W679" s="9"/>
      <c r="X679" s="9"/>
      <c r="Y679" s="9"/>
      <c r="Z679" s="9"/>
    </row>
    <row r="680">
      <c r="A680" s="388"/>
      <c r="B680" s="396"/>
      <c r="C680" s="396"/>
      <c r="D680" s="396"/>
      <c r="E680" s="388"/>
      <c r="F680" s="395"/>
      <c r="G680" s="395"/>
      <c r="H680" s="388"/>
      <c r="I680" s="389"/>
      <c r="J680" s="389"/>
      <c r="K680" s="389"/>
      <c r="L680" s="460"/>
      <c r="M680" s="389"/>
      <c r="N680" s="389"/>
      <c r="O680" s="389"/>
      <c r="P680" s="389"/>
      <c r="Q680" s="389"/>
      <c r="R680" s="388"/>
      <c r="S680" s="388"/>
      <c r="T680" s="388"/>
      <c r="U680" s="388"/>
      <c r="V680" s="388"/>
      <c r="W680" s="9"/>
      <c r="X680" s="9"/>
      <c r="Y680" s="9"/>
      <c r="Z680" s="9"/>
    </row>
    <row r="681">
      <c r="A681" s="388"/>
      <c r="B681" s="396"/>
      <c r="C681" s="396"/>
      <c r="D681" s="396"/>
      <c r="E681" s="388"/>
      <c r="F681" s="395"/>
      <c r="G681" s="395"/>
      <c r="H681" s="388"/>
      <c r="I681" s="389"/>
      <c r="J681" s="389"/>
      <c r="K681" s="389"/>
      <c r="L681" s="460"/>
      <c r="M681" s="389"/>
      <c r="N681" s="389"/>
      <c r="O681" s="389"/>
      <c r="P681" s="389"/>
      <c r="Q681" s="389"/>
      <c r="R681" s="388"/>
      <c r="S681" s="388"/>
      <c r="T681" s="388"/>
      <c r="U681" s="388"/>
      <c r="V681" s="388"/>
      <c r="W681" s="9"/>
      <c r="X681" s="9"/>
      <c r="Y681" s="9"/>
      <c r="Z681" s="9"/>
    </row>
    <row r="682">
      <c r="A682" s="388"/>
      <c r="B682" s="396"/>
      <c r="C682" s="396"/>
      <c r="D682" s="396"/>
      <c r="E682" s="388"/>
      <c r="F682" s="395"/>
      <c r="G682" s="395"/>
      <c r="H682" s="388"/>
      <c r="I682" s="389"/>
      <c r="J682" s="389"/>
      <c r="K682" s="389"/>
      <c r="L682" s="460"/>
      <c r="M682" s="389"/>
      <c r="N682" s="389"/>
      <c r="O682" s="389"/>
      <c r="P682" s="389"/>
      <c r="Q682" s="389"/>
      <c r="R682" s="388"/>
      <c r="S682" s="388"/>
      <c r="T682" s="388"/>
      <c r="U682" s="388"/>
      <c r="V682" s="388"/>
      <c r="W682" s="9"/>
      <c r="X682" s="9"/>
      <c r="Y682" s="9"/>
      <c r="Z682" s="9"/>
    </row>
    <row r="683">
      <c r="A683" s="388"/>
      <c r="B683" s="396"/>
      <c r="C683" s="396"/>
      <c r="D683" s="396"/>
      <c r="E683" s="388"/>
      <c r="F683" s="395"/>
      <c r="G683" s="395"/>
      <c r="H683" s="388"/>
      <c r="I683" s="389"/>
      <c r="J683" s="389"/>
      <c r="K683" s="389"/>
      <c r="L683" s="460"/>
      <c r="M683" s="389"/>
      <c r="N683" s="389"/>
      <c r="O683" s="389"/>
      <c r="P683" s="389"/>
      <c r="Q683" s="389"/>
      <c r="R683" s="388"/>
      <c r="S683" s="388"/>
      <c r="T683" s="388"/>
      <c r="U683" s="388"/>
      <c r="V683" s="388"/>
      <c r="W683" s="9"/>
      <c r="X683" s="9"/>
      <c r="Y683" s="9"/>
      <c r="Z683" s="9"/>
    </row>
    <row r="684">
      <c r="A684" s="388"/>
      <c r="B684" s="396"/>
      <c r="C684" s="396"/>
      <c r="D684" s="396"/>
      <c r="E684" s="388"/>
      <c r="F684" s="395"/>
      <c r="G684" s="395"/>
      <c r="H684" s="388"/>
      <c r="I684" s="389"/>
      <c r="J684" s="389"/>
      <c r="K684" s="389"/>
      <c r="L684" s="460"/>
      <c r="M684" s="389"/>
      <c r="N684" s="389"/>
      <c r="O684" s="389"/>
      <c r="P684" s="389"/>
      <c r="Q684" s="389"/>
      <c r="R684" s="388"/>
      <c r="S684" s="388"/>
      <c r="T684" s="388"/>
      <c r="U684" s="388"/>
      <c r="V684" s="388"/>
      <c r="W684" s="9"/>
      <c r="X684" s="9"/>
      <c r="Y684" s="9"/>
      <c r="Z684" s="9"/>
    </row>
    <row r="685">
      <c r="A685" s="388"/>
      <c r="B685" s="396"/>
      <c r="C685" s="396"/>
      <c r="D685" s="396"/>
      <c r="E685" s="388"/>
      <c r="F685" s="395"/>
      <c r="G685" s="395"/>
      <c r="H685" s="388"/>
      <c r="I685" s="389"/>
      <c r="J685" s="389"/>
      <c r="K685" s="389"/>
      <c r="L685" s="460"/>
      <c r="M685" s="389"/>
      <c r="N685" s="389"/>
      <c r="O685" s="389"/>
      <c r="P685" s="389"/>
      <c r="Q685" s="389"/>
      <c r="R685" s="388"/>
      <c r="S685" s="388"/>
      <c r="T685" s="388"/>
      <c r="U685" s="388"/>
      <c r="V685" s="388"/>
      <c r="W685" s="9"/>
      <c r="X685" s="9"/>
      <c r="Y685" s="9"/>
      <c r="Z685" s="9"/>
    </row>
    <row r="686">
      <c r="A686" s="388"/>
      <c r="B686" s="396"/>
      <c r="C686" s="396"/>
      <c r="D686" s="396"/>
      <c r="E686" s="388"/>
      <c r="F686" s="395"/>
      <c r="G686" s="395"/>
      <c r="H686" s="388"/>
      <c r="I686" s="389"/>
      <c r="J686" s="389"/>
      <c r="K686" s="389"/>
      <c r="L686" s="460"/>
      <c r="M686" s="389"/>
      <c r="N686" s="389"/>
      <c r="O686" s="389"/>
      <c r="P686" s="389"/>
      <c r="Q686" s="389"/>
      <c r="R686" s="388"/>
      <c r="S686" s="388"/>
      <c r="T686" s="388"/>
      <c r="U686" s="388"/>
      <c r="V686" s="388"/>
      <c r="W686" s="9"/>
      <c r="X686" s="9"/>
      <c r="Y686" s="9"/>
      <c r="Z686" s="9"/>
    </row>
    <row r="687">
      <c r="A687" s="388"/>
      <c r="B687" s="396"/>
      <c r="C687" s="396"/>
      <c r="D687" s="396"/>
      <c r="E687" s="388"/>
      <c r="F687" s="395"/>
      <c r="G687" s="395"/>
      <c r="H687" s="388"/>
      <c r="I687" s="389"/>
      <c r="J687" s="389"/>
      <c r="K687" s="389"/>
      <c r="L687" s="460"/>
      <c r="M687" s="389"/>
      <c r="N687" s="389"/>
      <c r="O687" s="389"/>
      <c r="P687" s="389"/>
      <c r="Q687" s="389"/>
      <c r="R687" s="388"/>
      <c r="S687" s="388"/>
      <c r="T687" s="388"/>
      <c r="U687" s="388"/>
      <c r="V687" s="388"/>
      <c r="W687" s="9"/>
      <c r="X687" s="9"/>
      <c r="Y687" s="9"/>
      <c r="Z687" s="9"/>
    </row>
    <row r="688">
      <c r="A688" s="388"/>
      <c r="B688" s="396"/>
      <c r="C688" s="396"/>
      <c r="D688" s="396"/>
      <c r="E688" s="388"/>
      <c r="F688" s="395"/>
      <c r="G688" s="395"/>
      <c r="H688" s="388"/>
      <c r="I688" s="389"/>
      <c r="J688" s="389"/>
      <c r="K688" s="389"/>
      <c r="L688" s="460"/>
      <c r="M688" s="389"/>
      <c r="N688" s="389"/>
      <c r="O688" s="389"/>
      <c r="P688" s="389"/>
      <c r="Q688" s="389"/>
      <c r="R688" s="388"/>
      <c r="S688" s="388"/>
      <c r="T688" s="388"/>
      <c r="U688" s="388"/>
      <c r="V688" s="388"/>
      <c r="W688" s="9"/>
      <c r="X688" s="9"/>
      <c r="Y688" s="9"/>
      <c r="Z688" s="9"/>
    </row>
    <row r="689">
      <c r="A689" s="388"/>
      <c r="B689" s="396"/>
      <c r="C689" s="396"/>
      <c r="D689" s="396"/>
      <c r="E689" s="388"/>
      <c r="F689" s="395"/>
      <c r="G689" s="395"/>
      <c r="H689" s="388"/>
      <c r="I689" s="389"/>
      <c r="J689" s="389"/>
      <c r="K689" s="389"/>
      <c r="L689" s="460"/>
      <c r="M689" s="389"/>
      <c r="N689" s="389"/>
      <c r="O689" s="389"/>
      <c r="P689" s="389"/>
      <c r="Q689" s="389"/>
      <c r="R689" s="388"/>
      <c r="S689" s="388"/>
      <c r="T689" s="388"/>
      <c r="U689" s="388"/>
      <c r="V689" s="388"/>
      <c r="W689" s="9"/>
      <c r="X689" s="9"/>
      <c r="Y689" s="9"/>
      <c r="Z689" s="9"/>
    </row>
    <row r="690">
      <c r="A690" s="388"/>
      <c r="B690" s="396"/>
      <c r="C690" s="396"/>
      <c r="D690" s="396"/>
      <c r="E690" s="388"/>
      <c r="F690" s="395"/>
      <c r="G690" s="395"/>
      <c r="H690" s="388"/>
      <c r="I690" s="389"/>
      <c r="J690" s="389"/>
      <c r="K690" s="389"/>
      <c r="L690" s="460"/>
      <c r="M690" s="389"/>
      <c r="N690" s="389"/>
      <c r="O690" s="389"/>
      <c r="P690" s="389"/>
      <c r="Q690" s="389"/>
      <c r="R690" s="388"/>
      <c r="S690" s="388"/>
      <c r="T690" s="388"/>
      <c r="U690" s="388"/>
      <c r="V690" s="388"/>
      <c r="W690" s="9"/>
      <c r="X690" s="9"/>
      <c r="Y690" s="9"/>
      <c r="Z690" s="9"/>
    </row>
    <row r="691">
      <c r="A691" s="388"/>
      <c r="B691" s="396"/>
      <c r="C691" s="396"/>
      <c r="D691" s="396"/>
      <c r="E691" s="388"/>
      <c r="F691" s="395"/>
      <c r="G691" s="395"/>
      <c r="H691" s="388"/>
      <c r="I691" s="389"/>
      <c r="J691" s="389"/>
      <c r="K691" s="389"/>
      <c r="L691" s="460"/>
      <c r="M691" s="389"/>
      <c r="N691" s="389"/>
      <c r="O691" s="389"/>
      <c r="P691" s="389"/>
      <c r="Q691" s="389"/>
      <c r="R691" s="388"/>
      <c r="S691" s="388"/>
      <c r="T691" s="388"/>
      <c r="U691" s="388"/>
      <c r="V691" s="388"/>
      <c r="W691" s="9"/>
      <c r="X691" s="9"/>
      <c r="Y691" s="9"/>
      <c r="Z691" s="9"/>
    </row>
    <row r="692">
      <c r="A692" s="388"/>
      <c r="B692" s="396"/>
      <c r="C692" s="396"/>
      <c r="D692" s="396"/>
      <c r="E692" s="388"/>
      <c r="F692" s="395"/>
      <c r="G692" s="395"/>
      <c r="H692" s="388"/>
      <c r="I692" s="389"/>
      <c r="J692" s="389"/>
      <c r="K692" s="389"/>
      <c r="L692" s="460"/>
      <c r="M692" s="389"/>
      <c r="N692" s="389"/>
      <c r="O692" s="389"/>
      <c r="P692" s="389"/>
      <c r="Q692" s="389"/>
      <c r="R692" s="388"/>
      <c r="S692" s="388"/>
      <c r="T692" s="388"/>
      <c r="U692" s="388"/>
      <c r="V692" s="388"/>
      <c r="W692" s="9"/>
      <c r="X692" s="9"/>
      <c r="Y692" s="9"/>
      <c r="Z692" s="9"/>
    </row>
    <row r="693">
      <c r="A693" s="388"/>
      <c r="B693" s="396"/>
      <c r="C693" s="396"/>
      <c r="D693" s="396"/>
      <c r="E693" s="388"/>
      <c r="F693" s="395"/>
      <c r="G693" s="395"/>
      <c r="H693" s="388"/>
      <c r="I693" s="389"/>
      <c r="J693" s="389"/>
      <c r="K693" s="389"/>
      <c r="L693" s="460"/>
      <c r="M693" s="389"/>
      <c r="N693" s="389"/>
      <c r="O693" s="389"/>
      <c r="P693" s="389"/>
      <c r="Q693" s="389"/>
      <c r="R693" s="388"/>
      <c r="S693" s="388"/>
      <c r="T693" s="388"/>
      <c r="U693" s="388"/>
      <c r="V693" s="388"/>
      <c r="W693" s="9"/>
      <c r="X693" s="9"/>
      <c r="Y693" s="9"/>
      <c r="Z693" s="9"/>
    </row>
    <row r="694">
      <c r="A694" s="388"/>
      <c r="B694" s="396"/>
      <c r="C694" s="396"/>
      <c r="D694" s="396"/>
      <c r="E694" s="388"/>
      <c r="F694" s="395"/>
      <c r="G694" s="395"/>
      <c r="H694" s="388"/>
      <c r="I694" s="389"/>
      <c r="J694" s="389"/>
      <c r="K694" s="389"/>
      <c r="L694" s="460"/>
      <c r="M694" s="389"/>
      <c r="N694" s="389"/>
      <c r="O694" s="389"/>
      <c r="P694" s="389"/>
      <c r="Q694" s="389"/>
      <c r="R694" s="388"/>
      <c r="S694" s="388"/>
      <c r="T694" s="388"/>
      <c r="U694" s="388"/>
      <c r="V694" s="388"/>
      <c r="W694" s="9"/>
      <c r="X694" s="9"/>
      <c r="Y694" s="9"/>
      <c r="Z694" s="9"/>
    </row>
    <row r="695">
      <c r="A695" s="388"/>
      <c r="B695" s="396"/>
      <c r="C695" s="396"/>
      <c r="D695" s="396"/>
      <c r="E695" s="388"/>
      <c r="F695" s="395"/>
      <c r="G695" s="395"/>
      <c r="H695" s="388"/>
      <c r="I695" s="389"/>
      <c r="J695" s="389"/>
      <c r="K695" s="389"/>
      <c r="L695" s="460"/>
      <c r="M695" s="389"/>
      <c r="N695" s="389"/>
      <c r="O695" s="389"/>
      <c r="P695" s="389"/>
      <c r="Q695" s="389"/>
      <c r="R695" s="388"/>
      <c r="S695" s="388"/>
      <c r="T695" s="388"/>
      <c r="U695" s="388"/>
      <c r="V695" s="388"/>
      <c r="W695" s="9"/>
      <c r="X695" s="9"/>
      <c r="Y695" s="9"/>
      <c r="Z695" s="9"/>
    </row>
    <row r="696">
      <c r="A696" s="388"/>
      <c r="B696" s="396"/>
      <c r="C696" s="396"/>
      <c r="D696" s="396"/>
      <c r="E696" s="388"/>
      <c r="F696" s="395"/>
      <c r="G696" s="395"/>
      <c r="H696" s="388"/>
      <c r="I696" s="389"/>
      <c r="J696" s="389"/>
      <c r="K696" s="389"/>
      <c r="L696" s="460"/>
      <c r="M696" s="389"/>
      <c r="N696" s="389"/>
      <c r="O696" s="389"/>
      <c r="P696" s="389"/>
      <c r="Q696" s="389"/>
      <c r="R696" s="388"/>
      <c r="S696" s="388"/>
      <c r="T696" s="388"/>
      <c r="U696" s="388"/>
      <c r="V696" s="388"/>
      <c r="W696" s="9"/>
      <c r="X696" s="9"/>
      <c r="Y696" s="9"/>
      <c r="Z696" s="9"/>
    </row>
    <row r="697">
      <c r="A697" s="388"/>
      <c r="B697" s="396"/>
      <c r="C697" s="396"/>
      <c r="D697" s="396"/>
      <c r="E697" s="388"/>
      <c r="F697" s="395"/>
      <c r="G697" s="395"/>
      <c r="H697" s="388"/>
      <c r="I697" s="389"/>
      <c r="J697" s="389"/>
      <c r="K697" s="389"/>
      <c r="L697" s="460"/>
      <c r="M697" s="389"/>
      <c r="N697" s="389"/>
      <c r="O697" s="389"/>
      <c r="P697" s="389"/>
      <c r="Q697" s="389"/>
      <c r="R697" s="388"/>
      <c r="S697" s="388"/>
      <c r="T697" s="388"/>
      <c r="U697" s="388"/>
      <c r="V697" s="388"/>
      <c r="W697" s="9"/>
      <c r="X697" s="9"/>
      <c r="Y697" s="9"/>
      <c r="Z697" s="9"/>
    </row>
    <row r="698">
      <c r="A698" s="388"/>
      <c r="B698" s="396"/>
      <c r="C698" s="396"/>
      <c r="D698" s="396"/>
      <c r="E698" s="388"/>
      <c r="F698" s="395"/>
      <c r="G698" s="395"/>
      <c r="H698" s="388"/>
      <c r="I698" s="389"/>
      <c r="J698" s="389"/>
      <c r="K698" s="389"/>
      <c r="L698" s="460"/>
      <c r="M698" s="389"/>
      <c r="N698" s="389"/>
      <c r="O698" s="389"/>
      <c r="P698" s="389"/>
      <c r="Q698" s="389"/>
      <c r="R698" s="388"/>
      <c r="S698" s="388"/>
      <c r="T698" s="388"/>
      <c r="U698" s="388"/>
      <c r="V698" s="388"/>
      <c r="W698" s="9"/>
      <c r="X698" s="9"/>
      <c r="Y698" s="9"/>
      <c r="Z698" s="9"/>
    </row>
    <row r="699">
      <c r="A699" s="388"/>
      <c r="B699" s="396"/>
      <c r="C699" s="396"/>
      <c r="D699" s="396"/>
      <c r="E699" s="388"/>
      <c r="F699" s="395"/>
      <c r="G699" s="395"/>
      <c r="H699" s="388"/>
      <c r="I699" s="389"/>
      <c r="J699" s="389"/>
      <c r="K699" s="389"/>
      <c r="L699" s="460"/>
      <c r="M699" s="389"/>
      <c r="N699" s="389"/>
      <c r="O699" s="389"/>
      <c r="P699" s="389"/>
      <c r="Q699" s="389"/>
      <c r="R699" s="388"/>
      <c r="S699" s="388"/>
      <c r="T699" s="388"/>
      <c r="U699" s="388"/>
      <c r="V699" s="388"/>
      <c r="W699" s="9"/>
      <c r="X699" s="9"/>
      <c r="Y699" s="9"/>
      <c r="Z699" s="9"/>
    </row>
    <row r="700">
      <c r="A700" s="388"/>
      <c r="B700" s="396"/>
      <c r="C700" s="396"/>
      <c r="D700" s="396"/>
      <c r="E700" s="388"/>
      <c r="F700" s="395"/>
      <c r="G700" s="395"/>
      <c r="H700" s="388"/>
      <c r="I700" s="389"/>
      <c r="J700" s="389"/>
      <c r="K700" s="389"/>
      <c r="L700" s="460"/>
      <c r="M700" s="389"/>
      <c r="N700" s="389"/>
      <c r="O700" s="389"/>
      <c r="P700" s="389"/>
      <c r="Q700" s="389"/>
      <c r="R700" s="388"/>
      <c r="S700" s="388"/>
      <c r="T700" s="388"/>
      <c r="U700" s="388"/>
      <c r="V700" s="388"/>
      <c r="W700" s="9"/>
      <c r="X700" s="9"/>
      <c r="Y700" s="9"/>
      <c r="Z700" s="9"/>
    </row>
    <row r="701">
      <c r="A701" s="388"/>
      <c r="B701" s="396"/>
      <c r="C701" s="396"/>
      <c r="D701" s="396"/>
      <c r="E701" s="388"/>
      <c r="F701" s="395"/>
      <c r="G701" s="395"/>
      <c r="H701" s="388"/>
      <c r="I701" s="389"/>
      <c r="J701" s="389"/>
      <c r="K701" s="389"/>
      <c r="L701" s="460"/>
      <c r="M701" s="389"/>
      <c r="N701" s="389"/>
      <c r="O701" s="389"/>
      <c r="P701" s="389"/>
      <c r="Q701" s="389"/>
      <c r="R701" s="388"/>
      <c r="S701" s="388"/>
      <c r="T701" s="388"/>
      <c r="U701" s="388"/>
      <c r="V701" s="388"/>
      <c r="W701" s="9"/>
      <c r="X701" s="9"/>
      <c r="Y701" s="9"/>
      <c r="Z701" s="9"/>
    </row>
    <row r="702">
      <c r="A702" s="388"/>
      <c r="B702" s="396"/>
      <c r="C702" s="396"/>
      <c r="D702" s="396"/>
      <c r="E702" s="388"/>
      <c r="F702" s="395"/>
      <c r="G702" s="395"/>
      <c r="H702" s="388"/>
      <c r="I702" s="389"/>
      <c r="J702" s="389"/>
      <c r="K702" s="389"/>
      <c r="L702" s="460"/>
      <c r="M702" s="389"/>
      <c r="N702" s="389"/>
      <c r="O702" s="389"/>
      <c r="P702" s="389"/>
      <c r="Q702" s="389"/>
      <c r="R702" s="388"/>
      <c r="S702" s="388"/>
      <c r="T702" s="388"/>
      <c r="U702" s="388"/>
      <c r="V702" s="388"/>
      <c r="W702" s="9"/>
      <c r="X702" s="9"/>
      <c r="Y702" s="9"/>
      <c r="Z702" s="9"/>
    </row>
    <row r="703">
      <c r="A703" s="388"/>
      <c r="B703" s="396"/>
      <c r="C703" s="396"/>
      <c r="D703" s="396"/>
      <c r="E703" s="388"/>
      <c r="F703" s="395"/>
      <c r="G703" s="395"/>
      <c r="H703" s="388"/>
      <c r="I703" s="389"/>
      <c r="J703" s="389"/>
      <c r="K703" s="389"/>
      <c r="L703" s="460"/>
      <c r="M703" s="389"/>
      <c r="N703" s="389"/>
      <c r="O703" s="389"/>
      <c r="P703" s="389"/>
      <c r="Q703" s="389"/>
      <c r="R703" s="388"/>
      <c r="S703" s="388"/>
      <c r="T703" s="388"/>
      <c r="U703" s="388"/>
      <c r="V703" s="388"/>
      <c r="W703" s="9"/>
      <c r="X703" s="9"/>
      <c r="Y703" s="9"/>
      <c r="Z703" s="9"/>
    </row>
    <row r="704">
      <c r="A704" s="388"/>
      <c r="B704" s="396"/>
      <c r="C704" s="396"/>
      <c r="D704" s="396"/>
      <c r="E704" s="388"/>
      <c r="F704" s="395"/>
      <c r="G704" s="395"/>
      <c r="H704" s="388"/>
      <c r="I704" s="389"/>
      <c r="J704" s="389"/>
      <c r="K704" s="389"/>
      <c r="L704" s="460"/>
      <c r="M704" s="389"/>
      <c r="N704" s="389"/>
      <c r="O704" s="389"/>
      <c r="P704" s="389"/>
      <c r="Q704" s="389"/>
      <c r="R704" s="388"/>
      <c r="S704" s="388"/>
      <c r="T704" s="388"/>
      <c r="U704" s="388"/>
      <c r="V704" s="388"/>
      <c r="W704" s="9"/>
      <c r="X704" s="9"/>
      <c r="Y704" s="9"/>
      <c r="Z704" s="9"/>
    </row>
    <row r="705">
      <c r="A705" s="388"/>
      <c r="B705" s="396"/>
      <c r="C705" s="396"/>
      <c r="D705" s="396"/>
      <c r="E705" s="388"/>
      <c r="F705" s="395"/>
      <c r="G705" s="395"/>
      <c r="H705" s="388"/>
      <c r="I705" s="389"/>
      <c r="J705" s="389"/>
      <c r="K705" s="389"/>
      <c r="L705" s="460"/>
      <c r="M705" s="389"/>
      <c r="N705" s="389"/>
      <c r="O705" s="389"/>
      <c r="P705" s="389"/>
      <c r="Q705" s="389"/>
      <c r="R705" s="388"/>
      <c r="S705" s="388"/>
      <c r="T705" s="388"/>
      <c r="U705" s="388"/>
      <c r="V705" s="388"/>
      <c r="W705" s="9"/>
      <c r="X705" s="9"/>
      <c r="Y705" s="9"/>
      <c r="Z705" s="9"/>
    </row>
    <row r="706">
      <c r="A706" s="388"/>
      <c r="B706" s="396"/>
      <c r="C706" s="396"/>
      <c r="D706" s="396"/>
      <c r="E706" s="388"/>
      <c r="F706" s="395"/>
      <c r="G706" s="395"/>
      <c r="H706" s="388"/>
      <c r="I706" s="389"/>
      <c r="J706" s="389"/>
      <c r="K706" s="389"/>
      <c r="L706" s="460"/>
      <c r="M706" s="389"/>
      <c r="N706" s="389"/>
      <c r="O706" s="389"/>
      <c r="P706" s="389"/>
      <c r="Q706" s="389"/>
      <c r="R706" s="388"/>
      <c r="S706" s="388"/>
      <c r="T706" s="388"/>
      <c r="U706" s="388"/>
      <c r="V706" s="388"/>
      <c r="W706" s="9"/>
      <c r="X706" s="9"/>
      <c r="Y706" s="9"/>
      <c r="Z706" s="9"/>
    </row>
    <row r="707">
      <c r="A707" s="388"/>
      <c r="B707" s="396"/>
      <c r="C707" s="396"/>
      <c r="D707" s="396"/>
      <c r="E707" s="388"/>
      <c r="F707" s="395"/>
      <c r="G707" s="395"/>
      <c r="H707" s="388"/>
      <c r="I707" s="389"/>
      <c r="J707" s="389"/>
      <c r="K707" s="389"/>
      <c r="L707" s="460"/>
      <c r="M707" s="389"/>
      <c r="N707" s="389"/>
      <c r="O707" s="389"/>
      <c r="P707" s="389"/>
      <c r="Q707" s="389"/>
      <c r="R707" s="388"/>
      <c r="S707" s="388"/>
      <c r="T707" s="388"/>
      <c r="U707" s="388"/>
      <c r="V707" s="388"/>
      <c r="W707" s="9"/>
      <c r="X707" s="9"/>
      <c r="Y707" s="9"/>
      <c r="Z707" s="9"/>
    </row>
    <row r="708">
      <c r="A708" s="388"/>
      <c r="B708" s="396"/>
      <c r="C708" s="396"/>
      <c r="D708" s="396"/>
      <c r="E708" s="388"/>
      <c r="F708" s="395"/>
      <c r="G708" s="395"/>
      <c r="H708" s="388"/>
      <c r="I708" s="389"/>
      <c r="J708" s="389"/>
      <c r="K708" s="389"/>
      <c r="L708" s="460"/>
      <c r="M708" s="389"/>
      <c r="N708" s="389"/>
      <c r="O708" s="389"/>
      <c r="P708" s="389"/>
      <c r="Q708" s="389"/>
      <c r="R708" s="388"/>
      <c r="S708" s="388"/>
      <c r="T708" s="388"/>
      <c r="U708" s="388"/>
      <c r="V708" s="388"/>
      <c r="W708" s="9"/>
      <c r="X708" s="9"/>
      <c r="Y708" s="9"/>
      <c r="Z708" s="9"/>
    </row>
    <row r="709">
      <c r="A709" s="388"/>
      <c r="B709" s="396"/>
      <c r="C709" s="396"/>
      <c r="D709" s="396"/>
      <c r="E709" s="388"/>
      <c r="F709" s="395"/>
      <c r="G709" s="395"/>
      <c r="H709" s="388"/>
      <c r="I709" s="389"/>
      <c r="J709" s="389"/>
      <c r="K709" s="389"/>
      <c r="L709" s="460"/>
      <c r="M709" s="389"/>
      <c r="N709" s="389"/>
      <c r="O709" s="389"/>
      <c r="P709" s="389"/>
      <c r="Q709" s="389"/>
      <c r="R709" s="388"/>
      <c r="S709" s="388"/>
      <c r="T709" s="388"/>
      <c r="U709" s="388"/>
      <c r="V709" s="388"/>
      <c r="W709" s="9"/>
      <c r="X709" s="9"/>
      <c r="Y709" s="9"/>
      <c r="Z709" s="9"/>
    </row>
    <row r="710">
      <c r="A710" s="388"/>
      <c r="B710" s="396"/>
      <c r="C710" s="396"/>
      <c r="D710" s="396"/>
      <c r="E710" s="388"/>
      <c r="F710" s="395"/>
      <c r="G710" s="395"/>
      <c r="H710" s="388"/>
      <c r="I710" s="389"/>
      <c r="J710" s="389"/>
      <c r="K710" s="389"/>
      <c r="L710" s="460"/>
      <c r="M710" s="389"/>
      <c r="N710" s="389"/>
      <c r="O710" s="389"/>
      <c r="P710" s="389"/>
      <c r="Q710" s="389"/>
      <c r="R710" s="388"/>
      <c r="S710" s="388"/>
      <c r="T710" s="388"/>
      <c r="U710" s="388"/>
      <c r="V710" s="388"/>
      <c r="W710" s="9"/>
      <c r="X710" s="9"/>
      <c r="Y710" s="9"/>
      <c r="Z710" s="9"/>
    </row>
    <row r="711">
      <c r="A711" s="388"/>
      <c r="B711" s="396"/>
      <c r="C711" s="396"/>
      <c r="D711" s="396"/>
      <c r="E711" s="388"/>
      <c r="F711" s="395"/>
      <c r="G711" s="395"/>
      <c r="H711" s="388"/>
      <c r="I711" s="389"/>
      <c r="J711" s="389"/>
      <c r="K711" s="389"/>
      <c r="L711" s="460"/>
      <c r="M711" s="389"/>
      <c r="N711" s="389"/>
      <c r="O711" s="389"/>
      <c r="P711" s="389"/>
      <c r="Q711" s="389"/>
      <c r="R711" s="388"/>
      <c r="S711" s="388"/>
      <c r="T711" s="388"/>
      <c r="U711" s="388"/>
      <c r="V711" s="388"/>
      <c r="W711" s="9"/>
      <c r="X711" s="9"/>
      <c r="Y711" s="9"/>
      <c r="Z711" s="9"/>
    </row>
    <row r="712">
      <c r="A712" s="388"/>
      <c r="B712" s="396"/>
      <c r="C712" s="396"/>
      <c r="D712" s="396"/>
      <c r="E712" s="388"/>
      <c r="F712" s="395"/>
      <c r="G712" s="395"/>
      <c r="H712" s="388"/>
      <c r="I712" s="389"/>
      <c r="J712" s="389"/>
      <c r="K712" s="389"/>
      <c r="L712" s="460"/>
      <c r="M712" s="389"/>
      <c r="N712" s="389"/>
      <c r="O712" s="389"/>
      <c r="P712" s="389"/>
      <c r="Q712" s="389"/>
      <c r="R712" s="388"/>
      <c r="S712" s="388"/>
      <c r="T712" s="388"/>
      <c r="U712" s="388"/>
      <c r="V712" s="388"/>
      <c r="W712" s="9"/>
      <c r="X712" s="9"/>
      <c r="Y712" s="9"/>
      <c r="Z712" s="9"/>
    </row>
    <row r="713">
      <c r="A713" s="388"/>
      <c r="B713" s="396"/>
      <c r="C713" s="396"/>
      <c r="D713" s="396"/>
      <c r="E713" s="388"/>
      <c r="F713" s="395"/>
      <c r="G713" s="395"/>
      <c r="H713" s="388"/>
      <c r="I713" s="389"/>
      <c r="J713" s="389"/>
      <c r="K713" s="389"/>
      <c r="L713" s="460"/>
      <c r="M713" s="389"/>
      <c r="N713" s="389"/>
      <c r="O713" s="389"/>
      <c r="P713" s="389"/>
      <c r="Q713" s="389"/>
      <c r="R713" s="388"/>
      <c r="S713" s="388"/>
      <c r="T713" s="388"/>
      <c r="U713" s="388"/>
      <c r="V713" s="388"/>
      <c r="W713" s="9"/>
      <c r="X713" s="9"/>
      <c r="Y713" s="9"/>
      <c r="Z713" s="9"/>
    </row>
    <row r="714">
      <c r="A714" s="388"/>
      <c r="B714" s="396"/>
      <c r="C714" s="396"/>
      <c r="D714" s="396"/>
      <c r="E714" s="388"/>
      <c r="F714" s="395"/>
      <c r="G714" s="395"/>
      <c r="H714" s="388"/>
      <c r="I714" s="389"/>
      <c r="J714" s="389"/>
      <c r="K714" s="389"/>
      <c r="L714" s="460"/>
      <c r="M714" s="389"/>
      <c r="N714" s="389"/>
      <c r="O714" s="389"/>
      <c r="P714" s="389"/>
      <c r="Q714" s="389"/>
      <c r="R714" s="388"/>
      <c r="S714" s="388"/>
      <c r="T714" s="388"/>
      <c r="U714" s="388"/>
      <c r="V714" s="388"/>
      <c r="W714" s="9"/>
      <c r="X714" s="9"/>
      <c r="Y714" s="9"/>
      <c r="Z714" s="9"/>
    </row>
    <row r="715">
      <c r="A715" s="388"/>
      <c r="B715" s="396"/>
      <c r="C715" s="396"/>
      <c r="D715" s="396"/>
      <c r="E715" s="388"/>
      <c r="F715" s="395"/>
      <c r="G715" s="395"/>
      <c r="H715" s="388"/>
      <c r="I715" s="389"/>
      <c r="J715" s="389"/>
      <c r="K715" s="389"/>
      <c r="L715" s="460"/>
      <c r="M715" s="389"/>
      <c r="N715" s="389"/>
      <c r="O715" s="389"/>
      <c r="P715" s="389"/>
      <c r="Q715" s="389"/>
      <c r="R715" s="388"/>
      <c r="S715" s="388"/>
      <c r="T715" s="388"/>
      <c r="U715" s="388"/>
      <c r="V715" s="388"/>
      <c r="W715" s="9"/>
      <c r="X715" s="9"/>
      <c r="Y715" s="9"/>
      <c r="Z715" s="9"/>
    </row>
    <row r="716">
      <c r="A716" s="388"/>
      <c r="B716" s="396"/>
      <c r="C716" s="396"/>
      <c r="D716" s="396"/>
      <c r="E716" s="388"/>
      <c r="F716" s="395"/>
      <c r="G716" s="395"/>
      <c r="H716" s="388"/>
      <c r="I716" s="389"/>
      <c r="J716" s="389"/>
      <c r="K716" s="389"/>
      <c r="L716" s="460"/>
      <c r="M716" s="389"/>
      <c r="N716" s="389"/>
      <c r="O716" s="389"/>
      <c r="P716" s="389"/>
      <c r="Q716" s="389"/>
      <c r="R716" s="388"/>
      <c r="S716" s="388"/>
      <c r="T716" s="388"/>
      <c r="U716" s="388"/>
      <c r="V716" s="388"/>
      <c r="W716" s="9"/>
      <c r="X716" s="9"/>
      <c r="Y716" s="9"/>
      <c r="Z716" s="9"/>
    </row>
    <row r="717">
      <c r="A717" s="388"/>
      <c r="B717" s="396"/>
      <c r="C717" s="396"/>
      <c r="D717" s="396"/>
      <c r="E717" s="388"/>
      <c r="F717" s="395"/>
      <c r="G717" s="395"/>
      <c r="H717" s="388"/>
      <c r="I717" s="389"/>
      <c r="J717" s="389"/>
      <c r="K717" s="389"/>
      <c r="L717" s="460"/>
      <c r="M717" s="389"/>
      <c r="N717" s="389"/>
      <c r="O717" s="389"/>
      <c r="P717" s="389"/>
      <c r="Q717" s="389"/>
      <c r="R717" s="388"/>
      <c r="S717" s="388"/>
      <c r="T717" s="388"/>
      <c r="U717" s="388"/>
      <c r="V717" s="388"/>
      <c r="W717" s="9"/>
      <c r="X717" s="9"/>
      <c r="Y717" s="9"/>
      <c r="Z717" s="9"/>
    </row>
    <row r="718">
      <c r="A718" s="388"/>
      <c r="B718" s="396"/>
      <c r="C718" s="396"/>
      <c r="D718" s="396"/>
      <c r="E718" s="388"/>
      <c r="F718" s="395"/>
      <c r="G718" s="395"/>
      <c r="H718" s="388"/>
      <c r="I718" s="389"/>
      <c r="J718" s="389"/>
      <c r="K718" s="389"/>
      <c r="L718" s="460"/>
      <c r="M718" s="389"/>
      <c r="N718" s="389"/>
      <c r="O718" s="389"/>
      <c r="P718" s="389"/>
      <c r="Q718" s="389"/>
      <c r="R718" s="388"/>
      <c r="S718" s="388"/>
      <c r="T718" s="388"/>
      <c r="U718" s="388"/>
      <c r="V718" s="388"/>
      <c r="W718" s="9"/>
      <c r="X718" s="9"/>
      <c r="Y718" s="9"/>
      <c r="Z718" s="9"/>
    </row>
    <row r="719">
      <c r="A719" s="388"/>
      <c r="B719" s="396"/>
      <c r="C719" s="396"/>
      <c r="D719" s="396"/>
      <c r="E719" s="388"/>
      <c r="F719" s="395"/>
      <c r="G719" s="395"/>
      <c r="H719" s="388"/>
      <c r="I719" s="389"/>
      <c r="J719" s="389"/>
      <c r="K719" s="389"/>
      <c r="L719" s="460"/>
      <c r="M719" s="389"/>
      <c r="N719" s="389"/>
      <c r="O719" s="389"/>
      <c r="P719" s="389"/>
      <c r="Q719" s="389"/>
      <c r="R719" s="388"/>
      <c r="S719" s="388"/>
      <c r="T719" s="388"/>
      <c r="U719" s="388"/>
      <c r="V719" s="388"/>
      <c r="W719" s="9"/>
      <c r="X719" s="9"/>
      <c r="Y719" s="9"/>
      <c r="Z719" s="9"/>
    </row>
    <row r="720">
      <c r="A720" s="388"/>
      <c r="B720" s="396"/>
      <c r="C720" s="396"/>
      <c r="D720" s="396"/>
      <c r="E720" s="388"/>
      <c r="F720" s="395"/>
      <c r="G720" s="395"/>
      <c r="H720" s="388"/>
      <c r="I720" s="389"/>
      <c r="J720" s="389"/>
      <c r="K720" s="389"/>
      <c r="L720" s="460"/>
      <c r="M720" s="389"/>
      <c r="N720" s="389"/>
      <c r="O720" s="389"/>
      <c r="P720" s="389"/>
      <c r="Q720" s="389"/>
      <c r="R720" s="388"/>
      <c r="S720" s="388"/>
      <c r="T720" s="388"/>
      <c r="U720" s="388"/>
      <c r="V720" s="388"/>
      <c r="W720" s="9"/>
      <c r="X720" s="9"/>
      <c r="Y720" s="9"/>
      <c r="Z720" s="9"/>
    </row>
    <row r="721">
      <c r="A721" s="388"/>
      <c r="B721" s="396"/>
      <c r="C721" s="396"/>
      <c r="D721" s="396"/>
      <c r="E721" s="388"/>
      <c r="F721" s="395"/>
      <c r="G721" s="395"/>
      <c r="H721" s="388"/>
      <c r="I721" s="389"/>
      <c r="J721" s="389"/>
      <c r="K721" s="389"/>
      <c r="L721" s="460"/>
      <c r="M721" s="389"/>
      <c r="N721" s="389"/>
      <c r="O721" s="389"/>
      <c r="P721" s="389"/>
      <c r="Q721" s="389"/>
      <c r="R721" s="388"/>
      <c r="S721" s="388"/>
      <c r="T721" s="388"/>
      <c r="U721" s="388"/>
      <c r="V721" s="388"/>
      <c r="W721" s="9"/>
      <c r="X721" s="9"/>
      <c r="Y721" s="9"/>
      <c r="Z721" s="9"/>
    </row>
    <row r="722">
      <c r="A722" s="388"/>
      <c r="B722" s="396"/>
      <c r="C722" s="396"/>
      <c r="D722" s="396"/>
      <c r="E722" s="388"/>
      <c r="F722" s="395"/>
      <c r="G722" s="395"/>
      <c r="H722" s="388"/>
      <c r="I722" s="389"/>
      <c r="J722" s="389"/>
      <c r="K722" s="389"/>
      <c r="L722" s="460"/>
      <c r="M722" s="389"/>
      <c r="N722" s="389"/>
      <c r="O722" s="389"/>
      <c r="P722" s="389"/>
      <c r="Q722" s="389"/>
      <c r="R722" s="388"/>
      <c r="S722" s="388"/>
      <c r="T722" s="388"/>
      <c r="U722" s="388"/>
      <c r="V722" s="388"/>
      <c r="W722" s="9"/>
      <c r="X722" s="9"/>
      <c r="Y722" s="9"/>
      <c r="Z722" s="9"/>
    </row>
    <row r="723">
      <c r="A723" s="388"/>
      <c r="B723" s="396"/>
      <c r="C723" s="396"/>
      <c r="D723" s="396"/>
      <c r="E723" s="388"/>
      <c r="F723" s="395"/>
      <c r="G723" s="395"/>
      <c r="H723" s="388"/>
      <c r="I723" s="389"/>
      <c r="J723" s="389"/>
      <c r="K723" s="389"/>
      <c r="L723" s="460"/>
      <c r="M723" s="389"/>
      <c r="N723" s="389"/>
      <c r="O723" s="389"/>
      <c r="P723" s="389"/>
      <c r="Q723" s="389"/>
      <c r="R723" s="388"/>
      <c r="S723" s="388"/>
      <c r="T723" s="388"/>
      <c r="U723" s="388"/>
      <c r="V723" s="388"/>
      <c r="W723" s="9"/>
      <c r="X723" s="9"/>
      <c r="Y723" s="9"/>
      <c r="Z723" s="9"/>
    </row>
    <row r="724">
      <c r="A724" s="388"/>
      <c r="B724" s="396"/>
      <c r="C724" s="396"/>
      <c r="D724" s="396"/>
      <c r="E724" s="388"/>
      <c r="F724" s="395"/>
      <c r="G724" s="395"/>
      <c r="H724" s="388"/>
      <c r="I724" s="389"/>
      <c r="J724" s="389"/>
      <c r="K724" s="389"/>
      <c r="L724" s="460"/>
      <c r="M724" s="389"/>
      <c r="N724" s="389"/>
      <c r="O724" s="389"/>
      <c r="P724" s="389"/>
      <c r="Q724" s="389"/>
      <c r="R724" s="388"/>
      <c r="S724" s="388"/>
      <c r="T724" s="388"/>
      <c r="U724" s="388"/>
      <c r="V724" s="388"/>
      <c r="W724" s="9"/>
      <c r="X724" s="9"/>
      <c r="Y724" s="9"/>
      <c r="Z724" s="9"/>
    </row>
    <row r="725">
      <c r="A725" s="388"/>
      <c r="B725" s="396"/>
      <c r="C725" s="396"/>
      <c r="D725" s="396"/>
      <c r="E725" s="388"/>
      <c r="F725" s="395"/>
      <c r="G725" s="395"/>
      <c r="H725" s="388"/>
      <c r="I725" s="389"/>
      <c r="J725" s="389"/>
      <c r="K725" s="389"/>
      <c r="L725" s="460"/>
      <c r="M725" s="389"/>
      <c r="N725" s="389"/>
      <c r="O725" s="389"/>
      <c r="P725" s="389"/>
      <c r="Q725" s="389"/>
      <c r="R725" s="388"/>
      <c r="S725" s="388"/>
      <c r="T725" s="388"/>
      <c r="U725" s="388"/>
      <c r="V725" s="388"/>
      <c r="W725" s="9"/>
      <c r="X725" s="9"/>
      <c r="Y725" s="9"/>
      <c r="Z725" s="9"/>
    </row>
    <row r="726">
      <c r="A726" s="388"/>
      <c r="B726" s="396"/>
      <c r="C726" s="396"/>
      <c r="D726" s="396"/>
      <c r="E726" s="388"/>
      <c r="F726" s="395"/>
      <c r="G726" s="395"/>
      <c r="H726" s="388"/>
      <c r="I726" s="389"/>
      <c r="J726" s="389"/>
      <c r="K726" s="389"/>
      <c r="L726" s="460"/>
      <c r="M726" s="389"/>
      <c r="N726" s="389"/>
      <c r="O726" s="389"/>
      <c r="P726" s="389"/>
      <c r="Q726" s="389"/>
      <c r="R726" s="388"/>
      <c r="S726" s="388"/>
      <c r="T726" s="388"/>
      <c r="U726" s="388"/>
      <c r="V726" s="388"/>
      <c r="W726" s="9"/>
      <c r="X726" s="9"/>
      <c r="Y726" s="9"/>
      <c r="Z726" s="9"/>
    </row>
    <row r="727">
      <c r="A727" s="388"/>
      <c r="B727" s="396"/>
      <c r="C727" s="396"/>
      <c r="D727" s="396"/>
      <c r="E727" s="388"/>
      <c r="F727" s="395"/>
      <c r="G727" s="395"/>
      <c r="H727" s="388"/>
      <c r="I727" s="389"/>
      <c r="J727" s="389"/>
      <c r="K727" s="389"/>
      <c r="L727" s="460"/>
      <c r="M727" s="389"/>
      <c r="N727" s="389"/>
      <c r="O727" s="389"/>
      <c r="P727" s="389"/>
      <c r="Q727" s="389"/>
      <c r="R727" s="388"/>
      <c r="S727" s="388"/>
      <c r="T727" s="388"/>
      <c r="U727" s="388"/>
      <c r="V727" s="388"/>
      <c r="W727" s="9"/>
      <c r="X727" s="9"/>
      <c r="Y727" s="9"/>
      <c r="Z727" s="9"/>
    </row>
    <row r="728">
      <c r="A728" s="388"/>
      <c r="B728" s="396"/>
      <c r="C728" s="396"/>
      <c r="D728" s="396"/>
      <c r="E728" s="388"/>
      <c r="F728" s="395"/>
      <c r="G728" s="395"/>
      <c r="H728" s="388"/>
      <c r="I728" s="389"/>
      <c r="J728" s="389"/>
      <c r="K728" s="389"/>
      <c r="L728" s="460"/>
      <c r="M728" s="389"/>
      <c r="N728" s="389"/>
      <c r="O728" s="389"/>
      <c r="P728" s="389"/>
      <c r="Q728" s="389"/>
      <c r="R728" s="388"/>
      <c r="S728" s="388"/>
      <c r="T728" s="388"/>
      <c r="U728" s="388"/>
      <c r="V728" s="388"/>
      <c r="W728" s="9"/>
      <c r="X728" s="9"/>
      <c r="Y728" s="9"/>
      <c r="Z728" s="9"/>
    </row>
    <row r="729">
      <c r="A729" s="388"/>
      <c r="B729" s="396"/>
      <c r="C729" s="396"/>
      <c r="D729" s="396"/>
      <c r="E729" s="388"/>
      <c r="F729" s="395"/>
      <c r="G729" s="395"/>
      <c r="H729" s="388"/>
      <c r="I729" s="389"/>
      <c r="J729" s="389"/>
      <c r="K729" s="389"/>
      <c r="L729" s="460"/>
      <c r="M729" s="389"/>
      <c r="N729" s="389"/>
      <c r="O729" s="389"/>
      <c r="P729" s="389"/>
      <c r="Q729" s="389"/>
      <c r="R729" s="388"/>
      <c r="S729" s="388"/>
      <c r="T729" s="388"/>
      <c r="U729" s="388"/>
      <c r="V729" s="388"/>
      <c r="W729" s="9"/>
      <c r="X729" s="9"/>
      <c r="Y729" s="9"/>
      <c r="Z729" s="9"/>
    </row>
    <row r="730">
      <c r="A730" s="388"/>
      <c r="B730" s="396"/>
      <c r="C730" s="396"/>
      <c r="D730" s="396"/>
      <c r="E730" s="388"/>
      <c r="F730" s="395"/>
      <c r="G730" s="395"/>
      <c r="H730" s="388"/>
      <c r="I730" s="389"/>
      <c r="J730" s="389"/>
      <c r="K730" s="389"/>
      <c r="L730" s="460"/>
      <c r="M730" s="389"/>
      <c r="N730" s="389"/>
      <c r="O730" s="389"/>
      <c r="P730" s="389"/>
      <c r="Q730" s="389"/>
      <c r="R730" s="388"/>
      <c r="S730" s="388"/>
      <c r="T730" s="388"/>
      <c r="U730" s="388"/>
      <c r="V730" s="388"/>
      <c r="W730" s="9"/>
      <c r="X730" s="9"/>
      <c r="Y730" s="9"/>
      <c r="Z730" s="9"/>
    </row>
    <row r="731">
      <c r="A731" s="388"/>
      <c r="B731" s="396"/>
      <c r="C731" s="396"/>
      <c r="D731" s="396"/>
      <c r="E731" s="388"/>
      <c r="F731" s="395"/>
      <c r="G731" s="395"/>
      <c r="H731" s="388"/>
      <c r="I731" s="389"/>
      <c r="J731" s="389"/>
      <c r="K731" s="389"/>
      <c r="L731" s="460"/>
      <c r="M731" s="389"/>
      <c r="N731" s="389"/>
      <c r="O731" s="389"/>
      <c r="P731" s="389"/>
      <c r="Q731" s="389"/>
      <c r="R731" s="388"/>
      <c r="S731" s="388"/>
      <c r="T731" s="388"/>
      <c r="U731" s="388"/>
      <c r="V731" s="388"/>
      <c r="W731" s="9"/>
      <c r="X731" s="9"/>
      <c r="Y731" s="9"/>
      <c r="Z731" s="9"/>
    </row>
    <row r="732">
      <c r="A732" s="388"/>
      <c r="B732" s="396"/>
      <c r="C732" s="396"/>
      <c r="D732" s="396"/>
      <c r="E732" s="388"/>
      <c r="F732" s="395"/>
      <c r="G732" s="395"/>
      <c r="H732" s="388"/>
      <c r="I732" s="389"/>
      <c r="J732" s="389"/>
      <c r="K732" s="389"/>
      <c r="L732" s="460"/>
      <c r="M732" s="389"/>
      <c r="N732" s="389"/>
      <c r="O732" s="389"/>
      <c r="P732" s="389"/>
      <c r="Q732" s="389"/>
      <c r="R732" s="388"/>
      <c r="S732" s="388"/>
      <c r="T732" s="388"/>
      <c r="U732" s="388"/>
      <c r="V732" s="388"/>
      <c r="W732" s="9"/>
      <c r="X732" s="9"/>
      <c r="Y732" s="9"/>
      <c r="Z732" s="9"/>
    </row>
    <row r="733">
      <c r="A733" s="388"/>
      <c r="B733" s="396"/>
      <c r="C733" s="396"/>
      <c r="D733" s="396"/>
      <c r="E733" s="388"/>
      <c r="F733" s="395"/>
      <c r="G733" s="395"/>
      <c r="H733" s="388"/>
      <c r="I733" s="389"/>
      <c r="J733" s="389"/>
      <c r="K733" s="389"/>
      <c r="L733" s="460"/>
      <c r="M733" s="389"/>
      <c r="N733" s="389"/>
      <c r="O733" s="389"/>
      <c r="P733" s="389"/>
      <c r="Q733" s="389"/>
      <c r="R733" s="388"/>
      <c r="S733" s="388"/>
      <c r="T733" s="388"/>
      <c r="U733" s="388"/>
      <c r="V733" s="388"/>
      <c r="W733" s="9"/>
      <c r="X733" s="9"/>
      <c r="Y733" s="9"/>
      <c r="Z733" s="9"/>
    </row>
    <row r="734">
      <c r="A734" s="388"/>
      <c r="B734" s="396"/>
      <c r="C734" s="396"/>
      <c r="D734" s="396"/>
      <c r="E734" s="388"/>
      <c r="F734" s="395"/>
      <c r="G734" s="395"/>
      <c r="H734" s="388"/>
      <c r="I734" s="389"/>
      <c r="J734" s="389"/>
      <c r="K734" s="389"/>
      <c r="L734" s="460"/>
      <c r="M734" s="389"/>
      <c r="N734" s="389"/>
      <c r="O734" s="389"/>
      <c r="P734" s="389"/>
      <c r="Q734" s="389"/>
      <c r="R734" s="388"/>
      <c r="S734" s="388"/>
      <c r="T734" s="388"/>
      <c r="U734" s="388"/>
      <c r="V734" s="388"/>
      <c r="W734" s="9"/>
      <c r="X734" s="9"/>
      <c r="Y734" s="9"/>
      <c r="Z734" s="9"/>
    </row>
    <row r="735">
      <c r="A735" s="388"/>
      <c r="B735" s="396"/>
      <c r="C735" s="396"/>
      <c r="D735" s="396"/>
      <c r="E735" s="388"/>
      <c r="F735" s="395"/>
      <c r="G735" s="395"/>
      <c r="H735" s="388"/>
      <c r="I735" s="389"/>
      <c r="J735" s="389"/>
      <c r="K735" s="389"/>
      <c r="L735" s="460"/>
      <c r="M735" s="389"/>
      <c r="N735" s="389"/>
      <c r="O735" s="389"/>
      <c r="P735" s="389"/>
      <c r="Q735" s="389"/>
      <c r="R735" s="388"/>
      <c r="S735" s="388"/>
      <c r="T735" s="388"/>
      <c r="U735" s="388"/>
      <c r="V735" s="388"/>
      <c r="W735" s="9"/>
      <c r="X735" s="9"/>
      <c r="Y735" s="9"/>
      <c r="Z735" s="9"/>
    </row>
    <row r="736">
      <c r="A736" s="388"/>
      <c r="B736" s="396"/>
      <c r="C736" s="396"/>
      <c r="D736" s="396"/>
      <c r="E736" s="388"/>
      <c r="F736" s="395"/>
      <c r="G736" s="395"/>
      <c r="H736" s="388"/>
      <c r="I736" s="389"/>
      <c r="J736" s="389"/>
      <c r="K736" s="389"/>
      <c r="L736" s="460"/>
      <c r="M736" s="389"/>
      <c r="N736" s="389"/>
      <c r="O736" s="389"/>
      <c r="P736" s="389"/>
      <c r="Q736" s="389"/>
      <c r="R736" s="388"/>
      <c r="S736" s="388"/>
      <c r="T736" s="388"/>
      <c r="U736" s="388"/>
      <c r="V736" s="388"/>
      <c r="W736" s="9"/>
      <c r="X736" s="9"/>
      <c r="Y736" s="9"/>
      <c r="Z736" s="9"/>
    </row>
    <row r="737">
      <c r="A737" s="388"/>
      <c r="B737" s="396"/>
      <c r="C737" s="396"/>
      <c r="D737" s="396"/>
      <c r="E737" s="388"/>
      <c r="F737" s="395"/>
      <c r="G737" s="395"/>
      <c r="H737" s="388"/>
      <c r="I737" s="389"/>
      <c r="J737" s="389"/>
      <c r="K737" s="389"/>
      <c r="L737" s="460"/>
      <c r="M737" s="389"/>
      <c r="N737" s="389"/>
      <c r="O737" s="389"/>
      <c r="P737" s="389"/>
      <c r="Q737" s="389"/>
      <c r="R737" s="388"/>
      <c r="S737" s="388"/>
      <c r="T737" s="388"/>
      <c r="U737" s="388"/>
      <c r="V737" s="388"/>
      <c r="W737" s="9"/>
      <c r="X737" s="9"/>
      <c r="Y737" s="9"/>
      <c r="Z737" s="9"/>
    </row>
    <row r="738">
      <c r="A738" s="388"/>
      <c r="B738" s="396"/>
      <c r="C738" s="396"/>
      <c r="D738" s="396"/>
      <c r="E738" s="388"/>
      <c r="F738" s="395"/>
      <c r="G738" s="395"/>
      <c r="H738" s="388"/>
      <c r="I738" s="389"/>
      <c r="J738" s="389"/>
      <c r="K738" s="389"/>
      <c r="L738" s="460"/>
      <c r="M738" s="389"/>
      <c r="N738" s="389"/>
      <c r="O738" s="389"/>
      <c r="P738" s="389"/>
      <c r="Q738" s="389"/>
      <c r="R738" s="388"/>
      <c r="S738" s="388"/>
      <c r="T738" s="388"/>
      <c r="U738" s="388"/>
      <c r="V738" s="388"/>
      <c r="W738" s="9"/>
      <c r="X738" s="9"/>
      <c r="Y738" s="9"/>
      <c r="Z738" s="9"/>
    </row>
    <row r="739">
      <c r="A739" s="388"/>
      <c r="B739" s="396"/>
      <c r="C739" s="396"/>
      <c r="D739" s="396"/>
      <c r="E739" s="388"/>
      <c r="F739" s="395"/>
      <c r="G739" s="395"/>
      <c r="H739" s="388"/>
      <c r="I739" s="389"/>
      <c r="J739" s="389"/>
      <c r="K739" s="389"/>
      <c r="L739" s="460"/>
      <c r="M739" s="389"/>
      <c r="N739" s="389"/>
      <c r="O739" s="389"/>
      <c r="P739" s="389"/>
      <c r="Q739" s="389"/>
      <c r="R739" s="388"/>
      <c r="S739" s="388"/>
      <c r="T739" s="388"/>
      <c r="U739" s="388"/>
      <c r="V739" s="388"/>
      <c r="W739" s="9"/>
      <c r="X739" s="9"/>
      <c r="Y739" s="9"/>
      <c r="Z739" s="9"/>
    </row>
    <row r="740">
      <c r="A740" s="388"/>
      <c r="B740" s="396"/>
      <c r="C740" s="396"/>
      <c r="D740" s="396"/>
      <c r="E740" s="388"/>
      <c r="F740" s="395"/>
      <c r="G740" s="395"/>
      <c r="H740" s="388"/>
      <c r="I740" s="389"/>
      <c r="J740" s="389"/>
      <c r="K740" s="389"/>
      <c r="L740" s="460"/>
      <c r="M740" s="389"/>
      <c r="N740" s="389"/>
      <c r="O740" s="389"/>
      <c r="P740" s="389"/>
      <c r="Q740" s="389"/>
      <c r="R740" s="388"/>
      <c r="S740" s="388"/>
      <c r="T740" s="388"/>
      <c r="U740" s="388"/>
      <c r="V740" s="388"/>
      <c r="W740" s="9"/>
      <c r="X740" s="9"/>
      <c r="Y740" s="9"/>
      <c r="Z740" s="9"/>
    </row>
    <row r="741">
      <c r="A741" s="388"/>
      <c r="B741" s="396"/>
      <c r="C741" s="396"/>
      <c r="D741" s="396"/>
      <c r="E741" s="388"/>
      <c r="F741" s="395"/>
      <c r="G741" s="395"/>
      <c r="H741" s="388"/>
      <c r="I741" s="389"/>
      <c r="J741" s="389"/>
      <c r="K741" s="389"/>
      <c r="L741" s="460"/>
      <c r="M741" s="389"/>
      <c r="N741" s="389"/>
      <c r="O741" s="389"/>
      <c r="P741" s="389"/>
      <c r="Q741" s="389"/>
      <c r="R741" s="388"/>
      <c r="S741" s="388"/>
      <c r="T741" s="388"/>
      <c r="U741" s="388"/>
      <c r="V741" s="388"/>
      <c r="W741" s="9"/>
      <c r="X741" s="9"/>
      <c r="Y741" s="9"/>
      <c r="Z741" s="9"/>
    </row>
    <row r="742">
      <c r="A742" s="388"/>
      <c r="B742" s="396"/>
      <c r="C742" s="396"/>
      <c r="D742" s="396"/>
      <c r="E742" s="388"/>
      <c r="F742" s="395"/>
      <c r="G742" s="395"/>
      <c r="H742" s="388"/>
      <c r="I742" s="389"/>
      <c r="J742" s="389"/>
      <c r="K742" s="389"/>
      <c r="L742" s="460"/>
      <c r="M742" s="389"/>
      <c r="N742" s="389"/>
      <c r="O742" s="389"/>
      <c r="P742" s="389"/>
      <c r="Q742" s="389"/>
      <c r="R742" s="388"/>
      <c r="S742" s="388"/>
      <c r="T742" s="388"/>
      <c r="U742" s="388"/>
      <c r="V742" s="388"/>
      <c r="W742" s="9"/>
      <c r="X742" s="9"/>
      <c r="Y742" s="9"/>
      <c r="Z742" s="9"/>
    </row>
    <row r="743">
      <c r="A743" s="388"/>
      <c r="B743" s="396"/>
      <c r="C743" s="396"/>
      <c r="D743" s="396"/>
      <c r="E743" s="388"/>
      <c r="F743" s="395"/>
      <c r="G743" s="395"/>
      <c r="H743" s="388"/>
      <c r="I743" s="389"/>
      <c r="J743" s="389"/>
      <c r="K743" s="389"/>
      <c r="L743" s="460"/>
      <c r="M743" s="389"/>
      <c r="N743" s="389"/>
      <c r="O743" s="389"/>
      <c r="P743" s="389"/>
      <c r="Q743" s="389"/>
      <c r="R743" s="388"/>
      <c r="S743" s="388"/>
      <c r="T743" s="388"/>
      <c r="U743" s="388"/>
      <c r="V743" s="388"/>
      <c r="W743" s="9"/>
      <c r="X743" s="9"/>
      <c r="Y743" s="9"/>
      <c r="Z743" s="9"/>
    </row>
    <row r="744">
      <c r="A744" s="388"/>
      <c r="B744" s="396"/>
      <c r="C744" s="396"/>
      <c r="D744" s="396"/>
      <c r="E744" s="388"/>
      <c r="F744" s="395"/>
      <c r="G744" s="395"/>
      <c r="H744" s="388"/>
      <c r="I744" s="389"/>
      <c r="J744" s="389"/>
      <c r="K744" s="389"/>
      <c r="L744" s="460"/>
      <c r="M744" s="389"/>
      <c r="N744" s="389"/>
      <c r="O744" s="389"/>
      <c r="P744" s="389"/>
      <c r="Q744" s="389"/>
      <c r="R744" s="388"/>
      <c r="S744" s="388"/>
      <c r="T744" s="388"/>
      <c r="U744" s="388"/>
      <c r="V744" s="388"/>
      <c r="W744" s="9"/>
      <c r="X744" s="9"/>
      <c r="Y744" s="9"/>
      <c r="Z744" s="9"/>
    </row>
    <row r="745">
      <c r="A745" s="388"/>
      <c r="B745" s="396"/>
      <c r="C745" s="396"/>
      <c r="D745" s="396"/>
      <c r="E745" s="388"/>
      <c r="F745" s="395"/>
      <c r="G745" s="395"/>
      <c r="H745" s="388"/>
      <c r="I745" s="389"/>
      <c r="J745" s="389"/>
      <c r="K745" s="389"/>
      <c r="L745" s="460"/>
      <c r="M745" s="389"/>
      <c r="N745" s="389"/>
      <c r="O745" s="389"/>
      <c r="P745" s="389"/>
      <c r="Q745" s="389"/>
      <c r="R745" s="388"/>
      <c r="S745" s="388"/>
      <c r="T745" s="388"/>
      <c r="U745" s="388"/>
      <c r="V745" s="388"/>
      <c r="W745" s="9"/>
      <c r="X745" s="9"/>
      <c r="Y745" s="9"/>
      <c r="Z745" s="9"/>
    </row>
    <row r="746">
      <c r="A746" s="388"/>
      <c r="B746" s="396"/>
      <c r="C746" s="396"/>
      <c r="D746" s="396"/>
      <c r="E746" s="388"/>
      <c r="F746" s="395"/>
      <c r="G746" s="395"/>
      <c r="H746" s="388"/>
      <c r="I746" s="389"/>
      <c r="J746" s="389"/>
      <c r="K746" s="389"/>
      <c r="L746" s="460"/>
      <c r="M746" s="389"/>
      <c r="N746" s="389"/>
      <c r="O746" s="389"/>
      <c r="P746" s="389"/>
      <c r="Q746" s="389"/>
      <c r="R746" s="388"/>
      <c r="S746" s="388"/>
      <c r="T746" s="388"/>
      <c r="U746" s="388"/>
      <c r="V746" s="388"/>
      <c r="W746" s="9"/>
      <c r="X746" s="9"/>
      <c r="Y746" s="9"/>
      <c r="Z746" s="9"/>
    </row>
    <row r="747">
      <c r="A747" s="388"/>
      <c r="B747" s="396"/>
      <c r="C747" s="396"/>
      <c r="D747" s="396"/>
      <c r="E747" s="388"/>
      <c r="F747" s="395"/>
      <c r="G747" s="395"/>
      <c r="H747" s="388"/>
      <c r="I747" s="389"/>
      <c r="J747" s="389"/>
      <c r="K747" s="389"/>
      <c r="L747" s="460"/>
      <c r="M747" s="389"/>
      <c r="N747" s="389"/>
      <c r="O747" s="389"/>
      <c r="P747" s="389"/>
      <c r="Q747" s="389"/>
      <c r="R747" s="388"/>
      <c r="S747" s="388"/>
      <c r="T747" s="388"/>
      <c r="U747" s="388"/>
      <c r="V747" s="388"/>
      <c r="W747" s="9"/>
      <c r="X747" s="9"/>
      <c r="Y747" s="9"/>
      <c r="Z747" s="9"/>
    </row>
    <row r="748">
      <c r="A748" s="388"/>
      <c r="B748" s="396"/>
      <c r="C748" s="396"/>
      <c r="D748" s="396"/>
      <c r="E748" s="388"/>
      <c r="F748" s="395"/>
      <c r="G748" s="395"/>
      <c r="H748" s="388"/>
      <c r="I748" s="389"/>
      <c r="J748" s="389"/>
      <c r="K748" s="389"/>
      <c r="L748" s="460"/>
      <c r="M748" s="389"/>
      <c r="N748" s="389"/>
      <c r="O748" s="389"/>
      <c r="P748" s="389"/>
      <c r="Q748" s="389"/>
      <c r="R748" s="388"/>
      <c r="S748" s="388"/>
      <c r="T748" s="388"/>
      <c r="U748" s="388"/>
      <c r="V748" s="388"/>
      <c r="W748" s="9"/>
      <c r="X748" s="9"/>
      <c r="Y748" s="9"/>
      <c r="Z748" s="9"/>
    </row>
    <row r="749">
      <c r="A749" s="388"/>
      <c r="B749" s="396"/>
      <c r="C749" s="396"/>
      <c r="D749" s="396"/>
      <c r="E749" s="388"/>
      <c r="F749" s="395"/>
      <c r="G749" s="395"/>
      <c r="H749" s="388"/>
      <c r="I749" s="389"/>
      <c r="J749" s="389"/>
      <c r="K749" s="389"/>
      <c r="L749" s="460"/>
      <c r="M749" s="389"/>
      <c r="N749" s="389"/>
      <c r="O749" s="389"/>
      <c r="P749" s="389"/>
      <c r="Q749" s="389"/>
      <c r="R749" s="388"/>
      <c r="S749" s="388"/>
      <c r="T749" s="388"/>
      <c r="U749" s="388"/>
      <c r="V749" s="388"/>
      <c r="W749" s="9"/>
      <c r="X749" s="9"/>
      <c r="Y749" s="9"/>
      <c r="Z749" s="9"/>
    </row>
    <row r="750">
      <c r="A750" s="388"/>
      <c r="B750" s="396"/>
      <c r="C750" s="396"/>
      <c r="D750" s="396"/>
      <c r="E750" s="388"/>
      <c r="F750" s="395"/>
      <c r="G750" s="395"/>
      <c r="H750" s="388"/>
      <c r="I750" s="389"/>
      <c r="J750" s="389"/>
      <c r="K750" s="389"/>
      <c r="L750" s="460"/>
      <c r="M750" s="389"/>
      <c r="N750" s="389"/>
      <c r="O750" s="389"/>
      <c r="P750" s="389"/>
      <c r="Q750" s="389"/>
      <c r="R750" s="388"/>
      <c r="S750" s="388"/>
      <c r="T750" s="388"/>
      <c r="U750" s="388"/>
      <c r="V750" s="388"/>
      <c r="W750" s="9"/>
      <c r="X750" s="9"/>
      <c r="Y750" s="9"/>
      <c r="Z750" s="9"/>
    </row>
    <row r="751">
      <c r="A751" s="388"/>
      <c r="B751" s="396"/>
      <c r="C751" s="396"/>
      <c r="D751" s="396"/>
      <c r="E751" s="388"/>
      <c r="F751" s="395"/>
      <c r="G751" s="395"/>
      <c r="H751" s="388"/>
      <c r="I751" s="389"/>
      <c r="J751" s="389"/>
      <c r="K751" s="389"/>
      <c r="L751" s="460"/>
      <c r="M751" s="389"/>
      <c r="N751" s="389"/>
      <c r="O751" s="389"/>
      <c r="P751" s="389"/>
      <c r="Q751" s="389"/>
      <c r="R751" s="388"/>
      <c r="S751" s="388"/>
      <c r="T751" s="388"/>
      <c r="U751" s="388"/>
      <c r="V751" s="388"/>
      <c r="W751" s="9"/>
      <c r="X751" s="9"/>
      <c r="Y751" s="9"/>
      <c r="Z751" s="9"/>
    </row>
    <row r="752">
      <c r="A752" s="388"/>
      <c r="B752" s="396"/>
      <c r="C752" s="396"/>
      <c r="D752" s="396"/>
      <c r="E752" s="388"/>
      <c r="F752" s="395"/>
      <c r="G752" s="395"/>
      <c r="H752" s="388"/>
      <c r="I752" s="389"/>
      <c r="J752" s="389"/>
      <c r="K752" s="389"/>
      <c r="L752" s="460"/>
      <c r="M752" s="389"/>
      <c r="N752" s="389"/>
      <c r="O752" s="389"/>
      <c r="P752" s="389"/>
      <c r="Q752" s="389"/>
      <c r="R752" s="388"/>
      <c r="S752" s="388"/>
      <c r="T752" s="388"/>
      <c r="U752" s="388"/>
      <c r="V752" s="388"/>
      <c r="W752" s="9"/>
      <c r="X752" s="9"/>
      <c r="Y752" s="9"/>
      <c r="Z752" s="9"/>
    </row>
    <row r="753">
      <c r="A753" s="388"/>
      <c r="B753" s="396"/>
      <c r="C753" s="396"/>
      <c r="D753" s="396"/>
      <c r="E753" s="388"/>
      <c r="F753" s="395"/>
      <c r="G753" s="395"/>
      <c r="H753" s="388"/>
      <c r="I753" s="389"/>
      <c r="J753" s="389"/>
      <c r="K753" s="389"/>
      <c r="L753" s="460"/>
      <c r="M753" s="389"/>
      <c r="N753" s="389"/>
      <c r="O753" s="389"/>
      <c r="P753" s="389"/>
      <c r="Q753" s="389"/>
      <c r="R753" s="388"/>
      <c r="S753" s="388"/>
      <c r="T753" s="388"/>
      <c r="U753" s="388"/>
      <c r="V753" s="388"/>
      <c r="W753" s="9"/>
      <c r="X753" s="9"/>
      <c r="Y753" s="9"/>
      <c r="Z753" s="9"/>
    </row>
    <row r="754">
      <c r="A754" s="388"/>
      <c r="B754" s="396"/>
      <c r="C754" s="396"/>
      <c r="D754" s="396"/>
      <c r="E754" s="388"/>
      <c r="F754" s="395"/>
      <c r="G754" s="395"/>
      <c r="H754" s="388"/>
      <c r="I754" s="389"/>
      <c r="J754" s="389"/>
      <c r="K754" s="389"/>
      <c r="L754" s="460"/>
      <c r="M754" s="389"/>
      <c r="N754" s="389"/>
      <c r="O754" s="389"/>
      <c r="P754" s="389"/>
      <c r="Q754" s="389"/>
      <c r="R754" s="388"/>
      <c r="S754" s="388"/>
      <c r="T754" s="388"/>
      <c r="U754" s="388"/>
      <c r="V754" s="388"/>
      <c r="W754" s="9"/>
      <c r="X754" s="9"/>
      <c r="Y754" s="9"/>
      <c r="Z754" s="9"/>
    </row>
    <row r="755">
      <c r="A755" s="388"/>
      <c r="B755" s="396"/>
      <c r="C755" s="396"/>
      <c r="D755" s="396"/>
      <c r="E755" s="388"/>
      <c r="F755" s="395"/>
      <c r="G755" s="395"/>
      <c r="H755" s="388"/>
      <c r="I755" s="389"/>
      <c r="J755" s="389"/>
      <c r="K755" s="389"/>
      <c r="L755" s="460"/>
      <c r="M755" s="389"/>
      <c r="N755" s="389"/>
      <c r="O755" s="389"/>
      <c r="P755" s="389"/>
      <c r="Q755" s="389"/>
      <c r="R755" s="388"/>
      <c r="S755" s="388"/>
      <c r="T755" s="388"/>
      <c r="U755" s="388"/>
      <c r="V755" s="388"/>
      <c r="W755" s="9"/>
      <c r="X755" s="9"/>
      <c r="Y755" s="9"/>
      <c r="Z755" s="9"/>
    </row>
    <row r="756">
      <c r="A756" s="388"/>
      <c r="B756" s="396"/>
      <c r="C756" s="396"/>
      <c r="D756" s="396"/>
      <c r="E756" s="388"/>
      <c r="F756" s="395"/>
      <c r="G756" s="395"/>
      <c r="H756" s="388"/>
      <c r="I756" s="389"/>
      <c r="J756" s="389"/>
      <c r="K756" s="389"/>
      <c r="L756" s="460"/>
      <c r="M756" s="389"/>
      <c r="N756" s="389"/>
      <c r="O756" s="389"/>
      <c r="P756" s="389"/>
      <c r="Q756" s="389"/>
      <c r="R756" s="388"/>
      <c r="S756" s="388"/>
      <c r="T756" s="388"/>
      <c r="U756" s="388"/>
      <c r="V756" s="388"/>
      <c r="W756" s="9"/>
      <c r="X756" s="9"/>
      <c r="Y756" s="9"/>
      <c r="Z756" s="9"/>
    </row>
    <row r="757">
      <c r="A757" s="388"/>
      <c r="B757" s="396"/>
      <c r="C757" s="396"/>
      <c r="D757" s="396"/>
      <c r="E757" s="388"/>
      <c r="F757" s="395"/>
      <c r="G757" s="395"/>
      <c r="H757" s="388"/>
      <c r="I757" s="389"/>
      <c r="J757" s="389"/>
      <c r="K757" s="389"/>
      <c r="L757" s="460"/>
      <c r="M757" s="389"/>
      <c r="N757" s="389"/>
      <c r="O757" s="389"/>
      <c r="P757" s="389"/>
      <c r="Q757" s="389"/>
      <c r="R757" s="388"/>
      <c r="S757" s="388"/>
      <c r="T757" s="388"/>
      <c r="U757" s="388"/>
      <c r="V757" s="388"/>
      <c r="W757" s="9"/>
      <c r="X757" s="9"/>
      <c r="Y757" s="9"/>
      <c r="Z757" s="9"/>
    </row>
    <row r="758">
      <c r="A758" s="388"/>
      <c r="B758" s="396"/>
      <c r="C758" s="396"/>
      <c r="D758" s="396"/>
      <c r="E758" s="388"/>
      <c r="F758" s="395"/>
      <c r="G758" s="395"/>
      <c r="H758" s="388"/>
      <c r="I758" s="389"/>
      <c r="J758" s="389"/>
      <c r="K758" s="389"/>
      <c r="L758" s="460"/>
      <c r="M758" s="389"/>
      <c r="N758" s="389"/>
      <c r="O758" s="389"/>
      <c r="P758" s="389"/>
      <c r="Q758" s="389"/>
      <c r="R758" s="388"/>
      <c r="S758" s="388"/>
      <c r="T758" s="388"/>
      <c r="U758" s="388"/>
      <c r="V758" s="388"/>
      <c r="W758" s="9"/>
      <c r="X758" s="9"/>
      <c r="Y758" s="9"/>
      <c r="Z758" s="9"/>
    </row>
    <row r="759">
      <c r="A759" s="388"/>
      <c r="B759" s="396"/>
      <c r="C759" s="396"/>
      <c r="D759" s="396"/>
      <c r="E759" s="388"/>
      <c r="F759" s="395"/>
      <c r="G759" s="395"/>
      <c r="H759" s="388"/>
      <c r="I759" s="389"/>
      <c r="J759" s="389"/>
      <c r="K759" s="389"/>
      <c r="L759" s="460"/>
      <c r="M759" s="389"/>
      <c r="N759" s="389"/>
      <c r="O759" s="389"/>
      <c r="P759" s="389"/>
      <c r="Q759" s="389"/>
      <c r="R759" s="388"/>
      <c r="S759" s="388"/>
      <c r="T759" s="388"/>
      <c r="U759" s="388"/>
      <c r="V759" s="388"/>
      <c r="W759" s="9"/>
      <c r="X759" s="9"/>
      <c r="Y759" s="9"/>
      <c r="Z759" s="9"/>
    </row>
    <row r="760">
      <c r="A760" s="388"/>
      <c r="B760" s="396"/>
      <c r="C760" s="396"/>
      <c r="D760" s="396"/>
      <c r="E760" s="388"/>
      <c r="F760" s="395"/>
      <c r="G760" s="395"/>
      <c r="H760" s="388"/>
      <c r="I760" s="389"/>
      <c r="J760" s="389"/>
      <c r="K760" s="389"/>
      <c r="L760" s="460"/>
      <c r="M760" s="389"/>
      <c r="N760" s="389"/>
      <c r="O760" s="389"/>
      <c r="P760" s="389"/>
      <c r="Q760" s="389"/>
      <c r="R760" s="388"/>
      <c r="S760" s="388"/>
      <c r="T760" s="388"/>
      <c r="U760" s="388"/>
      <c r="V760" s="388"/>
      <c r="W760" s="9"/>
      <c r="X760" s="9"/>
      <c r="Y760" s="9"/>
      <c r="Z760" s="9"/>
    </row>
    <row r="761">
      <c r="A761" s="388"/>
      <c r="B761" s="396"/>
      <c r="C761" s="396"/>
      <c r="D761" s="396"/>
      <c r="E761" s="388"/>
      <c r="F761" s="395"/>
      <c r="G761" s="395"/>
      <c r="H761" s="388"/>
      <c r="I761" s="389"/>
      <c r="J761" s="389"/>
      <c r="K761" s="389"/>
      <c r="L761" s="460"/>
      <c r="M761" s="389"/>
      <c r="N761" s="389"/>
      <c r="O761" s="389"/>
      <c r="P761" s="389"/>
      <c r="Q761" s="389"/>
      <c r="R761" s="388"/>
      <c r="S761" s="388"/>
      <c r="T761" s="388"/>
      <c r="U761" s="388"/>
      <c r="V761" s="388"/>
      <c r="W761" s="9"/>
      <c r="X761" s="9"/>
      <c r="Y761" s="9"/>
      <c r="Z761" s="9"/>
    </row>
    <row r="762">
      <c r="A762" s="388"/>
      <c r="B762" s="396"/>
      <c r="C762" s="396"/>
      <c r="D762" s="396"/>
      <c r="E762" s="388"/>
      <c r="F762" s="395"/>
      <c r="G762" s="395"/>
      <c r="H762" s="388"/>
      <c r="I762" s="389"/>
      <c r="J762" s="389"/>
      <c r="K762" s="389"/>
      <c r="L762" s="460"/>
      <c r="M762" s="389"/>
      <c r="N762" s="389"/>
      <c r="O762" s="389"/>
      <c r="P762" s="389"/>
      <c r="Q762" s="389"/>
      <c r="R762" s="388"/>
      <c r="S762" s="388"/>
      <c r="T762" s="388"/>
      <c r="U762" s="388"/>
      <c r="V762" s="388"/>
      <c r="W762" s="9"/>
      <c r="X762" s="9"/>
      <c r="Y762" s="9"/>
      <c r="Z762" s="9"/>
    </row>
    <row r="763">
      <c r="A763" s="388"/>
      <c r="B763" s="396"/>
      <c r="C763" s="396"/>
      <c r="D763" s="396"/>
      <c r="E763" s="388"/>
      <c r="F763" s="395"/>
      <c r="G763" s="395"/>
      <c r="H763" s="388"/>
      <c r="I763" s="389"/>
      <c r="J763" s="389"/>
      <c r="K763" s="389"/>
      <c r="L763" s="460"/>
      <c r="M763" s="389"/>
      <c r="N763" s="389"/>
      <c r="O763" s="389"/>
      <c r="P763" s="389"/>
      <c r="Q763" s="389"/>
      <c r="R763" s="388"/>
      <c r="S763" s="388"/>
      <c r="T763" s="388"/>
      <c r="U763" s="388"/>
      <c r="V763" s="388"/>
      <c r="W763" s="9"/>
      <c r="X763" s="9"/>
      <c r="Y763" s="9"/>
      <c r="Z763" s="9"/>
    </row>
    <row r="764">
      <c r="A764" s="388"/>
      <c r="B764" s="396"/>
      <c r="C764" s="396"/>
      <c r="D764" s="396"/>
      <c r="E764" s="388"/>
      <c r="F764" s="395"/>
      <c r="G764" s="395"/>
      <c r="H764" s="388"/>
      <c r="I764" s="389"/>
      <c r="J764" s="389"/>
      <c r="K764" s="389"/>
      <c r="L764" s="460"/>
      <c r="M764" s="389"/>
      <c r="N764" s="389"/>
      <c r="O764" s="389"/>
      <c r="P764" s="389"/>
      <c r="Q764" s="389"/>
      <c r="R764" s="388"/>
      <c r="S764" s="388"/>
      <c r="T764" s="388"/>
      <c r="U764" s="388"/>
      <c r="V764" s="388"/>
      <c r="W764" s="9"/>
      <c r="X764" s="9"/>
      <c r="Y764" s="9"/>
      <c r="Z764" s="9"/>
    </row>
    <row r="765">
      <c r="A765" s="388"/>
      <c r="B765" s="396"/>
      <c r="C765" s="396"/>
      <c r="D765" s="396"/>
      <c r="E765" s="388"/>
      <c r="F765" s="395"/>
      <c r="G765" s="395"/>
      <c r="H765" s="388"/>
      <c r="I765" s="389"/>
      <c r="J765" s="389"/>
      <c r="K765" s="389"/>
      <c r="L765" s="460"/>
      <c r="M765" s="389"/>
      <c r="N765" s="389"/>
      <c r="O765" s="389"/>
      <c r="P765" s="389"/>
      <c r="Q765" s="389"/>
      <c r="R765" s="388"/>
      <c r="S765" s="388"/>
      <c r="T765" s="388"/>
      <c r="U765" s="388"/>
      <c r="V765" s="388"/>
      <c r="W765" s="9"/>
      <c r="X765" s="9"/>
      <c r="Y765" s="9"/>
      <c r="Z765" s="9"/>
    </row>
    <row r="766">
      <c r="A766" s="388"/>
      <c r="B766" s="396"/>
      <c r="C766" s="396"/>
      <c r="D766" s="396"/>
      <c r="E766" s="388"/>
      <c r="F766" s="395"/>
      <c r="G766" s="395"/>
      <c r="H766" s="388"/>
      <c r="I766" s="389"/>
      <c r="J766" s="389"/>
      <c r="K766" s="389"/>
      <c r="L766" s="460"/>
      <c r="M766" s="389"/>
      <c r="N766" s="389"/>
      <c r="O766" s="389"/>
      <c r="P766" s="389"/>
      <c r="Q766" s="389"/>
      <c r="R766" s="388"/>
      <c r="S766" s="388"/>
      <c r="T766" s="388"/>
      <c r="U766" s="388"/>
      <c r="V766" s="388"/>
      <c r="W766" s="9"/>
      <c r="X766" s="9"/>
      <c r="Y766" s="9"/>
      <c r="Z766" s="9"/>
    </row>
    <row r="767">
      <c r="A767" s="388"/>
      <c r="B767" s="396"/>
      <c r="C767" s="396"/>
      <c r="D767" s="396"/>
      <c r="E767" s="388"/>
      <c r="F767" s="395"/>
      <c r="G767" s="395"/>
      <c r="H767" s="388"/>
      <c r="I767" s="389"/>
      <c r="J767" s="389"/>
      <c r="K767" s="389"/>
      <c r="L767" s="460"/>
      <c r="M767" s="389"/>
      <c r="N767" s="389"/>
      <c r="O767" s="389"/>
      <c r="P767" s="389"/>
      <c r="Q767" s="389"/>
      <c r="R767" s="388"/>
      <c r="S767" s="388"/>
      <c r="T767" s="388"/>
      <c r="U767" s="388"/>
      <c r="V767" s="388"/>
      <c r="W767" s="9"/>
      <c r="X767" s="9"/>
      <c r="Y767" s="9"/>
      <c r="Z767" s="9"/>
    </row>
    <row r="768">
      <c r="A768" s="388"/>
      <c r="B768" s="396"/>
      <c r="C768" s="396"/>
      <c r="D768" s="396"/>
      <c r="E768" s="388"/>
      <c r="F768" s="395"/>
      <c r="G768" s="395"/>
      <c r="H768" s="388"/>
      <c r="I768" s="389"/>
      <c r="J768" s="389"/>
      <c r="K768" s="389"/>
      <c r="L768" s="460"/>
      <c r="M768" s="389"/>
      <c r="N768" s="389"/>
      <c r="O768" s="389"/>
      <c r="P768" s="389"/>
      <c r="Q768" s="389"/>
      <c r="R768" s="388"/>
      <c r="S768" s="388"/>
      <c r="T768" s="388"/>
      <c r="U768" s="388"/>
      <c r="V768" s="388"/>
      <c r="W768" s="9"/>
      <c r="X768" s="9"/>
      <c r="Y768" s="9"/>
      <c r="Z768" s="9"/>
    </row>
    <row r="769">
      <c r="A769" s="388"/>
      <c r="B769" s="396"/>
      <c r="C769" s="396"/>
      <c r="D769" s="396"/>
      <c r="E769" s="388"/>
      <c r="F769" s="395"/>
      <c r="G769" s="395"/>
      <c r="H769" s="388"/>
      <c r="I769" s="389"/>
      <c r="J769" s="389"/>
      <c r="K769" s="389"/>
      <c r="L769" s="460"/>
      <c r="M769" s="389"/>
      <c r="N769" s="389"/>
      <c r="O769" s="389"/>
      <c r="P769" s="389"/>
      <c r="Q769" s="389"/>
      <c r="R769" s="388"/>
      <c r="S769" s="388"/>
      <c r="T769" s="388"/>
      <c r="U769" s="388"/>
      <c r="V769" s="388"/>
      <c r="W769" s="9"/>
      <c r="X769" s="9"/>
      <c r="Y769" s="9"/>
      <c r="Z769" s="9"/>
    </row>
    <row r="770">
      <c r="A770" s="388"/>
      <c r="B770" s="396"/>
      <c r="C770" s="396"/>
      <c r="D770" s="396"/>
      <c r="E770" s="388"/>
      <c r="F770" s="395"/>
      <c r="G770" s="395"/>
      <c r="H770" s="388"/>
      <c r="I770" s="389"/>
      <c r="J770" s="389"/>
      <c r="K770" s="389"/>
      <c r="L770" s="460"/>
      <c r="M770" s="389"/>
      <c r="N770" s="389"/>
      <c r="O770" s="389"/>
      <c r="P770" s="389"/>
      <c r="Q770" s="389"/>
      <c r="R770" s="388"/>
      <c r="S770" s="388"/>
      <c r="T770" s="388"/>
      <c r="U770" s="388"/>
      <c r="V770" s="388"/>
      <c r="W770" s="9"/>
      <c r="X770" s="9"/>
      <c r="Y770" s="9"/>
      <c r="Z770" s="9"/>
    </row>
    <row r="771">
      <c r="A771" s="388"/>
      <c r="B771" s="396"/>
      <c r="C771" s="396"/>
      <c r="D771" s="396"/>
      <c r="E771" s="388"/>
      <c r="F771" s="395"/>
      <c r="G771" s="395"/>
      <c r="H771" s="388"/>
      <c r="I771" s="389"/>
      <c r="J771" s="389"/>
      <c r="K771" s="389"/>
      <c r="L771" s="460"/>
      <c r="M771" s="389"/>
      <c r="N771" s="389"/>
      <c r="O771" s="389"/>
      <c r="P771" s="389"/>
      <c r="Q771" s="389"/>
      <c r="R771" s="388"/>
      <c r="S771" s="388"/>
      <c r="T771" s="388"/>
      <c r="U771" s="388"/>
      <c r="V771" s="388"/>
      <c r="W771" s="9"/>
      <c r="X771" s="9"/>
      <c r="Y771" s="9"/>
      <c r="Z771" s="9"/>
    </row>
    <row r="772">
      <c r="A772" s="388"/>
      <c r="B772" s="396"/>
      <c r="C772" s="396"/>
      <c r="D772" s="396"/>
      <c r="E772" s="388"/>
      <c r="F772" s="395"/>
      <c r="G772" s="395"/>
      <c r="H772" s="388"/>
      <c r="I772" s="389"/>
      <c r="J772" s="389"/>
      <c r="K772" s="389"/>
      <c r="L772" s="460"/>
      <c r="M772" s="389"/>
      <c r="N772" s="389"/>
      <c r="O772" s="389"/>
      <c r="P772" s="389"/>
      <c r="Q772" s="389"/>
      <c r="R772" s="388"/>
      <c r="S772" s="388"/>
      <c r="T772" s="388"/>
      <c r="U772" s="388"/>
      <c r="V772" s="388"/>
      <c r="W772" s="9"/>
      <c r="X772" s="9"/>
      <c r="Y772" s="9"/>
      <c r="Z772" s="9"/>
    </row>
    <row r="773">
      <c r="A773" s="388"/>
      <c r="B773" s="396"/>
      <c r="C773" s="396"/>
      <c r="D773" s="396"/>
      <c r="E773" s="388"/>
      <c r="F773" s="395"/>
      <c r="G773" s="395"/>
      <c r="H773" s="388"/>
      <c r="I773" s="389"/>
      <c r="J773" s="389"/>
      <c r="K773" s="389"/>
      <c r="L773" s="460"/>
      <c r="M773" s="389"/>
      <c r="N773" s="389"/>
      <c r="O773" s="389"/>
      <c r="P773" s="389"/>
      <c r="Q773" s="389"/>
      <c r="R773" s="388"/>
      <c r="S773" s="388"/>
      <c r="T773" s="388"/>
      <c r="U773" s="388"/>
      <c r="V773" s="388"/>
      <c r="W773" s="9"/>
      <c r="X773" s="9"/>
      <c r="Y773" s="9"/>
      <c r="Z773" s="9"/>
    </row>
    <row r="774">
      <c r="A774" s="388"/>
      <c r="B774" s="396"/>
      <c r="C774" s="396"/>
      <c r="D774" s="396"/>
      <c r="E774" s="388"/>
      <c r="F774" s="395"/>
      <c r="G774" s="395"/>
      <c r="H774" s="388"/>
      <c r="I774" s="389"/>
      <c r="J774" s="389"/>
      <c r="K774" s="389"/>
      <c r="L774" s="460"/>
      <c r="M774" s="389"/>
      <c r="N774" s="389"/>
      <c r="O774" s="389"/>
      <c r="P774" s="389"/>
      <c r="Q774" s="389"/>
      <c r="R774" s="388"/>
      <c r="S774" s="388"/>
      <c r="T774" s="388"/>
      <c r="U774" s="388"/>
      <c r="V774" s="388"/>
      <c r="W774" s="9"/>
      <c r="X774" s="9"/>
      <c r="Y774" s="9"/>
      <c r="Z774" s="9"/>
    </row>
    <row r="775">
      <c r="A775" s="388"/>
      <c r="B775" s="396"/>
      <c r="C775" s="396"/>
      <c r="D775" s="396"/>
      <c r="E775" s="388"/>
      <c r="F775" s="395"/>
      <c r="G775" s="395"/>
      <c r="H775" s="388"/>
      <c r="I775" s="389"/>
      <c r="J775" s="389"/>
      <c r="K775" s="389"/>
      <c r="L775" s="460"/>
      <c r="M775" s="389"/>
      <c r="N775" s="389"/>
      <c r="O775" s="389"/>
      <c r="P775" s="389"/>
      <c r="Q775" s="389"/>
      <c r="R775" s="388"/>
      <c r="S775" s="388"/>
      <c r="T775" s="388"/>
      <c r="U775" s="388"/>
      <c r="V775" s="388"/>
      <c r="W775" s="9"/>
      <c r="X775" s="9"/>
      <c r="Y775" s="9"/>
      <c r="Z775" s="9"/>
    </row>
    <row r="776">
      <c r="A776" s="388"/>
      <c r="B776" s="396"/>
      <c r="C776" s="396"/>
      <c r="D776" s="396"/>
      <c r="E776" s="388"/>
      <c r="F776" s="395"/>
      <c r="G776" s="395"/>
      <c r="H776" s="388"/>
      <c r="I776" s="389"/>
      <c r="J776" s="389"/>
      <c r="K776" s="389"/>
      <c r="L776" s="460"/>
      <c r="M776" s="389"/>
      <c r="N776" s="389"/>
      <c r="O776" s="389"/>
      <c r="P776" s="389"/>
      <c r="Q776" s="389"/>
      <c r="R776" s="388"/>
      <c r="S776" s="388"/>
      <c r="T776" s="388"/>
      <c r="U776" s="388"/>
      <c r="V776" s="388"/>
      <c r="W776" s="9"/>
      <c r="X776" s="9"/>
      <c r="Y776" s="9"/>
      <c r="Z776" s="9"/>
    </row>
    <row r="777">
      <c r="A777" s="388"/>
      <c r="B777" s="396"/>
      <c r="C777" s="396"/>
      <c r="D777" s="396"/>
      <c r="E777" s="388"/>
      <c r="F777" s="395"/>
      <c r="G777" s="395"/>
      <c r="H777" s="388"/>
      <c r="I777" s="389"/>
      <c r="J777" s="389"/>
      <c r="K777" s="389"/>
      <c r="L777" s="460"/>
      <c r="M777" s="389"/>
      <c r="N777" s="389"/>
      <c r="O777" s="389"/>
      <c r="P777" s="389"/>
      <c r="Q777" s="389"/>
      <c r="R777" s="388"/>
      <c r="S777" s="388"/>
      <c r="T777" s="388"/>
      <c r="U777" s="388"/>
      <c r="V777" s="388"/>
      <c r="W777" s="9"/>
      <c r="X777" s="9"/>
      <c r="Y777" s="9"/>
      <c r="Z777" s="9"/>
    </row>
    <row r="778">
      <c r="A778" s="388"/>
      <c r="B778" s="396"/>
      <c r="C778" s="396"/>
      <c r="D778" s="396"/>
      <c r="E778" s="388"/>
      <c r="F778" s="395"/>
      <c r="G778" s="395"/>
      <c r="H778" s="388"/>
      <c r="I778" s="389"/>
      <c r="J778" s="389"/>
      <c r="K778" s="389"/>
      <c r="L778" s="460"/>
      <c r="M778" s="389"/>
      <c r="N778" s="389"/>
      <c r="O778" s="389"/>
      <c r="P778" s="389"/>
      <c r="Q778" s="389"/>
      <c r="R778" s="388"/>
      <c r="S778" s="388"/>
      <c r="T778" s="388"/>
      <c r="U778" s="388"/>
      <c r="V778" s="388"/>
      <c r="W778" s="9"/>
      <c r="X778" s="9"/>
      <c r="Y778" s="9"/>
      <c r="Z778" s="9"/>
    </row>
    <row r="779">
      <c r="A779" s="388"/>
      <c r="B779" s="396"/>
      <c r="C779" s="396"/>
      <c r="D779" s="396"/>
      <c r="E779" s="388"/>
      <c r="F779" s="395"/>
      <c r="G779" s="395"/>
      <c r="H779" s="388"/>
      <c r="I779" s="389"/>
      <c r="J779" s="389"/>
      <c r="K779" s="389"/>
      <c r="L779" s="460"/>
      <c r="M779" s="389"/>
      <c r="N779" s="389"/>
      <c r="O779" s="389"/>
      <c r="P779" s="389"/>
      <c r="Q779" s="389"/>
      <c r="R779" s="388"/>
      <c r="S779" s="388"/>
      <c r="T779" s="388"/>
      <c r="U779" s="388"/>
      <c r="V779" s="388"/>
      <c r="W779" s="9"/>
      <c r="X779" s="9"/>
      <c r="Y779" s="9"/>
      <c r="Z779" s="9"/>
    </row>
    <row r="780">
      <c r="A780" s="388"/>
      <c r="B780" s="396"/>
      <c r="C780" s="396"/>
      <c r="D780" s="396"/>
      <c r="E780" s="388"/>
      <c r="F780" s="395"/>
      <c r="G780" s="395"/>
      <c r="H780" s="388"/>
      <c r="I780" s="389"/>
      <c r="J780" s="389"/>
      <c r="K780" s="389"/>
      <c r="L780" s="460"/>
      <c r="M780" s="389"/>
      <c r="N780" s="389"/>
      <c r="O780" s="389"/>
      <c r="P780" s="389"/>
      <c r="Q780" s="389"/>
      <c r="R780" s="388"/>
      <c r="S780" s="388"/>
      <c r="T780" s="388"/>
      <c r="U780" s="388"/>
      <c r="V780" s="388"/>
      <c r="W780" s="9"/>
      <c r="X780" s="9"/>
      <c r="Y780" s="9"/>
      <c r="Z780" s="9"/>
    </row>
    <row r="781">
      <c r="A781" s="388"/>
      <c r="B781" s="396"/>
      <c r="C781" s="396"/>
      <c r="D781" s="396"/>
      <c r="E781" s="388"/>
      <c r="F781" s="395"/>
      <c r="G781" s="395"/>
      <c r="H781" s="388"/>
      <c r="I781" s="389"/>
      <c r="J781" s="389"/>
      <c r="K781" s="389"/>
      <c r="L781" s="460"/>
      <c r="M781" s="389"/>
      <c r="N781" s="389"/>
      <c r="O781" s="389"/>
      <c r="P781" s="389"/>
      <c r="Q781" s="389"/>
      <c r="R781" s="388"/>
      <c r="S781" s="388"/>
      <c r="T781" s="388"/>
      <c r="U781" s="388"/>
      <c r="V781" s="388"/>
      <c r="W781" s="9"/>
      <c r="X781" s="9"/>
      <c r="Y781" s="9"/>
      <c r="Z781" s="9"/>
    </row>
    <row r="782">
      <c r="A782" s="388"/>
      <c r="B782" s="396"/>
      <c r="C782" s="396"/>
      <c r="D782" s="396"/>
      <c r="E782" s="388"/>
      <c r="F782" s="395"/>
      <c r="G782" s="395"/>
      <c r="H782" s="388"/>
      <c r="I782" s="389"/>
      <c r="J782" s="389"/>
      <c r="K782" s="389"/>
      <c r="L782" s="460"/>
      <c r="M782" s="389"/>
      <c r="N782" s="389"/>
      <c r="O782" s="389"/>
      <c r="P782" s="389"/>
      <c r="Q782" s="389"/>
      <c r="R782" s="388"/>
      <c r="S782" s="388"/>
      <c r="T782" s="388"/>
      <c r="U782" s="388"/>
      <c r="V782" s="388"/>
      <c r="W782" s="9"/>
      <c r="X782" s="9"/>
      <c r="Y782" s="9"/>
      <c r="Z782" s="9"/>
    </row>
    <row r="783">
      <c r="A783" s="388"/>
      <c r="B783" s="396"/>
      <c r="C783" s="396"/>
      <c r="D783" s="396"/>
      <c r="E783" s="388"/>
      <c r="F783" s="395"/>
      <c r="G783" s="395"/>
      <c r="H783" s="388"/>
      <c r="I783" s="389"/>
      <c r="J783" s="389"/>
      <c r="K783" s="389"/>
      <c r="L783" s="460"/>
      <c r="M783" s="389"/>
      <c r="N783" s="389"/>
      <c r="O783" s="389"/>
      <c r="P783" s="389"/>
      <c r="Q783" s="389"/>
      <c r="R783" s="388"/>
      <c r="S783" s="388"/>
      <c r="T783" s="388"/>
      <c r="U783" s="388"/>
      <c r="V783" s="388"/>
      <c r="W783" s="9"/>
      <c r="X783" s="9"/>
      <c r="Y783" s="9"/>
      <c r="Z783" s="9"/>
    </row>
    <row r="784">
      <c r="A784" s="388"/>
      <c r="B784" s="396"/>
      <c r="C784" s="396"/>
      <c r="D784" s="396"/>
      <c r="E784" s="388"/>
      <c r="F784" s="395"/>
      <c r="G784" s="395"/>
      <c r="H784" s="388"/>
      <c r="I784" s="389"/>
      <c r="J784" s="389"/>
      <c r="K784" s="389"/>
      <c r="L784" s="460"/>
      <c r="M784" s="389"/>
      <c r="N784" s="389"/>
      <c r="O784" s="389"/>
      <c r="P784" s="389"/>
      <c r="Q784" s="389"/>
      <c r="R784" s="388"/>
      <c r="S784" s="388"/>
      <c r="T784" s="388"/>
      <c r="U784" s="388"/>
      <c r="V784" s="388"/>
      <c r="W784" s="9"/>
      <c r="X784" s="9"/>
      <c r="Y784" s="9"/>
      <c r="Z784" s="9"/>
    </row>
    <row r="785">
      <c r="A785" s="388"/>
      <c r="B785" s="396"/>
      <c r="C785" s="396"/>
      <c r="D785" s="396"/>
      <c r="E785" s="388"/>
      <c r="F785" s="395"/>
      <c r="G785" s="395"/>
      <c r="H785" s="388"/>
      <c r="I785" s="389"/>
      <c r="J785" s="389"/>
      <c r="K785" s="389"/>
      <c r="L785" s="460"/>
      <c r="M785" s="389"/>
      <c r="N785" s="389"/>
      <c r="O785" s="389"/>
      <c r="P785" s="389"/>
      <c r="Q785" s="389"/>
      <c r="R785" s="388"/>
      <c r="S785" s="388"/>
      <c r="T785" s="388"/>
      <c r="U785" s="388"/>
      <c r="V785" s="388"/>
      <c r="W785" s="9"/>
      <c r="X785" s="9"/>
      <c r="Y785" s="9"/>
      <c r="Z785" s="9"/>
    </row>
    <row r="786">
      <c r="A786" s="388"/>
      <c r="B786" s="396"/>
      <c r="C786" s="396"/>
      <c r="D786" s="396"/>
      <c r="E786" s="388"/>
      <c r="F786" s="395"/>
      <c r="G786" s="395"/>
      <c r="H786" s="388"/>
      <c r="I786" s="389"/>
      <c r="J786" s="389"/>
      <c r="K786" s="389"/>
      <c r="L786" s="460"/>
      <c r="M786" s="389"/>
      <c r="N786" s="389"/>
      <c r="O786" s="389"/>
      <c r="P786" s="389"/>
      <c r="Q786" s="389"/>
      <c r="R786" s="388"/>
      <c r="S786" s="388"/>
      <c r="T786" s="388"/>
      <c r="U786" s="388"/>
      <c r="V786" s="388"/>
      <c r="W786" s="9"/>
      <c r="X786" s="9"/>
      <c r="Y786" s="9"/>
      <c r="Z786" s="9"/>
    </row>
    <row r="787">
      <c r="A787" s="388"/>
      <c r="B787" s="396"/>
      <c r="C787" s="396"/>
      <c r="D787" s="396"/>
      <c r="E787" s="388"/>
      <c r="F787" s="395"/>
      <c r="G787" s="395"/>
      <c r="H787" s="388"/>
      <c r="I787" s="389"/>
      <c r="J787" s="389"/>
      <c r="K787" s="389"/>
      <c r="L787" s="460"/>
      <c r="M787" s="389"/>
      <c r="N787" s="389"/>
      <c r="O787" s="389"/>
      <c r="P787" s="389"/>
      <c r="Q787" s="389"/>
      <c r="R787" s="388"/>
      <c r="S787" s="388"/>
      <c r="T787" s="388"/>
      <c r="U787" s="388"/>
      <c r="V787" s="388"/>
      <c r="W787" s="9"/>
      <c r="X787" s="9"/>
      <c r="Y787" s="9"/>
      <c r="Z787" s="9"/>
    </row>
    <row r="788">
      <c r="A788" s="388"/>
      <c r="B788" s="396"/>
      <c r="C788" s="396"/>
      <c r="D788" s="396"/>
      <c r="E788" s="388"/>
      <c r="F788" s="395"/>
      <c r="G788" s="395"/>
      <c r="H788" s="388"/>
      <c r="I788" s="389"/>
      <c r="J788" s="389"/>
      <c r="K788" s="389"/>
      <c r="L788" s="460"/>
      <c r="M788" s="389"/>
      <c r="N788" s="389"/>
      <c r="O788" s="389"/>
      <c r="P788" s="389"/>
      <c r="Q788" s="389"/>
      <c r="R788" s="388"/>
      <c r="S788" s="388"/>
      <c r="T788" s="388"/>
      <c r="U788" s="388"/>
      <c r="V788" s="388"/>
      <c r="W788" s="9"/>
      <c r="X788" s="9"/>
      <c r="Y788" s="9"/>
      <c r="Z788" s="9"/>
    </row>
    <row r="789">
      <c r="A789" s="388"/>
      <c r="B789" s="396"/>
      <c r="C789" s="396"/>
      <c r="D789" s="396"/>
      <c r="E789" s="388"/>
      <c r="F789" s="395"/>
      <c r="G789" s="395"/>
      <c r="H789" s="388"/>
      <c r="I789" s="389"/>
      <c r="J789" s="389"/>
      <c r="K789" s="389"/>
      <c r="L789" s="460"/>
      <c r="M789" s="389"/>
      <c r="N789" s="389"/>
      <c r="O789" s="389"/>
      <c r="P789" s="389"/>
      <c r="Q789" s="389"/>
      <c r="R789" s="388"/>
      <c r="S789" s="388"/>
      <c r="T789" s="388"/>
      <c r="U789" s="388"/>
      <c r="V789" s="388"/>
      <c r="W789" s="9"/>
      <c r="X789" s="9"/>
      <c r="Y789" s="9"/>
      <c r="Z789" s="9"/>
    </row>
    <row r="790">
      <c r="A790" s="388"/>
      <c r="B790" s="396"/>
      <c r="C790" s="396"/>
      <c r="D790" s="396"/>
      <c r="E790" s="388"/>
      <c r="F790" s="395"/>
      <c r="G790" s="395"/>
      <c r="H790" s="388"/>
      <c r="I790" s="389"/>
      <c r="J790" s="389"/>
      <c r="K790" s="389"/>
      <c r="L790" s="460"/>
      <c r="M790" s="389"/>
      <c r="N790" s="389"/>
      <c r="O790" s="389"/>
      <c r="P790" s="389"/>
      <c r="Q790" s="389"/>
      <c r="R790" s="388"/>
      <c r="S790" s="388"/>
      <c r="T790" s="388"/>
      <c r="U790" s="388"/>
      <c r="V790" s="388"/>
      <c r="W790" s="9"/>
      <c r="X790" s="9"/>
      <c r="Y790" s="9"/>
      <c r="Z790" s="9"/>
    </row>
    <row r="791">
      <c r="A791" s="388"/>
      <c r="B791" s="396"/>
      <c r="C791" s="396"/>
      <c r="D791" s="396"/>
      <c r="E791" s="388"/>
      <c r="F791" s="395"/>
      <c r="G791" s="395"/>
      <c r="H791" s="388"/>
      <c r="I791" s="389"/>
      <c r="J791" s="389"/>
      <c r="K791" s="389"/>
      <c r="L791" s="460"/>
      <c r="M791" s="389"/>
      <c r="N791" s="389"/>
      <c r="O791" s="389"/>
      <c r="P791" s="389"/>
      <c r="Q791" s="389"/>
      <c r="R791" s="388"/>
      <c r="S791" s="388"/>
      <c r="T791" s="388"/>
      <c r="U791" s="388"/>
      <c r="V791" s="388"/>
      <c r="W791" s="9"/>
      <c r="X791" s="9"/>
      <c r="Y791" s="9"/>
      <c r="Z791" s="9"/>
    </row>
    <row r="792">
      <c r="A792" s="388"/>
      <c r="B792" s="396"/>
      <c r="C792" s="396"/>
      <c r="D792" s="396"/>
      <c r="E792" s="388"/>
      <c r="F792" s="395"/>
      <c r="G792" s="395"/>
      <c r="H792" s="388"/>
      <c r="I792" s="389"/>
      <c r="J792" s="389"/>
      <c r="K792" s="389"/>
      <c r="L792" s="460"/>
      <c r="M792" s="389"/>
      <c r="N792" s="389"/>
      <c r="O792" s="389"/>
      <c r="P792" s="389"/>
      <c r="Q792" s="389"/>
      <c r="R792" s="388"/>
      <c r="S792" s="388"/>
      <c r="T792" s="388"/>
      <c r="U792" s="388"/>
      <c r="V792" s="388"/>
      <c r="W792" s="9"/>
      <c r="X792" s="9"/>
      <c r="Y792" s="9"/>
      <c r="Z792" s="9"/>
    </row>
    <row r="793">
      <c r="A793" s="388"/>
      <c r="B793" s="396"/>
      <c r="C793" s="396"/>
      <c r="D793" s="396"/>
      <c r="E793" s="388"/>
      <c r="F793" s="395"/>
      <c r="G793" s="395"/>
      <c r="H793" s="388"/>
      <c r="I793" s="389"/>
      <c r="J793" s="389"/>
      <c r="K793" s="389"/>
      <c r="L793" s="460"/>
      <c r="M793" s="389"/>
      <c r="N793" s="389"/>
      <c r="O793" s="389"/>
      <c r="P793" s="389"/>
      <c r="Q793" s="389"/>
      <c r="R793" s="388"/>
      <c r="S793" s="388"/>
      <c r="T793" s="388"/>
      <c r="U793" s="388"/>
      <c r="V793" s="388"/>
      <c r="W793" s="9"/>
      <c r="X793" s="9"/>
      <c r="Y793" s="9"/>
      <c r="Z793" s="9"/>
    </row>
    <row r="794">
      <c r="A794" s="388"/>
      <c r="B794" s="396"/>
      <c r="C794" s="396"/>
      <c r="D794" s="396"/>
      <c r="E794" s="388"/>
      <c r="F794" s="395"/>
      <c r="G794" s="395"/>
      <c r="H794" s="388"/>
      <c r="I794" s="389"/>
      <c r="J794" s="389"/>
      <c r="K794" s="389"/>
      <c r="L794" s="460"/>
      <c r="M794" s="389"/>
      <c r="N794" s="389"/>
      <c r="O794" s="389"/>
      <c r="P794" s="389"/>
      <c r="Q794" s="389"/>
      <c r="R794" s="388"/>
      <c r="S794" s="388"/>
      <c r="T794" s="388"/>
      <c r="U794" s="388"/>
      <c r="V794" s="388"/>
      <c r="W794" s="9"/>
      <c r="X794" s="9"/>
      <c r="Y794" s="9"/>
      <c r="Z794" s="9"/>
    </row>
    <row r="795">
      <c r="A795" s="388"/>
      <c r="B795" s="396"/>
      <c r="C795" s="396"/>
      <c r="D795" s="396"/>
      <c r="E795" s="388"/>
      <c r="F795" s="395"/>
      <c r="G795" s="395"/>
      <c r="H795" s="388"/>
      <c r="I795" s="389"/>
      <c r="J795" s="389"/>
      <c r="K795" s="389"/>
      <c r="L795" s="460"/>
      <c r="M795" s="389"/>
      <c r="N795" s="389"/>
      <c r="O795" s="389"/>
      <c r="P795" s="389"/>
      <c r="Q795" s="389"/>
      <c r="R795" s="388"/>
      <c r="S795" s="388"/>
      <c r="T795" s="388"/>
      <c r="U795" s="388"/>
      <c r="V795" s="388"/>
      <c r="W795" s="9"/>
      <c r="X795" s="9"/>
      <c r="Y795" s="9"/>
      <c r="Z795" s="9"/>
    </row>
    <row r="796">
      <c r="A796" s="388"/>
      <c r="B796" s="396"/>
      <c r="C796" s="396"/>
      <c r="D796" s="396"/>
      <c r="E796" s="388"/>
      <c r="F796" s="395"/>
      <c r="G796" s="395"/>
      <c r="H796" s="388"/>
      <c r="I796" s="389"/>
      <c r="J796" s="389"/>
      <c r="K796" s="389"/>
      <c r="L796" s="460"/>
      <c r="M796" s="389"/>
      <c r="N796" s="389"/>
      <c r="O796" s="389"/>
      <c r="P796" s="389"/>
      <c r="Q796" s="389"/>
      <c r="R796" s="388"/>
      <c r="S796" s="388"/>
      <c r="T796" s="388"/>
      <c r="U796" s="388"/>
      <c r="V796" s="388"/>
      <c r="W796" s="9"/>
      <c r="X796" s="9"/>
      <c r="Y796" s="9"/>
      <c r="Z796" s="9"/>
    </row>
    <row r="797">
      <c r="A797" s="388"/>
      <c r="B797" s="396"/>
      <c r="C797" s="396"/>
      <c r="D797" s="396"/>
      <c r="E797" s="388"/>
      <c r="F797" s="395"/>
      <c r="G797" s="395"/>
      <c r="H797" s="388"/>
      <c r="I797" s="389"/>
      <c r="J797" s="389"/>
      <c r="K797" s="389"/>
      <c r="L797" s="460"/>
      <c r="M797" s="389"/>
      <c r="N797" s="389"/>
      <c r="O797" s="389"/>
      <c r="P797" s="389"/>
      <c r="Q797" s="389"/>
      <c r="R797" s="388"/>
      <c r="S797" s="388"/>
      <c r="T797" s="388"/>
      <c r="U797" s="388"/>
      <c r="V797" s="388"/>
      <c r="W797" s="9"/>
      <c r="X797" s="9"/>
      <c r="Y797" s="9"/>
      <c r="Z797" s="9"/>
    </row>
    <row r="798">
      <c r="A798" s="388"/>
      <c r="B798" s="396"/>
      <c r="C798" s="396"/>
      <c r="D798" s="396"/>
      <c r="E798" s="388"/>
      <c r="F798" s="395"/>
      <c r="G798" s="395"/>
      <c r="H798" s="388"/>
      <c r="I798" s="389"/>
      <c r="J798" s="389"/>
      <c r="K798" s="389"/>
      <c r="L798" s="460"/>
      <c r="M798" s="389"/>
      <c r="N798" s="389"/>
      <c r="O798" s="389"/>
      <c r="P798" s="389"/>
      <c r="Q798" s="389"/>
      <c r="R798" s="388"/>
      <c r="S798" s="388"/>
      <c r="T798" s="388"/>
      <c r="U798" s="388"/>
      <c r="V798" s="388"/>
      <c r="W798" s="9"/>
      <c r="X798" s="9"/>
      <c r="Y798" s="9"/>
      <c r="Z798" s="9"/>
    </row>
    <row r="799">
      <c r="A799" s="388"/>
      <c r="B799" s="396"/>
      <c r="C799" s="396"/>
      <c r="D799" s="396"/>
      <c r="E799" s="388"/>
      <c r="F799" s="395"/>
      <c r="G799" s="395"/>
      <c r="H799" s="388"/>
      <c r="I799" s="389"/>
      <c r="J799" s="389"/>
      <c r="K799" s="389"/>
      <c r="L799" s="460"/>
      <c r="M799" s="389"/>
      <c r="N799" s="389"/>
      <c r="O799" s="389"/>
      <c r="P799" s="389"/>
      <c r="Q799" s="389"/>
      <c r="R799" s="388"/>
      <c r="S799" s="388"/>
      <c r="T799" s="388"/>
      <c r="U799" s="388"/>
      <c r="V799" s="388"/>
      <c r="W799" s="9"/>
      <c r="X799" s="9"/>
      <c r="Y799" s="9"/>
      <c r="Z799" s="9"/>
    </row>
    <row r="800">
      <c r="A800" s="388"/>
      <c r="B800" s="396"/>
      <c r="C800" s="396"/>
      <c r="D800" s="396"/>
      <c r="E800" s="388"/>
      <c r="F800" s="395"/>
      <c r="G800" s="395"/>
      <c r="H800" s="388"/>
      <c r="I800" s="389"/>
      <c r="J800" s="389"/>
      <c r="K800" s="389"/>
      <c r="L800" s="460"/>
      <c r="M800" s="389"/>
      <c r="N800" s="389"/>
      <c r="O800" s="389"/>
      <c r="P800" s="389"/>
      <c r="Q800" s="389"/>
      <c r="R800" s="388"/>
      <c r="S800" s="388"/>
      <c r="T800" s="388"/>
      <c r="U800" s="388"/>
      <c r="V800" s="388"/>
      <c r="W800" s="9"/>
      <c r="X800" s="9"/>
      <c r="Y800" s="9"/>
      <c r="Z800" s="9"/>
    </row>
    <row r="801">
      <c r="A801" s="388"/>
      <c r="B801" s="396"/>
      <c r="C801" s="396"/>
      <c r="D801" s="396"/>
      <c r="E801" s="388"/>
      <c r="F801" s="395"/>
      <c r="G801" s="395"/>
      <c r="H801" s="388"/>
      <c r="I801" s="389"/>
      <c r="J801" s="389"/>
      <c r="K801" s="389"/>
      <c r="L801" s="460"/>
      <c r="M801" s="389"/>
      <c r="N801" s="389"/>
      <c r="O801" s="389"/>
      <c r="P801" s="389"/>
      <c r="Q801" s="389"/>
      <c r="R801" s="388"/>
      <c r="S801" s="388"/>
      <c r="T801" s="388"/>
      <c r="U801" s="388"/>
      <c r="V801" s="388"/>
      <c r="W801" s="9"/>
      <c r="X801" s="9"/>
      <c r="Y801" s="9"/>
      <c r="Z801" s="9"/>
    </row>
    <row r="802">
      <c r="A802" s="388"/>
      <c r="B802" s="396"/>
      <c r="C802" s="396"/>
      <c r="D802" s="396"/>
      <c r="E802" s="388"/>
      <c r="F802" s="395"/>
      <c r="G802" s="395"/>
      <c r="H802" s="388"/>
      <c r="I802" s="389"/>
      <c r="J802" s="389"/>
      <c r="K802" s="389"/>
      <c r="L802" s="460"/>
      <c r="M802" s="389"/>
      <c r="N802" s="389"/>
      <c r="O802" s="389"/>
      <c r="P802" s="389"/>
      <c r="Q802" s="389"/>
      <c r="R802" s="388"/>
      <c r="S802" s="388"/>
      <c r="T802" s="388"/>
      <c r="U802" s="388"/>
      <c r="V802" s="388"/>
      <c r="W802" s="9"/>
      <c r="X802" s="9"/>
      <c r="Y802" s="9"/>
      <c r="Z802" s="9"/>
    </row>
    <row r="803">
      <c r="A803" s="388"/>
      <c r="B803" s="396"/>
      <c r="C803" s="396"/>
      <c r="D803" s="396"/>
      <c r="E803" s="388"/>
      <c r="F803" s="395"/>
      <c r="G803" s="395"/>
      <c r="H803" s="388"/>
      <c r="I803" s="389"/>
      <c r="J803" s="389"/>
      <c r="K803" s="389"/>
      <c r="L803" s="460"/>
      <c r="M803" s="389"/>
      <c r="N803" s="389"/>
      <c r="O803" s="389"/>
      <c r="P803" s="389"/>
      <c r="Q803" s="389"/>
      <c r="R803" s="388"/>
      <c r="S803" s="388"/>
      <c r="T803" s="388"/>
      <c r="U803" s="388"/>
      <c r="V803" s="388"/>
      <c r="W803" s="9"/>
      <c r="X803" s="9"/>
      <c r="Y803" s="9"/>
      <c r="Z803" s="9"/>
    </row>
    <row r="804">
      <c r="A804" s="388"/>
      <c r="B804" s="396"/>
      <c r="C804" s="396"/>
      <c r="D804" s="396"/>
      <c r="E804" s="388"/>
      <c r="F804" s="395"/>
      <c r="G804" s="395"/>
      <c r="H804" s="388"/>
      <c r="I804" s="389"/>
      <c r="J804" s="389"/>
      <c r="K804" s="389"/>
      <c r="L804" s="460"/>
      <c r="M804" s="389"/>
      <c r="N804" s="389"/>
      <c r="O804" s="389"/>
      <c r="P804" s="389"/>
      <c r="Q804" s="389"/>
      <c r="R804" s="388"/>
      <c r="S804" s="388"/>
      <c r="T804" s="388"/>
      <c r="U804" s="388"/>
      <c r="V804" s="388"/>
      <c r="W804" s="9"/>
      <c r="X804" s="9"/>
      <c r="Y804" s="9"/>
      <c r="Z804" s="9"/>
    </row>
    <row r="805">
      <c r="A805" s="388"/>
      <c r="B805" s="396"/>
      <c r="C805" s="396"/>
      <c r="D805" s="396"/>
      <c r="E805" s="388"/>
      <c r="F805" s="395"/>
      <c r="G805" s="395"/>
      <c r="H805" s="388"/>
      <c r="I805" s="389"/>
      <c r="J805" s="389"/>
      <c r="K805" s="389"/>
      <c r="L805" s="460"/>
      <c r="M805" s="389"/>
      <c r="N805" s="389"/>
      <c r="O805" s="389"/>
      <c r="P805" s="389"/>
      <c r="Q805" s="389"/>
      <c r="R805" s="388"/>
      <c r="S805" s="388"/>
      <c r="T805" s="388"/>
      <c r="U805" s="388"/>
      <c r="V805" s="388"/>
      <c r="W805" s="9"/>
      <c r="X805" s="9"/>
      <c r="Y805" s="9"/>
      <c r="Z805" s="9"/>
    </row>
    <row r="806">
      <c r="A806" s="388"/>
      <c r="B806" s="396"/>
      <c r="C806" s="396"/>
      <c r="D806" s="396"/>
      <c r="E806" s="388"/>
      <c r="F806" s="395"/>
      <c r="G806" s="395"/>
      <c r="H806" s="388"/>
      <c r="I806" s="389"/>
      <c r="J806" s="389"/>
      <c r="K806" s="389"/>
      <c r="L806" s="460"/>
      <c r="M806" s="389"/>
      <c r="N806" s="389"/>
      <c r="O806" s="389"/>
      <c r="P806" s="389"/>
      <c r="Q806" s="389"/>
      <c r="R806" s="388"/>
      <c r="S806" s="388"/>
      <c r="T806" s="388"/>
      <c r="U806" s="388"/>
      <c r="V806" s="388"/>
      <c r="W806" s="9"/>
      <c r="X806" s="9"/>
      <c r="Y806" s="9"/>
      <c r="Z806" s="9"/>
    </row>
    <row r="807">
      <c r="A807" s="388"/>
      <c r="B807" s="396"/>
      <c r="C807" s="396"/>
      <c r="D807" s="396"/>
      <c r="E807" s="388"/>
      <c r="F807" s="395"/>
      <c r="G807" s="395"/>
      <c r="H807" s="388"/>
      <c r="I807" s="389"/>
      <c r="J807" s="389"/>
      <c r="K807" s="389"/>
      <c r="L807" s="460"/>
      <c r="M807" s="389"/>
      <c r="N807" s="389"/>
      <c r="O807" s="389"/>
      <c r="P807" s="389"/>
      <c r="Q807" s="389"/>
      <c r="R807" s="388"/>
      <c r="S807" s="388"/>
      <c r="T807" s="388"/>
      <c r="U807" s="388"/>
      <c r="V807" s="388"/>
      <c r="W807" s="9"/>
      <c r="X807" s="9"/>
      <c r="Y807" s="9"/>
      <c r="Z807" s="9"/>
    </row>
    <row r="808">
      <c r="A808" s="388"/>
      <c r="B808" s="396"/>
      <c r="C808" s="396"/>
      <c r="D808" s="396"/>
      <c r="E808" s="388"/>
      <c r="F808" s="395"/>
      <c r="G808" s="395"/>
      <c r="H808" s="388"/>
      <c r="I808" s="389"/>
      <c r="J808" s="389"/>
      <c r="K808" s="389"/>
      <c r="L808" s="460"/>
      <c r="M808" s="389"/>
      <c r="N808" s="389"/>
      <c r="O808" s="389"/>
      <c r="P808" s="389"/>
      <c r="Q808" s="389"/>
      <c r="R808" s="388"/>
      <c r="S808" s="388"/>
      <c r="T808" s="388"/>
      <c r="U808" s="388"/>
      <c r="V808" s="388"/>
      <c r="W808" s="9"/>
      <c r="X808" s="9"/>
      <c r="Y808" s="9"/>
      <c r="Z808" s="9"/>
    </row>
    <row r="809">
      <c r="A809" s="388"/>
      <c r="B809" s="396"/>
      <c r="C809" s="396"/>
      <c r="D809" s="396"/>
      <c r="E809" s="388"/>
      <c r="F809" s="395"/>
      <c r="G809" s="395"/>
      <c r="H809" s="388"/>
      <c r="I809" s="389"/>
      <c r="J809" s="389"/>
      <c r="K809" s="389"/>
      <c r="L809" s="460"/>
      <c r="M809" s="389"/>
      <c r="N809" s="389"/>
      <c r="O809" s="389"/>
      <c r="P809" s="389"/>
      <c r="Q809" s="389"/>
      <c r="R809" s="388"/>
      <c r="S809" s="388"/>
      <c r="T809" s="388"/>
      <c r="U809" s="388"/>
      <c r="V809" s="388"/>
      <c r="W809" s="9"/>
      <c r="X809" s="9"/>
      <c r="Y809" s="9"/>
      <c r="Z809" s="9"/>
    </row>
    <row r="810">
      <c r="A810" s="388"/>
      <c r="B810" s="396"/>
      <c r="C810" s="396"/>
      <c r="D810" s="396"/>
      <c r="E810" s="388"/>
      <c r="F810" s="395"/>
      <c r="G810" s="395"/>
      <c r="H810" s="388"/>
      <c r="I810" s="389"/>
      <c r="J810" s="389"/>
      <c r="K810" s="389"/>
      <c r="L810" s="460"/>
      <c r="M810" s="389"/>
      <c r="N810" s="389"/>
      <c r="O810" s="389"/>
      <c r="P810" s="389"/>
      <c r="Q810" s="389"/>
      <c r="R810" s="388"/>
      <c r="S810" s="388"/>
      <c r="T810" s="388"/>
      <c r="U810" s="388"/>
      <c r="V810" s="388"/>
      <c r="W810" s="9"/>
      <c r="X810" s="9"/>
      <c r="Y810" s="9"/>
      <c r="Z810" s="9"/>
    </row>
    <row r="811">
      <c r="A811" s="388"/>
      <c r="B811" s="396"/>
      <c r="C811" s="396"/>
      <c r="D811" s="396"/>
      <c r="E811" s="388"/>
      <c r="F811" s="395"/>
      <c r="G811" s="395"/>
      <c r="H811" s="388"/>
      <c r="I811" s="389"/>
      <c r="J811" s="389"/>
      <c r="K811" s="389"/>
      <c r="L811" s="460"/>
      <c r="M811" s="389"/>
      <c r="N811" s="389"/>
      <c r="O811" s="389"/>
      <c r="P811" s="389"/>
      <c r="Q811" s="389"/>
      <c r="R811" s="388"/>
      <c r="S811" s="388"/>
      <c r="T811" s="388"/>
      <c r="U811" s="388"/>
      <c r="V811" s="388"/>
      <c r="W811" s="9"/>
      <c r="X811" s="9"/>
      <c r="Y811" s="9"/>
      <c r="Z811" s="9"/>
    </row>
    <row r="812">
      <c r="A812" s="388"/>
      <c r="B812" s="396"/>
      <c r="C812" s="396"/>
      <c r="D812" s="396"/>
      <c r="E812" s="388"/>
      <c r="F812" s="395"/>
      <c r="G812" s="395"/>
      <c r="H812" s="388"/>
      <c r="I812" s="389"/>
      <c r="J812" s="389"/>
      <c r="K812" s="389"/>
      <c r="L812" s="460"/>
      <c r="M812" s="389"/>
      <c r="N812" s="389"/>
      <c r="O812" s="389"/>
      <c r="P812" s="389"/>
      <c r="Q812" s="389"/>
      <c r="R812" s="388"/>
      <c r="S812" s="388"/>
      <c r="T812" s="388"/>
      <c r="U812" s="388"/>
      <c r="V812" s="388"/>
      <c r="W812" s="9"/>
      <c r="X812" s="9"/>
      <c r="Y812" s="9"/>
      <c r="Z812" s="9"/>
    </row>
    <row r="813">
      <c r="A813" s="388"/>
      <c r="B813" s="396"/>
      <c r="C813" s="396"/>
      <c r="D813" s="396"/>
      <c r="E813" s="388"/>
      <c r="F813" s="395"/>
      <c r="G813" s="395"/>
      <c r="H813" s="388"/>
      <c r="I813" s="389"/>
      <c r="J813" s="389"/>
      <c r="K813" s="389"/>
      <c r="L813" s="460"/>
      <c r="M813" s="389"/>
      <c r="N813" s="389"/>
      <c r="O813" s="389"/>
      <c r="P813" s="389"/>
      <c r="Q813" s="389"/>
      <c r="R813" s="388"/>
      <c r="S813" s="388"/>
      <c r="T813" s="388"/>
      <c r="U813" s="388"/>
      <c r="V813" s="388"/>
      <c r="W813" s="9"/>
      <c r="X813" s="9"/>
      <c r="Y813" s="9"/>
      <c r="Z813" s="9"/>
    </row>
    <row r="814">
      <c r="A814" s="388"/>
      <c r="B814" s="396"/>
      <c r="C814" s="396"/>
      <c r="D814" s="396"/>
      <c r="E814" s="388"/>
      <c r="F814" s="395"/>
      <c r="G814" s="395"/>
      <c r="H814" s="388"/>
      <c r="I814" s="389"/>
      <c r="J814" s="389"/>
      <c r="K814" s="389"/>
      <c r="L814" s="460"/>
      <c r="M814" s="389"/>
      <c r="N814" s="389"/>
      <c r="O814" s="389"/>
      <c r="P814" s="389"/>
      <c r="Q814" s="389"/>
      <c r="R814" s="388"/>
      <c r="S814" s="388"/>
      <c r="T814" s="388"/>
      <c r="U814" s="388"/>
      <c r="V814" s="388"/>
      <c r="W814" s="9"/>
      <c r="X814" s="9"/>
      <c r="Y814" s="9"/>
      <c r="Z814" s="9"/>
    </row>
    <row r="815">
      <c r="A815" s="388"/>
      <c r="B815" s="396"/>
      <c r="C815" s="396"/>
      <c r="D815" s="396"/>
      <c r="E815" s="388"/>
      <c r="F815" s="395"/>
      <c r="G815" s="395"/>
      <c r="H815" s="388"/>
      <c r="I815" s="389"/>
      <c r="J815" s="389"/>
      <c r="K815" s="389"/>
      <c r="L815" s="460"/>
      <c r="M815" s="389"/>
      <c r="N815" s="389"/>
      <c r="O815" s="389"/>
      <c r="P815" s="389"/>
      <c r="Q815" s="389"/>
      <c r="R815" s="388"/>
      <c r="S815" s="388"/>
      <c r="T815" s="388"/>
      <c r="U815" s="388"/>
      <c r="V815" s="388"/>
      <c r="W815" s="9"/>
      <c r="X815" s="9"/>
      <c r="Y815" s="9"/>
      <c r="Z815" s="9"/>
    </row>
    <row r="816">
      <c r="A816" s="388"/>
      <c r="B816" s="396"/>
      <c r="C816" s="396"/>
      <c r="D816" s="396"/>
      <c r="E816" s="388"/>
      <c r="F816" s="395"/>
      <c r="G816" s="395"/>
      <c r="H816" s="388"/>
      <c r="I816" s="389"/>
      <c r="J816" s="389"/>
      <c r="K816" s="389"/>
      <c r="L816" s="460"/>
      <c r="M816" s="389"/>
      <c r="N816" s="389"/>
      <c r="O816" s="389"/>
      <c r="P816" s="389"/>
      <c r="Q816" s="389"/>
      <c r="R816" s="388"/>
      <c r="S816" s="388"/>
      <c r="T816" s="388"/>
      <c r="U816" s="388"/>
      <c r="V816" s="388"/>
      <c r="W816" s="9"/>
      <c r="X816" s="9"/>
      <c r="Y816" s="9"/>
      <c r="Z816" s="9"/>
    </row>
    <row r="817">
      <c r="A817" s="388"/>
      <c r="B817" s="396"/>
      <c r="C817" s="396"/>
      <c r="D817" s="396"/>
      <c r="E817" s="388"/>
      <c r="F817" s="395"/>
      <c r="G817" s="395"/>
      <c r="H817" s="388"/>
      <c r="I817" s="389"/>
      <c r="J817" s="389"/>
      <c r="K817" s="389"/>
      <c r="L817" s="460"/>
      <c r="M817" s="389"/>
      <c r="N817" s="389"/>
      <c r="O817" s="389"/>
      <c r="P817" s="389"/>
      <c r="Q817" s="389"/>
      <c r="R817" s="388"/>
      <c r="S817" s="388"/>
      <c r="T817" s="388"/>
      <c r="U817" s="388"/>
      <c r="V817" s="388"/>
      <c r="W817" s="9"/>
      <c r="X817" s="9"/>
      <c r="Y817" s="9"/>
      <c r="Z817" s="9"/>
    </row>
    <row r="818">
      <c r="A818" s="388"/>
      <c r="B818" s="396"/>
      <c r="C818" s="396"/>
      <c r="D818" s="396"/>
      <c r="E818" s="388"/>
      <c r="F818" s="395"/>
      <c r="G818" s="395"/>
      <c r="H818" s="388"/>
      <c r="I818" s="389"/>
      <c r="J818" s="389"/>
      <c r="K818" s="389"/>
      <c r="L818" s="460"/>
      <c r="M818" s="389"/>
      <c r="N818" s="389"/>
      <c r="O818" s="389"/>
      <c r="P818" s="389"/>
      <c r="Q818" s="389"/>
      <c r="R818" s="388"/>
      <c r="S818" s="388"/>
      <c r="T818" s="388"/>
      <c r="U818" s="388"/>
      <c r="V818" s="388"/>
      <c r="W818" s="9"/>
      <c r="X818" s="9"/>
      <c r="Y818" s="9"/>
      <c r="Z818" s="9"/>
    </row>
    <row r="819">
      <c r="A819" s="388"/>
      <c r="B819" s="396"/>
      <c r="C819" s="396"/>
      <c r="D819" s="396"/>
      <c r="E819" s="388"/>
      <c r="F819" s="395"/>
      <c r="G819" s="395"/>
      <c r="H819" s="388"/>
      <c r="I819" s="389"/>
      <c r="J819" s="389"/>
      <c r="K819" s="389"/>
      <c r="L819" s="460"/>
      <c r="M819" s="389"/>
      <c r="N819" s="389"/>
      <c r="O819" s="389"/>
      <c r="P819" s="389"/>
      <c r="Q819" s="389"/>
      <c r="R819" s="388"/>
      <c r="S819" s="388"/>
      <c r="T819" s="388"/>
      <c r="U819" s="388"/>
      <c r="V819" s="388"/>
      <c r="W819" s="9"/>
      <c r="X819" s="9"/>
      <c r="Y819" s="9"/>
      <c r="Z819" s="9"/>
    </row>
    <row r="820">
      <c r="A820" s="388"/>
      <c r="B820" s="396"/>
      <c r="C820" s="396"/>
      <c r="D820" s="396"/>
      <c r="E820" s="388"/>
      <c r="F820" s="395"/>
      <c r="G820" s="395"/>
      <c r="H820" s="388"/>
      <c r="I820" s="389"/>
      <c r="J820" s="389"/>
      <c r="K820" s="389"/>
      <c r="L820" s="460"/>
      <c r="M820" s="389"/>
      <c r="N820" s="389"/>
      <c r="O820" s="389"/>
      <c r="P820" s="389"/>
      <c r="Q820" s="389"/>
      <c r="R820" s="388"/>
      <c r="S820" s="388"/>
      <c r="T820" s="388"/>
      <c r="U820" s="388"/>
      <c r="V820" s="388"/>
      <c r="W820" s="9"/>
      <c r="X820" s="9"/>
      <c r="Y820" s="9"/>
      <c r="Z820" s="9"/>
    </row>
    <row r="821">
      <c r="A821" s="388"/>
      <c r="B821" s="396"/>
      <c r="C821" s="396"/>
      <c r="D821" s="396"/>
      <c r="E821" s="388"/>
      <c r="F821" s="395"/>
      <c r="G821" s="395"/>
      <c r="H821" s="388"/>
      <c r="I821" s="389"/>
      <c r="J821" s="389"/>
      <c r="K821" s="389"/>
      <c r="L821" s="460"/>
      <c r="M821" s="389"/>
      <c r="N821" s="389"/>
      <c r="O821" s="389"/>
      <c r="P821" s="389"/>
      <c r="Q821" s="389"/>
      <c r="R821" s="388"/>
      <c r="S821" s="388"/>
      <c r="T821" s="388"/>
      <c r="U821" s="388"/>
      <c r="V821" s="388"/>
      <c r="W821" s="9"/>
      <c r="X821" s="9"/>
      <c r="Y821" s="9"/>
      <c r="Z821" s="9"/>
    </row>
    <row r="822">
      <c r="A822" s="388"/>
      <c r="B822" s="396"/>
      <c r="C822" s="396"/>
      <c r="D822" s="396"/>
      <c r="E822" s="388"/>
      <c r="F822" s="395"/>
      <c r="G822" s="395"/>
      <c r="H822" s="388"/>
      <c r="I822" s="389"/>
      <c r="J822" s="389"/>
      <c r="K822" s="389"/>
      <c r="L822" s="460"/>
      <c r="M822" s="389"/>
      <c r="N822" s="389"/>
      <c r="O822" s="389"/>
      <c r="P822" s="389"/>
      <c r="Q822" s="389"/>
      <c r="R822" s="388"/>
      <c r="S822" s="388"/>
      <c r="T822" s="388"/>
      <c r="U822" s="388"/>
      <c r="V822" s="388"/>
      <c r="W822" s="9"/>
      <c r="X822" s="9"/>
      <c r="Y822" s="9"/>
      <c r="Z822" s="9"/>
    </row>
    <row r="823">
      <c r="A823" s="388"/>
      <c r="B823" s="396"/>
      <c r="C823" s="396"/>
      <c r="D823" s="396"/>
      <c r="E823" s="388"/>
      <c r="F823" s="395"/>
      <c r="G823" s="395"/>
      <c r="H823" s="388"/>
      <c r="I823" s="389"/>
      <c r="J823" s="389"/>
      <c r="K823" s="389"/>
      <c r="L823" s="460"/>
      <c r="M823" s="389"/>
      <c r="N823" s="389"/>
      <c r="O823" s="389"/>
      <c r="P823" s="389"/>
      <c r="Q823" s="389"/>
      <c r="R823" s="388"/>
      <c r="S823" s="388"/>
      <c r="T823" s="388"/>
      <c r="U823" s="388"/>
      <c r="V823" s="388"/>
      <c r="W823" s="9"/>
      <c r="X823" s="9"/>
      <c r="Y823" s="9"/>
      <c r="Z823" s="9"/>
    </row>
    <row r="824">
      <c r="A824" s="388"/>
      <c r="B824" s="396"/>
      <c r="C824" s="396"/>
      <c r="D824" s="396"/>
      <c r="E824" s="388"/>
      <c r="F824" s="395"/>
      <c r="G824" s="395"/>
      <c r="H824" s="388"/>
      <c r="I824" s="389"/>
      <c r="J824" s="389"/>
      <c r="K824" s="389"/>
      <c r="L824" s="460"/>
      <c r="M824" s="389"/>
      <c r="N824" s="389"/>
      <c r="O824" s="389"/>
      <c r="P824" s="389"/>
      <c r="Q824" s="389"/>
      <c r="R824" s="388"/>
      <c r="S824" s="388"/>
      <c r="T824" s="388"/>
      <c r="U824" s="388"/>
      <c r="V824" s="388"/>
      <c r="W824" s="9"/>
      <c r="X824" s="9"/>
      <c r="Y824" s="9"/>
      <c r="Z824" s="9"/>
    </row>
    <row r="825">
      <c r="A825" s="388"/>
      <c r="B825" s="396"/>
      <c r="C825" s="396"/>
      <c r="D825" s="396"/>
      <c r="E825" s="388"/>
      <c r="F825" s="395"/>
      <c r="G825" s="395"/>
      <c r="H825" s="388"/>
      <c r="I825" s="389"/>
      <c r="J825" s="389"/>
      <c r="K825" s="389"/>
      <c r="L825" s="460"/>
      <c r="M825" s="389"/>
      <c r="N825" s="389"/>
      <c r="O825" s="389"/>
      <c r="P825" s="389"/>
      <c r="Q825" s="389"/>
      <c r="R825" s="388"/>
      <c r="S825" s="388"/>
      <c r="T825" s="388"/>
      <c r="U825" s="388"/>
      <c r="V825" s="388"/>
      <c r="W825" s="9"/>
      <c r="X825" s="9"/>
      <c r="Y825" s="9"/>
      <c r="Z825" s="9"/>
    </row>
    <row r="826">
      <c r="A826" s="388"/>
      <c r="B826" s="396"/>
      <c r="C826" s="396"/>
      <c r="D826" s="396"/>
      <c r="E826" s="388"/>
      <c r="F826" s="395"/>
      <c r="G826" s="395"/>
      <c r="H826" s="388"/>
      <c r="I826" s="389"/>
      <c r="J826" s="389"/>
      <c r="K826" s="389"/>
      <c r="L826" s="460"/>
      <c r="M826" s="389"/>
      <c r="N826" s="389"/>
      <c r="O826" s="389"/>
      <c r="P826" s="389"/>
      <c r="Q826" s="389"/>
      <c r="R826" s="388"/>
      <c r="S826" s="388"/>
      <c r="T826" s="388"/>
      <c r="U826" s="388"/>
      <c r="V826" s="388"/>
      <c r="W826" s="9"/>
      <c r="X826" s="9"/>
      <c r="Y826" s="9"/>
      <c r="Z826" s="9"/>
    </row>
    <row r="827">
      <c r="A827" s="388"/>
      <c r="B827" s="396"/>
      <c r="C827" s="396"/>
      <c r="D827" s="396"/>
      <c r="E827" s="388"/>
      <c r="F827" s="395"/>
      <c r="G827" s="395"/>
      <c r="H827" s="388"/>
      <c r="I827" s="389"/>
      <c r="J827" s="389"/>
      <c r="K827" s="389"/>
      <c r="L827" s="460"/>
      <c r="M827" s="389"/>
      <c r="N827" s="389"/>
      <c r="O827" s="389"/>
      <c r="P827" s="389"/>
      <c r="Q827" s="389"/>
      <c r="R827" s="388"/>
      <c r="S827" s="388"/>
      <c r="T827" s="388"/>
      <c r="U827" s="388"/>
      <c r="V827" s="388"/>
      <c r="W827" s="9"/>
      <c r="X827" s="9"/>
      <c r="Y827" s="9"/>
      <c r="Z827" s="9"/>
    </row>
    <row r="828">
      <c r="A828" s="388"/>
      <c r="B828" s="396"/>
      <c r="C828" s="396"/>
      <c r="D828" s="396"/>
      <c r="E828" s="388"/>
      <c r="F828" s="395"/>
      <c r="G828" s="395"/>
      <c r="H828" s="388"/>
      <c r="I828" s="389"/>
      <c r="J828" s="389"/>
      <c r="K828" s="389"/>
      <c r="L828" s="460"/>
      <c r="M828" s="389"/>
      <c r="N828" s="389"/>
      <c r="O828" s="389"/>
      <c r="P828" s="389"/>
      <c r="Q828" s="389"/>
      <c r="R828" s="388"/>
      <c r="S828" s="388"/>
      <c r="T828" s="388"/>
      <c r="U828" s="388"/>
      <c r="V828" s="388"/>
      <c r="W828" s="9"/>
      <c r="X828" s="9"/>
      <c r="Y828" s="9"/>
      <c r="Z828" s="9"/>
    </row>
    <row r="829">
      <c r="A829" s="388"/>
      <c r="B829" s="396"/>
      <c r="C829" s="396"/>
      <c r="D829" s="396"/>
      <c r="E829" s="388"/>
      <c r="F829" s="395"/>
      <c r="G829" s="395"/>
      <c r="H829" s="388"/>
      <c r="I829" s="389"/>
      <c r="J829" s="389"/>
      <c r="K829" s="389"/>
      <c r="L829" s="460"/>
      <c r="M829" s="389"/>
      <c r="N829" s="389"/>
      <c r="O829" s="389"/>
      <c r="P829" s="389"/>
      <c r="Q829" s="389"/>
      <c r="R829" s="388"/>
      <c r="S829" s="388"/>
      <c r="T829" s="388"/>
      <c r="U829" s="388"/>
      <c r="V829" s="388"/>
      <c r="W829" s="9"/>
      <c r="X829" s="9"/>
      <c r="Y829" s="9"/>
      <c r="Z829" s="9"/>
    </row>
    <row r="830">
      <c r="A830" s="388"/>
      <c r="B830" s="396"/>
      <c r="C830" s="396"/>
      <c r="D830" s="396"/>
      <c r="E830" s="388"/>
      <c r="F830" s="395"/>
      <c r="G830" s="395"/>
      <c r="H830" s="388"/>
      <c r="I830" s="389"/>
      <c r="J830" s="389"/>
      <c r="K830" s="389"/>
      <c r="L830" s="460"/>
      <c r="M830" s="389"/>
      <c r="N830" s="389"/>
      <c r="O830" s="389"/>
      <c r="P830" s="389"/>
      <c r="Q830" s="389"/>
      <c r="R830" s="388"/>
      <c r="S830" s="388"/>
      <c r="T830" s="388"/>
      <c r="U830" s="388"/>
      <c r="V830" s="388"/>
      <c r="W830" s="9"/>
      <c r="X830" s="9"/>
      <c r="Y830" s="9"/>
      <c r="Z830" s="9"/>
    </row>
    <row r="831">
      <c r="A831" s="388"/>
      <c r="B831" s="396"/>
      <c r="C831" s="396"/>
      <c r="D831" s="396"/>
      <c r="E831" s="388"/>
      <c r="F831" s="395"/>
      <c r="G831" s="395"/>
      <c r="H831" s="388"/>
      <c r="I831" s="389"/>
      <c r="J831" s="389"/>
      <c r="K831" s="389"/>
      <c r="L831" s="460"/>
      <c r="M831" s="389"/>
      <c r="N831" s="389"/>
      <c r="O831" s="389"/>
      <c r="P831" s="389"/>
      <c r="Q831" s="389"/>
      <c r="R831" s="388"/>
      <c r="S831" s="388"/>
      <c r="T831" s="388"/>
      <c r="U831" s="388"/>
      <c r="V831" s="388"/>
      <c r="W831" s="9"/>
      <c r="X831" s="9"/>
      <c r="Y831" s="9"/>
      <c r="Z831" s="9"/>
    </row>
    <row r="832">
      <c r="A832" s="388"/>
      <c r="B832" s="396"/>
      <c r="C832" s="396"/>
      <c r="D832" s="396"/>
      <c r="E832" s="388"/>
      <c r="F832" s="395"/>
      <c r="G832" s="395"/>
      <c r="H832" s="388"/>
      <c r="I832" s="389"/>
      <c r="J832" s="389"/>
      <c r="K832" s="389"/>
      <c r="L832" s="460"/>
      <c r="M832" s="389"/>
      <c r="N832" s="389"/>
      <c r="O832" s="389"/>
      <c r="P832" s="389"/>
      <c r="Q832" s="389"/>
      <c r="R832" s="388"/>
      <c r="S832" s="388"/>
      <c r="T832" s="388"/>
      <c r="U832" s="388"/>
      <c r="V832" s="388"/>
      <c r="W832" s="9"/>
      <c r="X832" s="9"/>
      <c r="Y832" s="9"/>
      <c r="Z832" s="9"/>
    </row>
    <row r="833">
      <c r="A833" s="388"/>
      <c r="B833" s="396"/>
      <c r="C833" s="396"/>
      <c r="D833" s="396"/>
      <c r="E833" s="388"/>
      <c r="F833" s="395"/>
      <c r="G833" s="395"/>
      <c r="H833" s="388"/>
      <c r="I833" s="389"/>
      <c r="J833" s="389"/>
      <c r="K833" s="389"/>
      <c r="L833" s="460"/>
      <c r="M833" s="389"/>
      <c r="N833" s="389"/>
      <c r="O833" s="389"/>
      <c r="P833" s="389"/>
      <c r="Q833" s="389"/>
      <c r="R833" s="388"/>
      <c r="S833" s="388"/>
      <c r="T833" s="388"/>
      <c r="U833" s="388"/>
      <c r="V833" s="388"/>
      <c r="W833" s="9"/>
      <c r="X833" s="9"/>
      <c r="Y833" s="9"/>
      <c r="Z833" s="9"/>
    </row>
    <row r="834">
      <c r="A834" s="388"/>
      <c r="B834" s="396"/>
      <c r="C834" s="396"/>
      <c r="D834" s="396"/>
      <c r="E834" s="388"/>
      <c r="F834" s="395"/>
      <c r="G834" s="395"/>
      <c r="H834" s="388"/>
      <c r="I834" s="389"/>
      <c r="J834" s="389"/>
      <c r="K834" s="389"/>
      <c r="L834" s="460"/>
      <c r="M834" s="389"/>
      <c r="N834" s="389"/>
      <c r="O834" s="389"/>
      <c r="P834" s="389"/>
      <c r="Q834" s="389"/>
      <c r="R834" s="388"/>
      <c r="S834" s="388"/>
      <c r="T834" s="388"/>
      <c r="U834" s="388"/>
      <c r="V834" s="388"/>
      <c r="W834" s="9"/>
      <c r="X834" s="9"/>
      <c r="Y834" s="9"/>
      <c r="Z834" s="9"/>
    </row>
    <row r="835">
      <c r="A835" s="388"/>
      <c r="B835" s="396"/>
      <c r="C835" s="396"/>
      <c r="D835" s="396"/>
      <c r="E835" s="388"/>
      <c r="F835" s="395"/>
      <c r="G835" s="395"/>
      <c r="H835" s="388"/>
      <c r="I835" s="389"/>
      <c r="J835" s="389"/>
      <c r="K835" s="389"/>
      <c r="L835" s="460"/>
      <c r="M835" s="389"/>
      <c r="N835" s="389"/>
      <c r="O835" s="389"/>
      <c r="P835" s="389"/>
      <c r="Q835" s="389"/>
      <c r="R835" s="388"/>
      <c r="S835" s="388"/>
      <c r="T835" s="388"/>
      <c r="U835" s="388"/>
      <c r="V835" s="388"/>
      <c r="W835" s="9"/>
      <c r="X835" s="9"/>
      <c r="Y835" s="9"/>
      <c r="Z835" s="9"/>
    </row>
    <row r="836">
      <c r="A836" s="388"/>
      <c r="B836" s="396"/>
      <c r="C836" s="396"/>
      <c r="D836" s="396"/>
      <c r="E836" s="388"/>
      <c r="F836" s="395"/>
      <c r="G836" s="395"/>
      <c r="H836" s="388"/>
      <c r="I836" s="389"/>
      <c r="J836" s="389"/>
      <c r="K836" s="389"/>
      <c r="L836" s="460"/>
      <c r="M836" s="389"/>
      <c r="N836" s="389"/>
      <c r="O836" s="389"/>
      <c r="P836" s="389"/>
      <c r="Q836" s="389"/>
      <c r="R836" s="388"/>
      <c r="S836" s="388"/>
      <c r="T836" s="388"/>
      <c r="U836" s="388"/>
      <c r="V836" s="388"/>
      <c r="W836" s="9"/>
      <c r="X836" s="9"/>
      <c r="Y836" s="9"/>
      <c r="Z836" s="9"/>
    </row>
    <row r="837">
      <c r="A837" s="388"/>
      <c r="B837" s="396"/>
      <c r="C837" s="396"/>
      <c r="D837" s="396"/>
      <c r="E837" s="388"/>
      <c r="F837" s="395"/>
      <c r="G837" s="395"/>
      <c r="H837" s="388"/>
      <c r="I837" s="389"/>
      <c r="J837" s="389"/>
      <c r="K837" s="389"/>
      <c r="L837" s="460"/>
      <c r="M837" s="389"/>
      <c r="N837" s="389"/>
      <c r="O837" s="389"/>
      <c r="P837" s="389"/>
      <c r="Q837" s="389"/>
      <c r="R837" s="388"/>
      <c r="S837" s="388"/>
      <c r="T837" s="388"/>
      <c r="U837" s="388"/>
      <c r="V837" s="388"/>
      <c r="W837" s="9"/>
      <c r="X837" s="9"/>
      <c r="Y837" s="9"/>
      <c r="Z837" s="9"/>
    </row>
    <row r="838">
      <c r="A838" s="388"/>
      <c r="B838" s="396"/>
      <c r="C838" s="396"/>
      <c r="D838" s="396"/>
      <c r="E838" s="388"/>
      <c r="F838" s="395"/>
      <c r="G838" s="395"/>
      <c r="H838" s="388"/>
      <c r="I838" s="389"/>
      <c r="J838" s="389"/>
      <c r="K838" s="389"/>
      <c r="L838" s="460"/>
      <c r="M838" s="389"/>
      <c r="N838" s="389"/>
      <c r="O838" s="389"/>
      <c r="P838" s="389"/>
      <c r="Q838" s="389"/>
      <c r="R838" s="388"/>
      <c r="S838" s="388"/>
      <c r="T838" s="388"/>
      <c r="U838" s="388"/>
      <c r="V838" s="388"/>
      <c r="W838" s="9"/>
      <c r="X838" s="9"/>
      <c r="Y838" s="9"/>
      <c r="Z838" s="9"/>
    </row>
    <row r="839">
      <c r="A839" s="388"/>
      <c r="B839" s="396"/>
      <c r="C839" s="396"/>
      <c r="D839" s="396"/>
      <c r="E839" s="388"/>
      <c r="F839" s="395"/>
      <c r="G839" s="395"/>
      <c r="H839" s="388"/>
      <c r="I839" s="389"/>
      <c r="J839" s="389"/>
      <c r="K839" s="389"/>
      <c r="L839" s="460"/>
      <c r="M839" s="389"/>
      <c r="N839" s="389"/>
      <c r="O839" s="389"/>
      <c r="P839" s="389"/>
      <c r="Q839" s="389"/>
      <c r="R839" s="388"/>
      <c r="S839" s="388"/>
      <c r="T839" s="388"/>
      <c r="U839" s="388"/>
      <c r="V839" s="388"/>
      <c r="W839" s="9"/>
      <c r="X839" s="9"/>
      <c r="Y839" s="9"/>
      <c r="Z839" s="9"/>
    </row>
    <row r="840">
      <c r="A840" s="388"/>
      <c r="B840" s="396"/>
      <c r="C840" s="396"/>
      <c r="D840" s="396"/>
      <c r="E840" s="388"/>
      <c r="F840" s="395"/>
      <c r="G840" s="395"/>
      <c r="H840" s="388"/>
      <c r="I840" s="389"/>
      <c r="J840" s="389"/>
      <c r="K840" s="389"/>
      <c r="L840" s="460"/>
      <c r="M840" s="389"/>
      <c r="N840" s="389"/>
      <c r="O840" s="389"/>
      <c r="P840" s="389"/>
      <c r="Q840" s="389"/>
      <c r="R840" s="388"/>
      <c r="S840" s="388"/>
      <c r="T840" s="388"/>
      <c r="U840" s="388"/>
      <c r="V840" s="388"/>
      <c r="W840" s="9"/>
      <c r="X840" s="9"/>
      <c r="Y840" s="9"/>
      <c r="Z840" s="9"/>
    </row>
    <row r="841">
      <c r="A841" s="388"/>
      <c r="B841" s="396"/>
      <c r="C841" s="396"/>
      <c r="D841" s="396"/>
      <c r="E841" s="388"/>
      <c r="F841" s="395"/>
      <c r="G841" s="395"/>
      <c r="H841" s="388"/>
      <c r="I841" s="389"/>
      <c r="J841" s="389"/>
      <c r="K841" s="389"/>
      <c r="L841" s="460"/>
      <c r="M841" s="389"/>
      <c r="N841" s="389"/>
      <c r="O841" s="389"/>
      <c r="P841" s="389"/>
      <c r="Q841" s="389"/>
      <c r="R841" s="388"/>
      <c r="S841" s="388"/>
      <c r="T841" s="388"/>
      <c r="U841" s="388"/>
      <c r="V841" s="388"/>
      <c r="W841" s="9"/>
      <c r="X841" s="9"/>
      <c r="Y841" s="9"/>
      <c r="Z841" s="9"/>
    </row>
    <row r="842">
      <c r="A842" s="388"/>
      <c r="B842" s="396"/>
      <c r="C842" s="396"/>
      <c r="D842" s="396"/>
      <c r="E842" s="388"/>
      <c r="F842" s="395"/>
      <c r="G842" s="395"/>
      <c r="H842" s="388"/>
      <c r="I842" s="389"/>
      <c r="J842" s="389"/>
      <c r="K842" s="389"/>
      <c r="L842" s="460"/>
      <c r="M842" s="389"/>
      <c r="N842" s="389"/>
      <c r="O842" s="389"/>
      <c r="P842" s="389"/>
      <c r="Q842" s="389"/>
      <c r="R842" s="388"/>
      <c r="S842" s="388"/>
      <c r="T842" s="388"/>
      <c r="U842" s="388"/>
      <c r="V842" s="388"/>
      <c r="W842" s="9"/>
      <c r="X842" s="9"/>
      <c r="Y842" s="9"/>
      <c r="Z842" s="9"/>
    </row>
    <row r="843">
      <c r="A843" s="388"/>
      <c r="B843" s="396"/>
      <c r="C843" s="396"/>
      <c r="D843" s="396"/>
      <c r="E843" s="388"/>
      <c r="F843" s="395"/>
      <c r="G843" s="395"/>
      <c r="H843" s="388"/>
      <c r="I843" s="389"/>
      <c r="J843" s="389"/>
      <c r="K843" s="389"/>
      <c r="L843" s="460"/>
      <c r="M843" s="389"/>
      <c r="N843" s="389"/>
      <c r="O843" s="389"/>
      <c r="P843" s="389"/>
      <c r="Q843" s="389"/>
      <c r="R843" s="388"/>
      <c r="S843" s="388"/>
      <c r="T843" s="388"/>
      <c r="U843" s="388"/>
      <c r="V843" s="388"/>
      <c r="W843" s="9"/>
      <c r="X843" s="9"/>
      <c r="Y843" s="9"/>
      <c r="Z843" s="9"/>
    </row>
    <row r="844">
      <c r="A844" s="388"/>
      <c r="B844" s="396"/>
      <c r="C844" s="396"/>
      <c r="D844" s="396"/>
      <c r="E844" s="388"/>
      <c r="F844" s="395"/>
      <c r="G844" s="395"/>
      <c r="H844" s="388"/>
      <c r="I844" s="389"/>
      <c r="J844" s="389"/>
      <c r="K844" s="389"/>
      <c r="L844" s="460"/>
      <c r="M844" s="389"/>
      <c r="N844" s="389"/>
      <c r="O844" s="389"/>
      <c r="P844" s="389"/>
      <c r="Q844" s="389"/>
      <c r="R844" s="388"/>
      <c r="S844" s="388"/>
      <c r="T844" s="388"/>
      <c r="U844" s="388"/>
      <c r="V844" s="388"/>
      <c r="W844" s="9"/>
      <c r="X844" s="9"/>
      <c r="Y844" s="9"/>
      <c r="Z844" s="9"/>
    </row>
    <row r="845">
      <c r="A845" s="388"/>
      <c r="B845" s="396"/>
      <c r="C845" s="396"/>
      <c r="D845" s="396"/>
      <c r="E845" s="388"/>
      <c r="F845" s="395"/>
      <c r="G845" s="395"/>
      <c r="H845" s="388"/>
      <c r="I845" s="389"/>
      <c r="J845" s="389"/>
      <c r="K845" s="389"/>
      <c r="L845" s="460"/>
      <c r="M845" s="389"/>
      <c r="N845" s="389"/>
      <c r="O845" s="389"/>
      <c r="P845" s="389"/>
      <c r="Q845" s="389"/>
      <c r="R845" s="388"/>
      <c r="S845" s="388"/>
      <c r="T845" s="388"/>
      <c r="U845" s="388"/>
      <c r="V845" s="388"/>
      <c r="W845" s="9"/>
      <c r="X845" s="9"/>
      <c r="Y845" s="9"/>
      <c r="Z845" s="9"/>
    </row>
    <row r="846">
      <c r="A846" s="388"/>
      <c r="B846" s="396"/>
      <c r="C846" s="396"/>
      <c r="D846" s="396"/>
      <c r="E846" s="388"/>
      <c r="F846" s="395"/>
      <c r="G846" s="395"/>
      <c r="H846" s="388"/>
      <c r="I846" s="389"/>
      <c r="J846" s="389"/>
      <c r="K846" s="389"/>
      <c r="L846" s="460"/>
      <c r="M846" s="389"/>
      <c r="N846" s="389"/>
      <c r="O846" s="389"/>
      <c r="P846" s="389"/>
      <c r="Q846" s="389"/>
      <c r="R846" s="388"/>
      <c r="S846" s="388"/>
      <c r="T846" s="388"/>
      <c r="U846" s="388"/>
      <c r="V846" s="388"/>
      <c r="W846" s="9"/>
      <c r="X846" s="9"/>
      <c r="Y846" s="9"/>
      <c r="Z846" s="9"/>
    </row>
    <row r="847">
      <c r="A847" s="388"/>
      <c r="B847" s="396"/>
      <c r="C847" s="396"/>
      <c r="D847" s="396"/>
      <c r="E847" s="388"/>
      <c r="F847" s="395"/>
      <c r="G847" s="395"/>
      <c r="H847" s="388"/>
      <c r="I847" s="389"/>
      <c r="J847" s="389"/>
      <c r="K847" s="389"/>
      <c r="L847" s="460"/>
      <c r="M847" s="389"/>
      <c r="N847" s="389"/>
      <c r="O847" s="389"/>
      <c r="P847" s="389"/>
      <c r="Q847" s="389"/>
      <c r="R847" s="388"/>
      <c r="S847" s="388"/>
      <c r="T847" s="388"/>
      <c r="U847" s="388"/>
      <c r="V847" s="388"/>
      <c r="W847" s="9"/>
      <c r="X847" s="9"/>
      <c r="Y847" s="9"/>
      <c r="Z847" s="9"/>
    </row>
    <row r="848">
      <c r="A848" s="388"/>
      <c r="B848" s="396"/>
      <c r="C848" s="396"/>
      <c r="D848" s="396"/>
      <c r="E848" s="388"/>
      <c r="F848" s="395"/>
      <c r="G848" s="395"/>
      <c r="H848" s="388"/>
      <c r="I848" s="389"/>
      <c r="J848" s="389"/>
      <c r="K848" s="389"/>
      <c r="L848" s="460"/>
      <c r="M848" s="389"/>
      <c r="N848" s="389"/>
      <c r="O848" s="389"/>
      <c r="P848" s="389"/>
      <c r="Q848" s="389"/>
      <c r="R848" s="388"/>
      <c r="S848" s="388"/>
      <c r="T848" s="388"/>
      <c r="U848" s="388"/>
      <c r="V848" s="388"/>
      <c r="W848" s="9"/>
      <c r="X848" s="9"/>
      <c r="Y848" s="9"/>
      <c r="Z848" s="9"/>
    </row>
    <row r="849">
      <c r="A849" s="388"/>
      <c r="B849" s="396"/>
      <c r="C849" s="396"/>
      <c r="D849" s="396"/>
      <c r="E849" s="388"/>
      <c r="F849" s="395"/>
      <c r="G849" s="395"/>
      <c r="H849" s="388"/>
      <c r="I849" s="389"/>
      <c r="J849" s="389"/>
      <c r="K849" s="389"/>
      <c r="L849" s="460"/>
      <c r="M849" s="389"/>
      <c r="N849" s="389"/>
      <c r="O849" s="389"/>
      <c r="P849" s="389"/>
      <c r="Q849" s="389"/>
      <c r="R849" s="388"/>
      <c r="S849" s="388"/>
      <c r="T849" s="388"/>
      <c r="U849" s="388"/>
      <c r="V849" s="388"/>
      <c r="W849" s="9"/>
      <c r="X849" s="9"/>
      <c r="Y849" s="9"/>
      <c r="Z849" s="9"/>
    </row>
    <row r="850">
      <c r="A850" s="388"/>
      <c r="B850" s="396"/>
      <c r="C850" s="396"/>
      <c r="D850" s="396"/>
      <c r="E850" s="388"/>
      <c r="F850" s="395"/>
      <c r="G850" s="395"/>
      <c r="H850" s="388"/>
      <c r="I850" s="389"/>
      <c r="J850" s="389"/>
      <c r="K850" s="389"/>
      <c r="L850" s="460"/>
      <c r="M850" s="389"/>
      <c r="N850" s="389"/>
      <c r="O850" s="389"/>
      <c r="P850" s="389"/>
      <c r="Q850" s="389"/>
      <c r="R850" s="388"/>
      <c r="S850" s="388"/>
      <c r="T850" s="388"/>
      <c r="U850" s="388"/>
      <c r="V850" s="388"/>
      <c r="W850" s="9"/>
      <c r="X850" s="9"/>
      <c r="Y850" s="9"/>
      <c r="Z850" s="9"/>
    </row>
    <row r="851">
      <c r="A851" s="388"/>
      <c r="B851" s="396"/>
      <c r="C851" s="396"/>
      <c r="D851" s="396"/>
      <c r="E851" s="388"/>
      <c r="F851" s="395"/>
      <c r="G851" s="395"/>
      <c r="H851" s="388"/>
      <c r="I851" s="389"/>
      <c r="J851" s="389"/>
      <c r="K851" s="389"/>
      <c r="L851" s="460"/>
      <c r="M851" s="389"/>
      <c r="N851" s="389"/>
      <c r="O851" s="389"/>
      <c r="P851" s="389"/>
      <c r="Q851" s="389"/>
      <c r="R851" s="388"/>
      <c r="S851" s="388"/>
      <c r="T851" s="388"/>
      <c r="U851" s="388"/>
      <c r="V851" s="388"/>
      <c r="W851" s="9"/>
      <c r="X851" s="9"/>
      <c r="Y851" s="9"/>
      <c r="Z851" s="9"/>
    </row>
    <row r="852">
      <c r="A852" s="388"/>
      <c r="B852" s="396"/>
      <c r="C852" s="396"/>
      <c r="D852" s="396"/>
      <c r="E852" s="388"/>
      <c r="F852" s="395"/>
      <c r="G852" s="395"/>
      <c r="H852" s="388"/>
      <c r="I852" s="389"/>
      <c r="J852" s="389"/>
      <c r="K852" s="389"/>
      <c r="L852" s="460"/>
      <c r="M852" s="389"/>
      <c r="N852" s="389"/>
      <c r="O852" s="389"/>
      <c r="P852" s="389"/>
      <c r="Q852" s="389"/>
      <c r="R852" s="388"/>
      <c r="S852" s="388"/>
      <c r="T852" s="388"/>
      <c r="U852" s="388"/>
      <c r="V852" s="388"/>
      <c r="W852" s="9"/>
      <c r="X852" s="9"/>
      <c r="Y852" s="9"/>
      <c r="Z852" s="9"/>
    </row>
    <row r="853">
      <c r="A853" s="388"/>
      <c r="B853" s="396"/>
      <c r="C853" s="396"/>
      <c r="D853" s="396"/>
      <c r="E853" s="388"/>
      <c r="F853" s="395"/>
      <c r="G853" s="395"/>
      <c r="H853" s="388"/>
      <c r="I853" s="389"/>
      <c r="J853" s="389"/>
      <c r="K853" s="389"/>
      <c r="L853" s="460"/>
      <c r="M853" s="389"/>
      <c r="N853" s="389"/>
      <c r="O853" s="389"/>
      <c r="P853" s="389"/>
      <c r="Q853" s="389"/>
      <c r="R853" s="388"/>
      <c r="S853" s="388"/>
      <c r="T853" s="388"/>
      <c r="U853" s="388"/>
      <c r="V853" s="388"/>
      <c r="W853" s="9"/>
      <c r="X853" s="9"/>
      <c r="Y853" s="9"/>
      <c r="Z853" s="9"/>
    </row>
    <row r="854">
      <c r="A854" s="388"/>
      <c r="B854" s="396"/>
      <c r="C854" s="396"/>
      <c r="D854" s="396"/>
      <c r="E854" s="388"/>
      <c r="F854" s="395"/>
      <c r="G854" s="395"/>
      <c r="H854" s="388"/>
      <c r="I854" s="389"/>
      <c r="J854" s="389"/>
      <c r="K854" s="389"/>
      <c r="L854" s="460"/>
      <c r="M854" s="389"/>
      <c r="N854" s="389"/>
      <c r="O854" s="389"/>
      <c r="P854" s="389"/>
      <c r="Q854" s="389"/>
      <c r="R854" s="388"/>
      <c r="S854" s="388"/>
      <c r="T854" s="388"/>
      <c r="U854" s="388"/>
      <c r="V854" s="388"/>
      <c r="W854" s="9"/>
      <c r="X854" s="9"/>
      <c r="Y854" s="9"/>
      <c r="Z854" s="9"/>
    </row>
    <row r="855">
      <c r="A855" s="388"/>
      <c r="B855" s="396"/>
      <c r="C855" s="396"/>
      <c r="D855" s="396"/>
      <c r="E855" s="388"/>
      <c r="F855" s="395"/>
      <c r="G855" s="395"/>
      <c r="H855" s="388"/>
      <c r="I855" s="389"/>
      <c r="J855" s="389"/>
      <c r="K855" s="389"/>
      <c r="L855" s="460"/>
      <c r="M855" s="389"/>
      <c r="N855" s="389"/>
      <c r="O855" s="389"/>
      <c r="P855" s="389"/>
      <c r="Q855" s="389"/>
      <c r="R855" s="388"/>
      <c r="S855" s="388"/>
      <c r="T855" s="388"/>
      <c r="U855" s="388"/>
      <c r="V855" s="388"/>
      <c r="W855" s="9"/>
      <c r="X855" s="9"/>
      <c r="Y855" s="9"/>
      <c r="Z855" s="9"/>
    </row>
    <row r="856">
      <c r="A856" s="388"/>
      <c r="B856" s="396"/>
      <c r="C856" s="396"/>
      <c r="D856" s="396"/>
      <c r="E856" s="388"/>
      <c r="F856" s="395"/>
      <c r="G856" s="395"/>
      <c r="H856" s="388"/>
      <c r="I856" s="389"/>
      <c r="J856" s="389"/>
      <c r="K856" s="389"/>
      <c r="L856" s="460"/>
      <c r="M856" s="389"/>
      <c r="N856" s="389"/>
      <c r="O856" s="389"/>
      <c r="P856" s="389"/>
      <c r="Q856" s="389"/>
      <c r="R856" s="388"/>
      <c r="S856" s="388"/>
      <c r="T856" s="388"/>
      <c r="U856" s="388"/>
      <c r="V856" s="388"/>
      <c r="W856" s="9"/>
      <c r="X856" s="9"/>
      <c r="Y856" s="9"/>
      <c r="Z856" s="9"/>
    </row>
    <row r="857">
      <c r="A857" s="388"/>
      <c r="B857" s="396"/>
      <c r="C857" s="396"/>
      <c r="D857" s="396"/>
      <c r="E857" s="388"/>
      <c r="F857" s="395"/>
      <c r="G857" s="395"/>
      <c r="H857" s="388"/>
      <c r="I857" s="389"/>
      <c r="J857" s="389"/>
      <c r="K857" s="389"/>
      <c r="L857" s="460"/>
      <c r="M857" s="389"/>
      <c r="N857" s="389"/>
      <c r="O857" s="389"/>
      <c r="P857" s="389"/>
      <c r="Q857" s="389"/>
      <c r="R857" s="388"/>
      <c r="S857" s="388"/>
      <c r="T857" s="388"/>
      <c r="U857" s="388"/>
      <c r="V857" s="388"/>
      <c r="W857" s="9"/>
      <c r="X857" s="9"/>
      <c r="Y857" s="9"/>
      <c r="Z857" s="9"/>
    </row>
    <row r="858">
      <c r="A858" s="388"/>
      <c r="B858" s="396"/>
      <c r="C858" s="396"/>
      <c r="D858" s="396"/>
      <c r="E858" s="388"/>
      <c r="F858" s="395"/>
      <c r="G858" s="395"/>
      <c r="H858" s="388"/>
      <c r="I858" s="389"/>
      <c r="J858" s="389"/>
      <c r="K858" s="389"/>
      <c r="L858" s="460"/>
      <c r="M858" s="389"/>
      <c r="N858" s="389"/>
      <c r="O858" s="389"/>
      <c r="P858" s="389"/>
      <c r="Q858" s="389"/>
      <c r="R858" s="388"/>
      <c r="S858" s="388"/>
      <c r="T858" s="388"/>
      <c r="U858" s="388"/>
      <c r="V858" s="388"/>
      <c r="W858" s="9"/>
      <c r="X858" s="9"/>
      <c r="Y858" s="9"/>
      <c r="Z858" s="9"/>
    </row>
    <row r="859">
      <c r="A859" s="388"/>
      <c r="B859" s="396"/>
      <c r="C859" s="396"/>
      <c r="D859" s="396"/>
      <c r="E859" s="388"/>
      <c r="F859" s="395"/>
      <c r="G859" s="395"/>
      <c r="H859" s="388"/>
      <c r="I859" s="389"/>
      <c r="J859" s="389"/>
      <c r="K859" s="389"/>
      <c r="L859" s="460"/>
      <c r="M859" s="389"/>
      <c r="N859" s="389"/>
      <c r="O859" s="389"/>
      <c r="P859" s="389"/>
      <c r="Q859" s="389"/>
      <c r="R859" s="388"/>
      <c r="S859" s="388"/>
      <c r="T859" s="388"/>
      <c r="U859" s="388"/>
      <c r="V859" s="388"/>
      <c r="W859" s="9"/>
      <c r="X859" s="9"/>
      <c r="Y859" s="9"/>
      <c r="Z859" s="9"/>
    </row>
    <row r="860">
      <c r="A860" s="388"/>
      <c r="B860" s="396"/>
      <c r="C860" s="396"/>
      <c r="D860" s="396"/>
      <c r="E860" s="388"/>
      <c r="F860" s="395"/>
      <c r="G860" s="395"/>
      <c r="H860" s="388"/>
      <c r="I860" s="389"/>
      <c r="J860" s="389"/>
      <c r="K860" s="389"/>
      <c r="L860" s="460"/>
      <c r="M860" s="389"/>
      <c r="N860" s="389"/>
      <c r="O860" s="389"/>
      <c r="P860" s="389"/>
      <c r="Q860" s="389"/>
      <c r="R860" s="388"/>
      <c r="S860" s="388"/>
      <c r="T860" s="388"/>
      <c r="U860" s="388"/>
      <c r="V860" s="388"/>
      <c r="W860" s="9"/>
      <c r="X860" s="9"/>
      <c r="Y860" s="9"/>
      <c r="Z860" s="9"/>
    </row>
    <row r="861">
      <c r="A861" s="388"/>
      <c r="B861" s="396"/>
      <c r="C861" s="396"/>
      <c r="D861" s="396"/>
      <c r="E861" s="388"/>
      <c r="F861" s="395"/>
      <c r="G861" s="395"/>
      <c r="H861" s="388"/>
      <c r="I861" s="389"/>
      <c r="J861" s="389"/>
      <c r="K861" s="389"/>
      <c r="L861" s="460"/>
      <c r="M861" s="389"/>
      <c r="N861" s="389"/>
      <c r="O861" s="389"/>
      <c r="P861" s="389"/>
      <c r="Q861" s="389"/>
      <c r="R861" s="388"/>
      <c r="S861" s="388"/>
      <c r="T861" s="388"/>
      <c r="U861" s="388"/>
      <c r="V861" s="388"/>
      <c r="W861" s="9"/>
      <c r="X861" s="9"/>
      <c r="Y861" s="9"/>
      <c r="Z861" s="9"/>
    </row>
    <row r="862">
      <c r="A862" s="388"/>
      <c r="B862" s="396"/>
      <c r="C862" s="396"/>
      <c r="D862" s="396"/>
      <c r="E862" s="388"/>
      <c r="F862" s="395"/>
      <c r="G862" s="395"/>
      <c r="H862" s="388"/>
      <c r="I862" s="389"/>
      <c r="J862" s="389"/>
      <c r="K862" s="389"/>
      <c r="L862" s="460"/>
      <c r="M862" s="389"/>
      <c r="N862" s="389"/>
      <c r="O862" s="389"/>
      <c r="P862" s="389"/>
      <c r="Q862" s="389"/>
      <c r="R862" s="388"/>
      <c r="S862" s="388"/>
      <c r="T862" s="388"/>
      <c r="U862" s="388"/>
      <c r="V862" s="388"/>
      <c r="W862" s="9"/>
      <c r="X862" s="9"/>
      <c r="Y862" s="9"/>
      <c r="Z862" s="9"/>
    </row>
    <row r="863">
      <c r="A863" s="388"/>
      <c r="B863" s="396"/>
      <c r="C863" s="396"/>
      <c r="D863" s="396"/>
      <c r="E863" s="388"/>
      <c r="F863" s="395"/>
      <c r="G863" s="395"/>
      <c r="H863" s="388"/>
      <c r="I863" s="389"/>
      <c r="J863" s="389"/>
      <c r="K863" s="389"/>
      <c r="L863" s="460"/>
      <c r="M863" s="389"/>
      <c r="N863" s="389"/>
      <c r="O863" s="389"/>
      <c r="P863" s="389"/>
      <c r="Q863" s="389"/>
      <c r="R863" s="388"/>
      <c r="S863" s="388"/>
      <c r="T863" s="388"/>
      <c r="U863" s="388"/>
      <c r="V863" s="388"/>
      <c r="W863" s="9"/>
      <c r="X863" s="9"/>
      <c r="Y863" s="9"/>
      <c r="Z863" s="9"/>
    </row>
    <row r="864">
      <c r="A864" s="388"/>
      <c r="B864" s="396"/>
      <c r="C864" s="396"/>
      <c r="D864" s="396"/>
      <c r="E864" s="388"/>
      <c r="F864" s="395"/>
      <c r="G864" s="395"/>
      <c r="H864" s="388"/>
      <c r="I864" s="389"/>
      <c r="J864" s="389"/>
      <c r="K864" s="389"/>
      <c r="L864" s="460"/>
      <c r="M864" s="389"/>
      <c r="N864" s="389"/>
      <c r="O864" s="389"/>
      <c r="P864" s="389"/>
      <c r="Q864" s="389"/>
      <c r="R864" s="388"/>
      <c r="S864" s="388"/>
      <c r="T864" s="388"/>
      <c r="U864" s="388"/>
      <c r="V864" s="388"/>
      <c r="W864" s="9"/>
      <c r="X864" s="9"/>
      <c r="Y864" s="9"/>
      <c r="Z864" s="9"/>
    </row>
    <row r="865">
      <c r="A865" s="388"/>
      <c r="B865" s="396"/>
      <c r="C865" s="396"/>
      <c r="D865" s="396"/>
      <c r="E865" s="388"/>
      <c r="F865" s="395"/>
      <c r="G865" s="395"/>
      <c r="H865" s="388"/>
      <c r="I865" s="389"/>
      <c r="J865" s="389"/>
      <c r="K865" s="389"/>
      <c r="L865" s="460"/>
      <c r="M865" s="389"/>
      <c r="N865" s="389"/>
      <c r="O865" s="389"/>
      <c r="P865" s="389"/>
      <c r="Q865" s="389"/>
      <c r="R865" s="388"/>
      <c r="S865" s="388"/>
      <c r="T865" s="388"/>
      <c r="U865" s="388"/>
      <c r="V865" s="388"/>
      <c r="W865" s="9"/>
      <c r="X865" s="9"/>
      <c r="Y865" s="9"/>
      <c r="Z865" s="9"/>
    </row>
    <row r="866">
      <c r="A866" s="388"/>
      <c r="B866" s="396"/>
      <c r="C866" s="396"/>
      <c r="D866" s="396"/>
      <c r="E866" s="388"/>
      <c r="F866" s="395"/>
      <c r="G866" s="395"/>
      <c r="H866" s="388"/>
      <c r="I866" s="389"/>
      <c r="J866" s="389"/>
      <c r="K866" s="389"/>
      <c r="L866" s="460"/>
      <c r="M866" s="389"/>
      <c r="N866" s="389"/>
      <c r="O866" s="389"/>
      <c r="P866" s="389"/>
      <c r="Q866" s="389"/>
      <c r="R866" s="388"/>
      <c r="S866" s="388"/>
      <c r="T866" s="388"/>
      <c r="U866" s="388"/>
      <c r="V866" s="388"/>
      <c r="W866" s="9"/>
      <c r="X866" s="9"/>
      <c r="Y866" s="9"/>
      <c r="Z866" s="9"/>
    </row>
    <row r="867">
      <c r="A867" s="388"/>
      <c r="B867" s="396"/>
      <c r="C867" s="396"/>
      <c r="D867" s="396"/>
      <c r="E867" s="388"/>
      <c r="F867" s="395"/>
      <c r="G867" s="395"/>
      <c r="H867" s="388"/>
      <c r="I867" s="389"/>
      <c r="J867" s="389"/>
      <c r="K867" s="389"/>
      <c r="L867" s="460"/>
      <c r="M867" s="389"/>
      <c r="N867" s="389"/>
      <c r="O867" s="389"/>
      <c r="P867" s="389"/>
      <c r="Q867" s="389"/>
      <c r="R867" s="388"/>
      <c r="S867" s="388"/>
      <c r="T867" s="388"/>
      <c r="U867" s="388"/>
      <c r="V867" s="388"/>
      <c r="W867" s="9"/>
      <c r="X867" s="9"/>
      <c r="Y867" s="9"/>
      <c r="Z867" s="9"/>
    </row>
    <row r="868">
      <c r="A868" s="388"/>
      <c r="B868" s="396"/>
      <c r="C868" s="396"/>
      <c r="D868" s="396"/>
      <c r="E868" s="388"/>
      <c r="F868" s="395"/>
      <c r="G868" s="395"/>
      <c r="H868" s="388"/>
      <c r="I868" s="389"/>
      <c r="J868" s="389"/>
      <c r="K868" s="389"/>
      <c r="L868" s="460"/>
      <c r="M868" s="389"/>
      <c r="N868" s="389"/>
      <c r="O868" s="389"/>
      <c r="P868" s="389"/>
      <c r="Q868" s="389"/>
      <c r="R868" s="388"/>
      <c r="S868" s="388"/>
      <c r="T868" s="388"/>
      <c r="U868" s="388"/>
      <c r="V868" s="388"/>
      <c r="W868" s="9"/>
      <c r="X868" s="9"/>
      <c r="Y868" s="9"/>
      <c r="Z868" s="9"/>
    </row>
    <row r="869">
      <c r="A869" s="388"/>
      <c r="B869" s="396"/>
      <c r="C869" s="396"/>
      <c r="D869" s="396"/>
      <c r="E869" s="388"/>
      <c r="F869" s="395"/>
      <c r="G869" s="395"/>
      <c r="H869" s="388"/>
      <c r="I869" s="389"/>
      <c r="J869" s="389"/>
      <c r="K869" s="389"/>
      <c r="L869" s="460"/>
      <c r="M869" s="389"/>
      <c r="N869" s="389"/>
      <c r="O869" s="389"/>
      <c r="P869" s="389"/>
      <c r="Q869" s="389"/>
      <c r="R869" s="388"/>
      <c r="S869" s="388"/>
      <c r="T869" s="388"/>
      <c r="U869" s="388"/>
      <c r="V869" s="388"/>
      <c r="W869" s="9"/>
      <c r="X869" s="9"/>
      <c r="Y869" s="9"/>
      <c r="Z869" s="9"/>
    </row>
    <row r="870">
      <c r="A870" s="388"/>
      <c r="B870" s="396"/>
      <c r="C870" s="396"/>
      <c r="D870" s="396"/>
      <c r="E870" s="388"/>
      <c r="F870" s="395"/>
      <c r="G870" s="395"/>
      <c r="H870" s="388"/>
      <c r="I870" s="389"/>
      <c r="J870" s="389"/>
      <c r="K870" s="389"/>
      <c r="L870" s="460"/>
      <c r="M870" s="389"/>
      <c r="N870" s="389"/>
      <c r="O870" s="389"/>
      <c r="P870" s="389"/>
      <c r="Q870" s="389"/>
      <c r="R870" s="388"/>
      <c r="S870" s="388"/>
      <c r="T870" s="388"/>
      <c r="U870" s="388"/>
      <c r="V870" s="388"/>
      <c r="W870" s="9"/>
      <c r="X870" s="9"/>
      <c r="Y870" s="9"/>
      <c r="Z870" s="9"/>
    </row>
    <row r="871">
      <c r="A871" s="388"/>
      <c r="B871" s="396"/>
      <c r="C871" s="396"/>
      <c r="D871" s="396"/>
      <c r="E871" s="388"/>
      <c r="F871" s="395"/>
      <c r="G871" s="395"/>
      <c r="H871" s="388"/>
      <c r="I871" s="389"/>
      <c r="J871" s="389"/>
      <c r="K871" s="389"/>
      <c r="L871" s="460"/>
      <c r="M871" s="389"/>
      <c r="N871" s="389"/>
      <c r="O871" s="389"/>
      <c r="P871" s="389"/>
      <c r="Q871" s="389"/>
      <c r="R871" s="388"/>
      <c r="S871" s="388"/>
      <c r="T871" s="388"/>
      <c r="U871" s="388"/>
      <c r="V871" s="388"/>
      <c r="W871" s="9"/>
      <c r="X871" s="9"/>
      <c r="Y871" s="9"/>
      <c r="Z871" s="9"/>
    </row>
    <row r="872">
      <c r="A872" s="388"/>
      <c r="B872" s="396"/>
      <c r="C872" s="396"/>
      <c r="D872" s="396"/>
      <c r="E872" s="388"/>
      <c r="F872" s="395"/>
      <c r="G872" s="395"/>
      <c r="H872" s="388"/>
      <c r="I872" s="389"/>
      <c r="J872" s="389"/>
      <c r="K872" s="389"/>
      <c r="L872" s="460"/>
      <c r="M872" s="389"/>
      <c r="N872" s="389"/>
      <c r="O872" s="389"/>
      <c r="P872" s="389"/>
      <c r="Q872" s="389"/>
      <c r="R872" s="388"/>
      <c r="S872" s="388"/>
      <c r="T872" s="388"/>
      <c r="U872" s="388"/>
      <c r="V872" s="388"/>
      <c r="W872" s="9"/>
      <c r="X872" s="9"/>
      <c r="Y872" s="9"/>
      <c r="Z872" s="9"/>
    </row>
    <row r="873">
      <c r="A873" s="388"/>
      <c r="B873" s="396"/>
      <c r="C873" s="396"/>
      <c r="D873" s="396"/>
      <c r="E873" s="388"/>
      <c r="F873" s="395"/>
      <c r="G873" s="395"/>
      <c r="H873" s="388"/>
      <c r="I873" s="389"/>
      <c r="J873" s="389"/>
      <c r="K873" s="389"/>
      <c r="L873" s="460"/>
      <c r="M873" s="389"/>
      <c r="N873" s="389"/>
      <c r="O873" s="389"/>
      <c r="P873" s="389"/>
      <c r="Q873" s="389"/>
      <c r="R873" s="388"/>
      <c r="S873" s="388"/>
      <c r="T873" s="388"/>
      <c r="U873" s="388"/>
      <c r="V873" s="388"/>
      <c r="W873" s="9"/>
      <c r="X873" s="9"/>
      <c r="Y873" s="9"/>
      <c r="Z873" s="9"/>
    </row>
    <row r="874">
      <c r="A874" s="388"/>
      <c r="B874" s="396"/>
      <c r="C874" s="396"/>
      <c r="D874" s="396"/>
      <c r="E874" s="388"/>
      <c r="F874" s="395"/>
      <c r="G874" s="395"/>
      <c r="H874" s="388"/>
      <c r="I874" s="389"/>
      <c r="J874" s="389"/>
      <c r="K874" s="389"/>
      <c r="L874" s="460"/>
      <c r="M874" s="389"/>
      <c r="N874" s="389"/>
      <c r="O874" s="389"/>
      <c r="P874" s="389"/>
      <c r="Q874" s="389"/>
      <c r="R874" s="388"/>
      <c r="S874" s="388"/>
      <c r="T874" s="388"/>
      <c r="U874" s="388"/>
      <c r="V874" s="388"/>
      <c r="W874" s="9"/>
      <c r="X874" s="9"/>
      <c r="Y874" s="9"/>
      <c r="Z874" s="9"/>
    </row>
    <row r="875">
      <c r="A875" s="388"/>
      <c r="B875" s="396"/>
      <c r="C875" s="396"/>
      <c r="D875" s="396"/>
      <c r="E875" s="388"/>
      <c r="F875" s="395"/>
      <c r="G875" s="395"/>
      <c r="H875" s="388"/>
      <c r="I875" s="389"/>
      <c r="J875" s="389"/>
      <c r="K875" s="389"/>
      <c r="L875" s="460"/>
      <c r="M875" s="389"/>
      <c r="N875" s="389"/>
      <c r="O875" s="389"/>
      <c r="P875" s="389"/>
      <c r="Q875" s="389"/>
      <c r="R875" s="388"/>
      <c r="S875" s="388"/>
      <c r="T875" s="388"/>
      <c r="U875" s="388"/>
      <c r="V875" s="388"/>
      <c r="W875" s="9"/>
      <c r="X875" s="9"/>
      <c r="Y875" s="9"/>
      <c r="Z875" s="9"/>
    </row>
    <row r="876">
      <c r="A876" s="388"/>
      <c r="B876" s="396"/>
      <c r="C876" s="396"/>
      <c r="D876" s="396"/>
      <c r="E876" s="388"/>
      <c r="F876" s="395"/>
      <c r="G876" s="395"/>
      <c r="H876" s="388"/>
      <c r="I876" s="389"/>
      <c r="J876" s="389"/>
      <c r="K876" s="389"/>
      <c r="L876" s="460"/>
      <c r="M876" s="389"/>
      <c r="N876" s="389"/>
      <c r="O876" s="389"/>
      <c r="P876" s="389"/>
      <c r="Q876" s="389"/>
      <c r="R876" s="388"/>
      <c r="S876" s="388"/>
      <c r="T876" s="388"/>
      <c r="U876" s="388"/>
      <c r="V876" s="388"/>
      <c r="W876" s="9"/>
      <c r="X876" s="9"/>
      <c r="Y876" s="9"/>
      <c r="Z876" s="9"/>
    </row>
    <row r="877">
      <c r="A877" s="388"/>
      <c r="B877" s="396"/>
      <c r="C877" s="396"/>
      <c r="D877" s="396"/>
      <c r="E877" s="388"/>
      <c r="F877" s="395"/>
      <c r="G877" s="395"/>
      <c r="H877" s="388"/>
      <c r="I877" s="389"/>
      <c r="J877" s="389"/>
      <c r="K877" s="389"/>
      <c r="L877" s="460"/>
      <c r="M877" s="389"/>
      <c r="N877" s="389"/>
      <c r="O877" s="389"/>
      <c r="P877" s="389"/>
      <c r="Q877" s="389"/>
      <c r="R877" s="388"/>
      <c r="S877" s="388"/>
      <c r="T877" s="388"/>
      <c r="U877" s="388"/>
      <c r="V877" s="388"/>
      <c r="W877" s="9"/>
      <c r="X877" s="9"/>
      <c r="Y877" s="9"/>
      <c r="Z877" s="9"/>
    </row>
    <row r="878">
      <c r="A878" s="388"/>
      <c r="B878" s="396"/>
      <c r="C878" s="396"/>
      <c r="D878" s="396"/>
      <c r="E878" s="388"/>
      <c r="F878" s="395"/>
      <c r="G878" s="395"/>
      <c r="H878" s="388"/>
      <c r="I878" s="389"/>
      <c r="J878" s="389"/>
      <c r="K878" s="389"/>
      <c r="L878" s="460"/>
      <c r="M878" s="389"/>
      <c r="N878" s="389"/>
      <c r="O878" s="389"/>
      <c r="P878" s="389"/>
      <c r="Q878" s="389"/>
      <c r="R878" s="388"/>
      <c r="S878" s="388"/>
      <c r="T878" s="388"/>
      <c r="U878" s="388"/>
      <c r="V878" s="388"/>
      <c r="W878" s="9"/>
      <c r="X878" s="9"/>
      <c r="Y878" s="9"/>
      <c r="Z878" s="9"/>
    </row>
    <row r="879">
      <c r="A879" s="388"/>
      <c r="B879" s="396"/>
      <c r="C879" s="396"/>
      <c r="D879" s="396"/>
      <c r="E879" s="388"/>
      <c r="F879" s="395"/>
      <c r="G879" s="395"/>
      <c r="H879" s="388"/>
      <c r="I879" s="389"/>
      <c r="J879" s="389"/>
      <c r="K879" s="389"/>
      <c r="L879" s="460"/>
      <c r="M879" s="389"/>
      <c r="N879" s="389"/>
      <c r="O879" s="389"/>
      <c r="P879" s="389"/>
      <c r="Q879" s="389"/>
      <c r="R879" s="388"/>
      <c r="S879" s="388"/>
      <c r="T879" s="388"/>
      <c r="U879" s="388"/>
      <c r="V879" s="388"/>
      <c r="W879" s="9"/>
      <c r="X879" s="9"/>
      <c r="Y879" s="9"/>
      <c r="Z879" s="9"/>
    </row>
    <row r="880">
      <c r="A880" s="388"/>
      <c r="B880" s="396"/>
      <c r="C880" s="396"/>
      <c r="D880" s="396"/>
      <c r="E880" s="388"/>
      <c r="F880" s="395"/>
      <c r="G880" s="395"/>
      <c r="H880" s="388"/>
      <c r="I880" s="389"/>
      <c r="J880" s="389"/>
      <c r="K880" s="389"/>
      <c r="L880" s="460"/>
      <c r="M880" s="389"/>
      <c r="N880" s="389"/>
      <c r="O880" s="389"/>
      <c r="P880" s="389"/>
      <c r="Q880" s="389"/>
      <c r="R880" s="388"/>
      <c r="S880" s="388"/>
      <c r="T880" s="388"/>
      <c r="U880" s="388"/>
      <c r="V880" s="388"/>
      <c r="W880" s="9"/>
      <c r="X880" s="9"/>
      <c r="Y880" s="9"/>
      <c r="Z880" s="9"/>
    </row>
    <row r="881">
      <c r="A881" s="388"/>
      <c r="B881" s="396"/>
      <c r="C881" s="396"/>
      <c r="D881" s="396"/>
      <c r="E881" s="388"/>
      <c r="F881" s="395"/>
      <c r="G881" s="395"/>
      <c r="H881" s="388"/>
      <c r="I881" s="389"/>
      <c r="J881" s="389"/>
      <c r="K881" s="389"/>
      <c r="L881" s="460"/>
      <c r="M881" s="389"/>
      <c r="N881" s="389"/>
      <c r="O881" s="389"/>
      <c r="P881" s="389"/>
      <c r="Q881" s="389"/>
      <c r="R881" s="388"/>
      <c r="S881" s="388"/>
      <c r="T881" s="388"/>
      <c r="U881" s="388"/>
      <c r="V881" s="388"/>
      <c r="W881" s="9"/>
      <c r="X881" s="9"/>
      <c r="Y881" s="9"/>
      <c r="Z881" s="9"/>
    </row>
    <row r="882">
      <c r="A882" s="388"/>
      <c r="B882" s="396"/>
      <c r="C882" s="396"/>
      <c r="D882" s="396"/>
      <c r="E882" s="388"/>
      <c r="F882" s="395"/>
      <c r="G882" s="395"/>
      <c r="H882" s="388"/>
      <c r="I882" s="389"/>
      <c r="J882" s="389"/>
      <c r="K882" s="389"/>
      <c r="L882" s="460"/>
      <c r="M882" s="389"/>
      <c r="N882" s="389"/>
      <c r="O882" s="389"/>
      <c r="P882" s="389"/>
      <c r="Q882" s="389"/>
      <c r="R882" s="388"/>
      <c r="S882" s="388"/>
      <c r="T882" s="388"/>
      <c r="U882" s="388"/>
      <c r="V882" s="388"/>
      <c r="W882" s="9"/>
      <c r="X882" s="9"/>
      <c r="Y882" s="9"/>
      <c r="Z882" s="9"/>
    </row>
    <row r="883">
      <c r="A883" s="388"/>
      <c r="B883" s="396"/>
      <c r="C883" s="396"/>
      <c r="D883" s="396"/>
      <c r="E883" s="388"/>
      <c r="F883" s="395"/>
      <c r="G883" s="395"/>
      <c r="H883" s="388"/>
      <c r="I883" s="389"/>
      <c r="J883" s="389"/>
      <c r="K883" s="389"/>
      <c r="L883" s="460"/>
      <c r="M883" s="389"/>
      <c r="N883" s="389"/>
      <c r="O883" s="389"/>
      <c r="P883" s="389"/>
      <c r="Q883" s="389"/>
      <c r="R883" s="388"/>
      <c r="S883" s="388"/>
      <c r="T883" s="388"/>
      <c r="U883" s="388"/>
      <c r="V883" s="388"/>
      <c r="W883" s="9"/>
      <c r="X883" s="9"/>
      <c r="Y883" s="9"/>
      <c r="Z883" s="9"/>
    </row>
    <row r="884">
      <c r="A884" s="388"/>
      <c r="B884" s="396"/>
      <c r="C884" s="396"/>
      <c r="D884" s="396"/>
      <c r="E884" s="388"/>
      <c r="F884" s="395"/>
      <c r="G884" s="395"/>
      <c r="H884" s="388"/>
      <c r="I884" s="389"/>
      <c r="J884" s="389"/>
      <c r="K884" s="389"/>
      <c r="L884" s="460"/>
      <c r="M884" s="389"/>
      <c r="N884" s="389"/>
      <c r="O884" s="389"/>
      <c r="P884" s="389"/>
      <c r="Q884" s="389"/>
      <c r="R884" s="388"/>
      <c r="S884" s="388"/>
      <c r="T884" s="388"/>
      <c r="U884" s="388"/>
      <c r="V884" s="388"/>
      <c r="W884" s="9"/>
      <c r="X884" s="9"/>
      <c r="Y884" s="9"/>
      <c r="Z884" s="9"/>
    </row>
    <row r="885">
      <c r="A885" s="388"/>
      <c r="B885" s="396"/>
      <c r="C885" s="396"/>
      <c r="D885" s="396"/>
      <c r="E885" s="388"/>
      <c r="F885" s="395"/>
      <c r="G885" s="395"/>
      <c r="H885" s="388"/>
      <c r="I885" s="389"/>
      <c r="J885" s="389"/>
      <c r="K885" s="389"/>
      <c r="L885" s="460"/>
      <c r="M885" s="389"/>
      <c r="N885" s="389"/>
      <c r="O885" s="389"/>
      <c r="P885" s="389"/>
      <c r="Q885" s="389"/>
      <c r="R885" s="388"/>
      <c r="S885" s="388"/>
      <c r="T885" s="388"/>
      <c r="U885" s="388"/>
      <c r="V885" s="388"/>
      <c r="W885" s="9"/>
      <c r="X885" s="9"/>
      <c r="Y885" s="9"/>
      <c r="Z885" s="9"/>
    </row>
    <row r="886">
      <c r="A886" s="388"/>
      <c r="B886" s="396"/>
      <c r="C886" s="396"/>
      <c r="D886" s="396"/>
      <c r="E886" s="388"/>
      <c r="F886" s="395"/>
      <c r="G886" s="395"/>
      <c r="H886" s="388"/>
      <c r="I886" s="389"/>
      <c r="J886" s="389"/>
      <c r="K886" s="389"/>
      <c r="L886" s="460"/>
      <c r="M886" s="389"/>
      <c r="N886" s="389"/>
      <c r="O886" s="389"/>
      <c r="P886" s="389"/>
      <c r="Q886" s="389"/>
      <c r="R886" s="388"/>
      <c r="S886" s="388"/>
      <c r="T886" s="388"/>
      <c r="U886" s="388"/>
      <c r="V886" s="388"/>
      <c r="W886" s="9"/>
      <c r="X886" s="9"/>
      <c r="Y886" s="9"/>
      <c r="Z886" s="9"/>
    </row>
    <row r="887">
      <c r="A887" s="388"/>
      <c r="B887" s="396"/>
      <c r="C887" s="396"/>
      <c r="D887" s="396"/>
      <c r="E887" s="388"/>
      <c r="F887" s="395"/>
      <c r="G887" s="395"/>
      <c r="H887" s="388"/>
      <c r="I887" s="389"/>
      <c r="J887" s="389"/>
      <c r="K887" s="389"/>
      <c r="L887" s="460"/>
      <c r="M887" s="389"/>
      <c r="N887" s="389"/>
      <c r="O887" s="389"/>
      <c r="P887" s="389"/>
      <c r="Q887" s="389"/>
      <c r="R887" s="388"/>
      <c r="S887" s="388"/>
      <c r="T887" s="388"/>
      <c r="U887" s="388"/>
      <c r="V887" s="388"/>
      <c r="W887" s="9"/>
      <c r="X887" s="9"/>
      <c r="Y887" s="9"/>
      <c r="Z887" s="9"/>
    </row>
    <row r="888">
      <c r="A888" s="388"/>
      <c r="B888" s="396"/>
      <c r="C888" s="396"/>
      <c r="D888" s="396"/>
      <c r="E888" s="388"/>
      <c r="F888" s="395"/>
      <c r="G888" s="395"/>
      <c r="H888" s="388"/>
      <c r="I888" s="389"/>
      <c r="J888" s="389"/>
      <c r="K888" s="389"/>
      <c r="L888" s="460"/>
      <c r="M888" s="389"/>
      <c r="N888" s="389"/>
      <c r="O888" s="389"/>
      <c r="P888" s="389"/>
      <c r="Q888" s="389"/>
      <c r="R888" s="388"/>
      <c r="S888" s="388"/>
      <c r="T888" s="388"/>
      <c r="U888" s="388"/>
      <c r="V888" s="388"/>
      <c r="W888" s="9"/>
      <c r="X888" s="9"/>
      <c r="Y888" s="9"/>
      <c r="Z888" s="9"/>
    </row>
    <row r="889">
      <c r="A889" s="388"/>
      <c r="B889" s="396"/>
      <c r="C889" s="396"/>
      <c r="D889" s="396"/>
      <c r="E889" s="388"/>
      <c r="F889" s="395"/>
      <c r="G889" s="395"/>
      <c r="H889" s="388"/>
      <c r="I889" s="389"/>
      <c r="J889" s="389"/>
      <c r="K889" s="389"/>
      <c r="L889" s="460"/>
      <c r="M889" s="389"/>
      <c r="N889" s="389"/>
      <c r="O889" s="389"/>
      <c r="P889" s="389"/>
      <c r="Q889" s="389"/>
      <c r="R889" s="388"/>
      <c r="S889" s="388"/>
      <c r="T889" s="388"/>
      <c r="U889" s="388"/>
      <c r="V889" s="388"/>
      <c r="W889" s="9"/>
      <c r="X889" s="9"/>
      <c r="Y889" s="9"/>
      <c r="Z889" s="9"/>
    </row>
    <row r="890">
      <c r="A890" s="388"/>
      <c r="B890" s="396"/>
      <c r="C890" s="396"/>
      <c r="D890" s="396"/>
      <c r="E890" s="388"/>
      <c r="F890" s="395"/>
      <c r="G890" s="395"/>
      <c r="H890" s="388"/>
      <c r="I890" s="389"/>
      <c r="J890" s="389"/>
      <c r="K890" s="389"/>
      <c r="L890" s="460"/>
      <c r="M890" s="389"/>
      <c r="N890" s="389"/>
      <c r="O890" s="389"/>
      <c r="P890" s="389"/>
      <c r="Q890" s="389"/>
      <c r="R890" s="388"/>
      <c r="S890" s="388"/>
      <c r="T890" s="388"/>
      <c r="U890" s="388"/>
      <c r="V890" s="388"/>
      <c r="W890" s="9"/>
      <c r="X890" s="9"/>
      <c r="Y890" s="9"/>
      <c r="Z890" s="9"/>
    </row>
    <row r="891">
      <c r="A891" s="388"/>
      <c r="B891" s="396"/>
      <c r="C891" s="396"/>
      <c r="D891" s="396"/>
      <c r="E891" s="388"/>
      <c r="F891" s="395"/>
      <c r="G891" s="395"/>
      <c r="H891" s="388"/>
      <c r="I891" s="389"/>
      <c r="J891" s="389"/>
      <c r="K891" s="389"/>
      <c r="L891" s="460"/>
      <c r="M891" s="389"/>
      <c r="N891" s="389"/>
      <c r="O891" s="389"/>
      <c r="P891" s="389"/>
      <c r="Q891" s="389"/>
      <c r="R891" s="388"/>
      <c r="S891" s="388"/>
      <c r="T891" s="388"/>
      <c r="U891" s="388"/>
      <c r="V891" s="388"/>
      <c r="W891" s="9"/>
      <c r="X891" s="9"/>
      <c r="Y891" s="9"/>
      <c r="Z891" s="9"/>
    </row>
    <row r="892">
      <c r="A892" s="388"/>
      <c r="B892" s="396"/>
      <c r="C892" s="396"/>
      <c r="D892" s="396"/>
      <c r="E892" s="388"/>
      <c r="F892" s="395"/>
      <c r="G892" s="395"/>
      <c r="H892" s="388"/>
      <c r="I892" s="389"/>
      <c r="J892" s="389"/>
      <c r="K892" s="389"/>
      <c r="L892" s="460"/>
      <c r="M892" s="389"/>
      <c r="N892" s="389"/>
      <c r="O892" s="389"/>
      <c r="P892" s="389"/>
      <c r="Q892" s="389"/>
      <c r="R892" s="388"/>
      <c r="S892" s="388"/>
      <c r="T892" s="388"/>
      <c r="U892" s="388"/>
      <c r="V892" s="388"/>
      <c r="W892" s="9"/>
      <c r="X892" s="9"/>
      <c r="Y892" s="9"/>
      <c r="Z892" s="9"/>
    </row>
    <row r="893">
      <c r="A893" s="388"/>
      <c r="B893" s="396"/>
      <c r="C893" s="396"/>
      <c r="D893" s="396"/>
      <c r="E893" s="388"/>
      <c r="F893" s="395"/>
      <c r="G893" s="395"/>
      <c r="H893" s="388"/>
      <c r="I893" s="389"/>
      <c r="J893" s="389"/>
      <c r="K893" s="389"/>
      <c r="L893" s="460"/>
      <c r="M893" s="389"/>
      <c r="N893" s="389"/>
      <c r="O893" s="389"/>
      <c r="P893" s="389"/>
      <c r="Q893" s="389"/>
      <c r="R893" s="388"/>
      <c r="S893" s="388"/>
      <c r="T893" s="388"/>
      <c r="U893" s="388"/>
      <c r="V893" s="388"/>
      <c r="W893" s="9"/>
      <c r="X893" s="9"/>
      <c r="Y893" s="9"/>
      <c r="Z893" s="9"/>
    </row>
    <row r="894">
      <c r="A894" s="388"/>
      <c r="B894" s="396"/>
      <c r="C894" s="396"/>
      <c r="D894" s="396"/>
      <c r="E894" s="388"/>
      <c r="F894" s="395"/>
      <c r="G894" s="395"/>
      <c r="H894" s="388"/>
      <c r="I894" s="389"/>
      <c r="J894" s="389"/>
      <c r="K894" s="389"/>
      <c r="L894" s="460"/>
      <c r="M894" s="389"/>
      <c r="N894" s="389"/>
      <c r="O894" s="389"/>
      <c r="P894" s="389"/>
      <c r="Q894" s="389"/>
      <c r="R894" s="388"/>
      <c r="S894" s="388"/>
      <c r="T894" s="388"/>
      <c r="U894" s="388"/>
      <c r="V894" s="388"/>
      <c r="W894" s="9"/>
      <c r="X894" s="9"/>
      <c r="Y894" s="9"/>
      <c r="Z894" s="9"/>
    </row>
    <row r="895">
      <c r="A895" s="388"/>
      <c r="B895" s="396"/>
      <c r="C895" s="396"/>
      <c r="D895" s="396"/>
      <c r="E895" s="388"/>
      <c r="F895" s="395"/>
      <c r="G895" s="395"/>
      <c r="H895" s="388"/>
      <c r="I895" s="389"/>
      <c r="J895" s="389"/>
      <c r="K895" s="389"/>
      <c r="L895" s="460"/>
      <c r="M895" s="389"/>
      <c r="N895" s="389"/>
      <c r="O895" s="389"/>
      <c r="P895" s="389"/>
      <c r="Q895" s="389"/>
      <c r="R895" s="388"/>
      <c r="S895" s="388"/>
      <c r="T895" s="388"/>
      <c r="U895" s="388"/>
      <c r="V895" s="388"/>
      <c r="W895" s="9"/>
      <c r="X895" s="9"/>
      <c r="Y895" s="9"/>
      <c r="Z895" s="9"/>
    </row>
    <row r="896">
      <c r="A896" s="388"/>
      <c r="B896" s="396"/>
      <c r="C896" s="396"/>
      <c r="D896" s="396"/>
      <c r="E896" s="388"/>
      <c r="F896" s="395"/>
      <c r="G896" s="395"/>
      <c r="H896" s="388"/>
      <c r="I896" s="389"/>
      <c r="J896" s="389"/>
      <c r="K896" s="389"/>
      <c r="L896" s="460"/>
      <c r="M896" s="389"/>
      <c r="N896" s="389"/>
      <c r="O896" s="389"/>
      <c r="P896" s="389"/>
      <c r="Q896" s="389"/>
      <c r="R896" s="388"/>
      <c r="S896" s="388"/>
      <c r="T896" s="388"/>
      <c r="U896" s="388"/>
      <c r="V896" s="388"/>
      <c r="W896" s="9"/>
      <c r="X896" s="9"/>
      <c r="Y896" s="9"/>
      <c r="Z896" s="9"/>
    </row>
    <row r="897">
      <c r="A897" s="388"/>
      <c r="B897" s="396"/>
      <c r="C897" s="396"/>
      <c r="D897" s="396"/>
      <c r="E897" s="388"/>
      <c r="F897" s="395"/>
      <c r="G897" s="395"/>
      <c r="H897" s="388"/>
      <c r="I897" s="389"/>
      <c r="J897" s="389"/>
      <c r="K897" s="389"/>
      <c r="L897" s="460"/>
      <c r="M897" s="389"/>
      <c r="N897" s="389"/>
      <c r="O897" s="389"/>
      <c r="P897" s="389"/>
      <c r="Q897" s="389"/>
      <c r="R897" s="388"/>
      <c r="S897" s="388"/>
      <c r="T897" s="388"/>
      <c r="U897" s="388"/>
      <c r="V897" s="388"/>
      <c r="W897" s="9"/>
      <c r="X897" s="9"/>
      <c r="Y897" s="9"/>
      <c r="Z897" s="9"/>
    </row>
    <row r="898">
      <c r="A898" s="388"/>
      <c r="B898" s="396"/>
      <c r="C898" s="396"/>
      <c r="D898" s="396"/>
      <c r="E898" s="388"/>
      <c r="F898" s="395"/>
      <c r="G898" s="395"/>
      <c r="H898" s="388"/>
      <c r="I898" s="389"/>
      <c r="J898" s="389"/>
      <c r="K898" s="389"/>
      <c r="L898" s="460"/>
      <c r="M898" s="389"/>
      <c r="N898" s="389"/>
      <c r="O898" s="389"/>
      <c r="P898" s="389"/>
      <c r="Q898" s="389"/>
      <c r="R898" s="388"/>
      <c r="S898" s="388"/>
      <c r="T898" s="388"/>
      <c r="U898" s="388"/>
      <c r="V898" s="388"/>
      <c r="W898" s="9"/>
      <c r="X898" s="9"/>
      <c r="Y898" s="9"/>
      <c r="Z898" s="9"/>
    </row>
    <row r="899">
      <c r="A899" s="388"/>
      <c r="B899" s="396"/>
      <c r="C899" s="396"/>
      <c r="D899" s="396"/>
      <c r="E899" s="388"/>
      <c r="F899" s="395"/>
      <c r="G899" s="395"/>
      <c r="H899" s="388"/>
      <c r="I899" s="389"/>
      <c r="J899" s="389"/>
      <c r="K899" s="389"/>
      <c r="L899" s="460"/>
      <c r="M899" s="389"/>
      <c r="N899" s="389"/>
      <c r="O899" s="389"/>
      <c r="P899" s="389"/>
      <c r="Q899" s="389"/>
      <c r="R899" s="388"/>
      <c r="S899" s="388"/>
      <c r="T899" s="388"/>
      <c r="U899" s="388"/>
      <c r="V899" s="388"/>
      <c r="W899" s="9"/>
      <c r="X899" s="9"/>
      <c r="Y899" s="9"/>
      <c r="Z899" s="9"/>
    </row>
    <row r="900">
      <c r="A900" s="388"/>
      <c r="B900" s="396"/>
      <c r="C900" s="396"/>
      <c r="D900" s="396"/>
      <c r="E900" s="388"/>
      <c r="F900" s="395"/>
      <c r="G900" s="395"/>
      <c r="H900" s="388"/>
      <c r="I900" s="389"/>
      <c r="J900" s="389"/>
      <c r="K900" s="389"/>
      <c r="L900" s="460"/>
      <c r="M900" s="389"/>
      <c r="N900" s="389"/>
      <c r="O900" s="389"/>
      <c r="P900" s="389"/>
      <c r="Q900" s="389"/>
      <c r="R900" s="388"/>
      <c r="S900" s="388"/>
      <c r="T900" s="388"/>
      <c r="U900" s="388"/>
      <c r="V900" s="388"/>
      <c r="W900" s="9"/>
      <c r="X900" s="9"/>
      <c r="Y900" s="9"/>
      <c r="Z900" s="9"/>
    </row>
    <row r="901">
      <c r="A901" s="388"/>
      <c r="B901" s="396"/>
      <c r="C901" s="396"/>
      <c r="D901" s="396"/>
      <c r="E901" s="388"/>
      <c r="F901" s="395"/>
      <c r="G901" s="395"/>
      <c r="H901" s="388"/>
      <c r="I901" s="389"/>
      <c r="J901" s="389"/>
      <c r="K901" s="389"/>
      <c r="L901" s="460"/>
      <c r="M901" s="389"/>
      <c r="N901" s="389"/>
      <c r="O901" s="389"/>
      <c r="P901" s="389"/>
      <c r="Q901" s="389"/>
      <c r="R901" s="388"/>
      <c r="S901" s="388"/>
      <c r="T901" s="388"/>
      <c r="U901" s="388"/>
      <c r="V901" s="388"/>
      <c r="W901" s="9"/>
      <c r="X901" s="9"/>
      <c r="Y901" s="9"/>
      <c r="Z901" s="9"/>
    </row>
    <row r="902">
      <c r="A902" s="388"/>
      <c r="B902" s="396"/>
      <c r="C902" s="396"/>
      <c r="D902" s="396"/>
      <c r="E902" s="388"/>
      <c r="F902" s="395"/>
      <c r="G902" s="395"/>
      <c r="H902" s="388"/>
      <c r="I902" s="389"/>
      <c r="J902" s="389"/>
      <c r="K902" s="389"/>
      <c r="L902" s="460"/>
      <c r="M902" s="389"/>
      <c r="N902" s="389"/>
      <c r="O902" s="389"/>
      <c r="P902" s="389"/>
      <c r="Q902" s="389"/>
      <c r="R902" s="388"/>
      <c r="S902" s="388"/>
      <c r="T902" s="388"/>
      <c r="U902" s="388"/>
      <c r="V902" s="388"/>
      <c r="W902" s="9"/>
      <c r="X902" s="9"/>
      <c r="Y902" s="9"/>
      <c r="Z902" s="9"/>
    </row>
    <row r="903">
      <c r="A903" s="388"/>
      <c r="B903" s="396"/>
      <c r="C903" s="396"/>
      <c r="D903" s="396"/>
      <c r="E903" s="388"/>
      <c r="F903" s="395"/>
      <c r="G903" s="395"/>
      <c r="H903" s="388"/>
      <c r="I903" s="389"/>
      <c r="J903" s="389"/>
      <c r="K903" s="389"/>
      <c r="L903" s="460"/>
      <c r="M903" s="389"/>
      <c r="N903" s="389"/>
      <c r="O903" s="389"/>
      <c r="P903" s="389"/>
      <c r="Q903" s="389"/>
      <c r="R903" s="388"/>
      <c r="S903" s="388"/>
      <c r="T903" s="388"/>
      <c r="U903" s="388"/>
      <c r="V903" s="388"/>
      <c r="W903" s="9"/>
      <c r="X903" s="9"/>
      <c r="Y903" s="9"/>
      <c r="Z903" s="9"/>
    </row>
    <row r="904">
      <c r="A904" s="388"/>
      <c r="B904" s="396"/>
      <c r="C904" s="396"/>
      <c r="D904" s="396"/>
      <c r="E904" s="388"/>
      <c r="F904" s="395"/>
      <c r="G904" s="395"/>
      <c r="H904" s="388"/>
      <c r="I904" s="389"/>
      <c r="J904" s="389"/>
      <c r="K904" s="389"/>
      <c r="L904" s="460"/>
      <c r="M904" s="389"/>
      <c r="N904" s="389"/>
      <c r="O904" s="389"/>
      <c r="P904" s="389"/>
      <c r="Q904" s="389"/>
      <c r="R904" s="388"/>
      <c r="S904" s="388"/>
      <c r="T904" s="388"/>
      <c r="U904" s="388"/>
      <c r="V904" s="388"/>
      <c r="W904" s="9"/>
      <c r="X904" s="9"/>
      <c r="Y904" s="9"/>
      <c r="Z904" s="9"/>
    </row>
    <row r="905">
      <c r="A905" s="388"/>
      <c r="B905" s="396"/>
      <c r="C905" s="396"/>
      <c r="D905" s="396"/>
      <c r="E905" s="388"/>
      <c r="F905" s="395"/>
      <c r="G905" s="395"/>
      <c r="H905" s="388"/>
      <c r="I905" s="389"/>
      <c r="J905" s="389"/>
      <c r="K905" s="389"/>
      <c r="L905" s="460"/>
      <c r="M905" s="389"/>
      <c r="N905" s="389"/>
      <c r="O905" s="389"/>
      <c r="P905" s="389"/>
      <c r="Q905" s="389"/>
      <c r="R905" s="388"/>
      <c r="S905" s="388"/>
      <c r="T905" s="388"/>
      <c r="U905" s="388"/>
      <c r="V905" s="388"/>
      <c r="W905" s="9"/>
      <c r="X905" s="9"/>
      <c r="Y905" s="9"/>
      <c r="Z905" s="9"/>
    </row>
    <row r="906">
      <c r="A906" s="388"/>
      <c r="B906" s="396"/>
      <c r="C906" s="396"/>
      <c r="D906" s="396"/>
      <c r="E906" s="388"/>
      <c r="F906" s="395"/>
      <c r="G906" s="395"/>
      <c r="H906" s="388"/>
      <c r="I906" s="389"/>
      <c r="J906" s="389"/>
      <c r="K906" s="389"/>
      <c r="L906" s="460"/>
      <c r="M906" s="389"/>
      <c r="N906" s="389"/>
      <c r="O906" s="389"/>
      <c r="P906" s="389"/>
      <c r="Q906" s="389"/>
      <c r="R906" s="388"/>
      <c r="S906" s="388"/>
      <c r="T906" s="388"/>
      <c r="U906" s="388"/>
      <c r="V906" s="388"/>
      <c r="W906" s="9"/>
      <c r="X906" s="9"/>
      <c r="Y906" s="9"/>
      <c r="Z906" s="9"/>
    </row>
    <row r="907">
      <c r="A907" s="388"/>
      <c r="B907" s="396"/>
      <c r="C907" s="396"/>
      <c r="D907" s="396"/>
      <c r="E907" s="388"/>
      <c r="F907" s="395"/>
      <c r="G907" s="395"/>
      <c r="H907" s="388"/>
      <c r="I907" s="389"/>
      <c r="J907" s="389"/>
      <c r="K907" s="389"/>
      <c r="L907" s="460"/>
      <c r="M907" s="389"/>
      <c r="N907" s="389"/>
      <c r="O907" s="389"/>
      <c r="P907" s="389"/>
      <c r="Q907" s="389"/>
      <c r="R907" s="388"/>
      <c r="S907" s="388"/>
      <c r="T907" s="388"/>
      <c r="U907" s="388"/>
      <c r="V907" s="388"/>
      <c r="W907" s="9"/>
      <c r="X907" s="9"/>
      <c r="Y907" s="9"/>
      <c r="Z907" s="9"/>
    </row>
    <row r="908">
      <c r="A908" s="388"/>
      <c r="B908" s="396"/>
      <c r="C908" s="396"/>
      <c r="D908" s="396"/>
      <c r="E908" s="388"/>
      <c r="F908" s="395"/>
      <c r="G908" s="395"/>
      <c r="H908" s="388"/>
      <c r="I908" s="389"/>
      <c r="J908" s="389"/>
      <c r="K908" s="389"/>
      <c r="L908" s="460"/>
      <c r="M908" s="389"/>
      <c r="N908" s="389"/>
      <c r="O908" s="389"/>
      <c r="P908" s="389"/>
      <c r="Q908" s="389"/>
      <c r="R908" s="388"/>
      <c r="S908" s="388"/>
      <c r="T908" s="388"/>
      <c r="U908" s="388"/>
      <c r="V908" s="388"/>
      <c r="W908" s="9"/>
      <c r="X908" s="9"/>
      <c r="Y908" s="9"/>
      <c r="Z908" s="9"/>
    </row>
    <row r="909">
      <c r="A909" s="388"/>
      <c r="B909" s="396"/>
      <c r="C909" s="396"/>
      <c r="D909" s="396"/>
      <c r="E909" s="388"/>
      <c r="F909" s="395"/>
      <c r="G909" s="395"/>
      <c r="H909" s="388"/>
      <c r="I909" s="389"/>
      <c r="J909" s="389"/>
      <c r="K909" s="389"/>
      <c r="L909" s="460"/>
      <c r="M909" s="389"/>
      <c r="N909" s="389"/>
      <c r="O909" s="389"/>
      <c r="P909" s="389"/>
      <c r="Q909" s="389"/>
      <c r="R909" s="388"/>
      <c r="S909" s="388"/>
      <c r="T909" s="388"/>
      <c r="U909" s="388"/>
      <c r="V909" s="388"/>
      <c r="W909" s="9"/>
      <c r="X909" s="9"/>
      <c r="Y909" s="9"/>
      <c r="Z909" s="9"/>
    </row>
    <row r="910">
      <c r="A910" s="388"/>
      <c r="B910" s="396"/>
      <c r="C910" s="396"/>
      <c r="D910" s="396"/>
      <c r="E910" s="388"/>
      <c r="F910" s="395"/>
      <c r="G910" s="395"/>
      <c r="H910" s="388"/>
      <c r="I910" s="389"/>
      <c r="J910" s="389"/>
      <c r="K910" s="389"/>
      <c r="L910" s="460"/>
      <c r="M910" s="389"/>
      <c r="N910" s="389"/>
      <c r="O910" s="389"/>
      <c r="P910" s="389"/>
      <c r="Q910" s="389"/>
      <c r="R910" s="388"/>
      <c r="S910" s="388"/>
      <c r="T910" s="388"/>
      <c r="U910" s="388"/>
      <c r="V910" s="388"/>
      <c r="W910" s="9"/>
      <c r="X910" s="9"/>
      <c r="Y910" s="9"/>
      <c r="Z910" s="9"/>
    </row>
    <row r="911">
      <c r="A911" s="388"/>
      <c r="B911" s="396"/>
      <c r="C911" s="396"/>
      <c r="D911" s="396"/>
      <c r="E911" s="388"/>
      <c r="F911" s="395"/>
      <c r="G911" s="395"/>
      <c r="H911" s="388"/>
      <c r="I911" s="389"/>
      <c r="J911" s="389"/>
      <c r="K911" s="389"/>
      <c r="L911" s="460"/>
      <c r="M911" s="389"/>
      <c r="N911" s="389"/>
      <c r="O911" s="389"/>
      <c r="P911" s="389"/>
      <c r="Q911" s="389"/>
      <c r="R911" s="388"/>
      <c r="S911" s="388"/>
      <c r="T911" s="388"/>
      <c r="U911" s="388"/>
      <c r="V911" s="388"/>
      <c r="W911" s="9"/>
      <c r="X911" s="9"/>
      <c r="Y911" s="9"/>
      <c r="Z911" s="9"/>
    </row>
    <row r="912">
      <c r="A912" s="388"/>
      <c r="B912" s="396"/>
      <c r="C912" s="396"/>
      <c r="D912" s="396"/>
      <c r="E912" s="388"/>
      <c r="F912" s="395"/>
      <c r="G912" s="395"/>
      <c r="H912" s="388"/>
      <c r="I912" s="389"/>
      <c r="J912" s="389"/>
      <c r="K912" s="389"/>
      <c r="L912" s="460"/>
      <c r="M912" s="389"/>
      <c r="N912" s="389"/>
      <c r="O912" s="389"/>
      <c r="P912" s="389"/>
      <c r="Q912" s="389"/>
      <c r="R912" s="388"/>
      <c r="S912" s="388"/>
      <c r="T912" s="388"/>
      <c r="U912" s="388"/>
      <c r="V912" s="388"/>
      <c r="W912" s="9"/>
      <c r="X912" s="9"/>
      <c r="Y912" s="9"/>
      <c r="Z912" s="9"/>
    </row>
    <row r="913">
      <c r="A913" s="388"/>
      <c r="B913" s="396"/>
      <c r="C913" s="396"/>
      <c r="D913" s="396"/>
      <c r="E913" s="388"/>
      <c r="F913" s="395"/>
      <c r="G913" s="395"/>
      <c r="H913" s="388"/>
      <c r="I913" s="389"/>
      <c r="J913" s="389"/>
      <c r="K913" s="389"/>
      <c r="L913" s="460"/>
      <c r="M913" s="389"/>
      <c r="N913" s="389"/>
      <c r="O913" s="389"/>
      <c r="P913" s="389"/>
      <c r="Q913" s="389"/>
      <c r="R913" s="388"/>
      <c r="S913" s="388"/>
      <c r="T913" s="388"/>
      <c r="U913" s="388"/>
      <c r="V913" s="388"/>
      <c r="W913" s="9"/>
      <c r="X913" s="9"/>
      <c r="Y913" s="9"/>
      <c r="Z913" s="9"/>
    </row>
    <row r="914">
      <c r="A914" s="388"/>
      <c r="B914" s="396"/>
      <c r="C914" s="396"/>
      <c r="D914" s="396"/>
      <c r="E914" s="388"/>
      <c r="F914" s="395"/>
      <c r="G914" s="395"/>
      <c r="H914" s="388"/>
      <c r="I914" s="389"/>
      <c r="J914" s="389"/>
      <c r="K914" s="389"/>
      <c r="L914" s="460"/>
      <c r="M914" s="389"/>
      <c r="N914" s="389"/>
      <c r="O914" s="389"/>
      <c r="P914" s="389"/>
      <c r="Q914" s="389"/>
      <c r="R914" s="388"/>
      <c r="S914" s="388"/>
      <c r="T914" s="388"/>
      <c r="U914" s="388"/>
      <c r="V914" s="388"/>
      <c r="W914" s="9"/>
      <c r="X914" s="9"/>
      <c r="Y914" s="9"/>
      <c r="Z914" s="9"/>
    </row>
    <row r="915">
      <c r="A915" s="388"/>
      <c r="B915" s="396"/>
      <c r="C915" s="396"/>
      <c r="D915" s="396"/>
      <c r="E915" s="388"/>
      <c r="F915" s="395"/>
      <c r="G915" s="395"/>
      <c r="H915" s="388"/>
      <c r="I915" s="389"/>
      <c r="J915" s="389"/>
      <c r="K915" s="389"/>
      <c r="L915" s="460"/>
      <c r="M915" s="389"/>
      <c r="N915" s="389"/>
      <c r="O915" s="389"/>
      <c r="P915" s="389"/>
      <c r="Q915" s="389"/>
      <c r="R915" s="388"/>
      <c r="S915" s="388"/>
      <c r="T915" s="388"/>
      <c r="U915" s="388"/>
      <c r="V915" s="388"/>
      <c r="W915" s="9"/>
      <c r="X915" s="9"/>
      <c r="Y915" s="9"/>
      <c r="Z915" s="9"/>
    </row>
    <row r="916">
      <c r="A916" s="388"/>
      <c r="B916" s="396"/>
      <c r="C916" s="396"/>
      <c r="D916" s="396"/>
      <c r="E916" s="388"/>
      <c r="F916" s="395"/>
      <c r="G916" s="395"/>
      <c r="H916" s="388"/>
      <c r="I916" s="389"/>
      <c r="J916" s="389"/>
      <c r="K916" s="389"/>
      <c r="L916" s="460"/>
      <c r="M916" s="389"/>
      <c r="N916" s="389"/>
      <c r="O916" s="389"/>
      <c r="P916" s="389"/>
      <c r="Q916" s="389"/>
      <c r="R916" s="388"/>
      <c r="S916" s="388"/>
      <c r="T916" s="388"/>
      <c r="U916" s="388"/>
      <c r="V916" s="388"/>
      <c r="W916" s="9"/>
      <c r="X916" s="9"/>
      <c r="Y916" s="9"/>
      <c r="Z916" s="9"/>
    </row>
    <row r="917">
      <c r="A917" s="388"/>
      <c r="B917" s="396"/>
      <c r="C917" s="396"/>
      <c r="D917" s="396"/>
      <c r="E917" s="388"/>
      <c r="F917" s="395"/>
      <c r="G917" s="395"/>
      <c r="H917" s="388"/>
      <c r="I917" s="389"/>
      <c r="J917" s="389"/>
      <c r="K917" s="389"/>
      <c r="L917" s="460"/>
      <c r="M917" s="389"/>
      <c r="N917" s="389"/>
      <c r="O917" s="389"/>
      <c r="P917" s="389"/>
      <c r="Q917" s="389"/>
      <c r="R917" s="388"/>
      <c r="S917" s="388"/>
      <c r="T917" s="388"/>
      <c r="U917" s="388"/>
      <c r="V917" s="388"/>
      <c r="W917" s="9"/>
      <c r="X917" s="9"/>
      <c r="Y917" s="9"/>
      <c r="Z917" s="9"/>
    </row>
    <row r="918">
      <c r="A918" s="388"/>
      <c r="B918" s="396"/>
      <c r="C918" s="396"/>
      <c r="D918" s="396"/>
      <c r="E918" s="388"/>
      <c r="F918" s="395"/>
      <c r="G918" s="395"/>
      <c r="H918" s="388"/>
      <c r="I918" s="389"/>
      <c r="J918" s="389"/>
      <c r="K918" s="389"/>
      <c r="L918" s="460"/>
      <c r="M918" s="389"/>
      <c r="N918" s="389"/>
      <c r="O918" s="389"/>
      <c r="P918" s="389"/>
      <c r="Q918" s="389"/>
      <c r="R918" s="388"/>
      <c r="S918" s="388"/>
      <c r="T918" s="388"/>
      <c r="U918" s="388"/>
      <c r="V918" s="388"/>
      <c r="W918" s="9"/>
      <c r="X918" s="9"/>
      <c r="Y918" s="9"/>
      <c r="Z918" s="9"/>
    </row>
    <row r="919">
      <c r="A919" s="388"/>
      <c r="B919" s="396"/>
      <c r="C919" s="396"/>
      <c r="D919" s="396"/>
      <c r="E919" s="388"/>
      <c r="F919" s="395"/>
      <c r="G919" s="395"/>
      <c r="H919" s="388"/>
      <c r="I919" s="389"/>
      <c r="J919" s="389"/>
      <c r="K919" s="389"/>
      <c r="L919" s="460"/>
      <c r="M919" s="389"/>
      <c r="N919" s="389"/>
      <c r="O919" s="389"/>
      <c r="P919" s="389"/>
      <c r="Q919" s="389"/>
      <c r="R919" s="388"/>
      <c r="S919" s="388"/>
      <c r="T919" s="388"/>
      <c r="U919" s="388"/>
      <c r="V919" s="388"/>
      <c r="W919" s="9"/>
      <c r="X919" s="9"/>
      <c r="Y919" s="9"/>
      <c r="Z919" s="9"/>
    </row>
    <row r="920">
      <c r="A920" s="388"/>
      <c r="B920" s="396"/>
      <c r="C920" s="396"/>
      <c r="D920" s="396"/>
      <c r="E920" s="388"/>
      <c r="F920" s="395"/>
      <c r="G920" s="395"/>
      <c r="H920" s="388"/>
      <c r="I920" s="389"/>
      <c r="J920" s="389"/>
      <c r="K920" s="389"/>
      <c r="L920" s="460"/>
      <c r="M920" s="389"/>
      <c r="N920" s="389"/>
      <c r="O920" s="389"/>
      <c r="P920" s="389"/>
      <c r="Q920" s="389"/>
      <c r="R920" s="388"/>
      <c r="S920" s="388"/>
      <c r="T920" s="388"/>
      <c r="U920" s="388"/>
      <c r="V920" s="388"/>
      <c r="W920" s="9"/>
      <c r="X920" s="9"/>
      <c r="Y920" s="9"/>
      <c r="Z920" s="9"/>
    </row>
    <row r="921">
      <c r="A921" s="388"/>
      <c r="B921" s="396"/>
      <c r="C921" s="396"/>
      <c r="D921" s="396"/>
      <c r="E921" s="388"/>
      <c r="F921" s="395"/>
      <c r="G921" s="395"/>
      <c r="H921" s="388"/>
      <c r="I921" s="389"/>
      <c r="J921" s="389"/>
      <c r="K921" s="389"/>
      <c r="L921" s="460"/>
      <c r="M921" s="389"/>
      <c r="N921" s="389"/>
      <c r="O921" s="389"/>
      <c r="P921" s="389"/>
      <c r="Q921" s="389"/>
      <c r="R921" s="388"/>
      <c r="S921" s="388"/>
      <c r="T921" s="388"/>
      <c r="U921" s="388"/>
      <c r="V921" s="388"/>
      <c r="W921" s="9"/>
      <c r="X921" s="9"/>
      <c r="Y921" s="9"/>
      <c r="Z921" s="9"/>
    </row>
    <row r="922">
      <c r="A922" s="388"/>
      <c r="B922" s="396"/>
      <c r="C922" s="396"/>
      <c r="D922" s="396"/>
      <c r="E922" s="388"/>
      <c r="F922" s="395"/>
      <c r="G922" s="395"/>
      <c r="H922" s="388"/>
      <c r="I922" s="389"/>
      <c r="J922" s="389"/>
      <c r="K922" s="389"/>
      <c r="L922" s="460"/>
      <c r="M922" s="389"/>
      <c r="N922" s="389"/>
      <c r="O922" s="389"/>
      <c r="P922" s="389"/>
      <c r="Q922" s="389"/>
      <c r="R922" s="388"/>
      <c r="S922" s="388"/>
      <c r="T922" s="388"/>
      <c r="U922" s="388"/>
      <c r="V922" s="388"/>
      <c r="W922" s="9"/>
      <c r="X922" s="9"/>
      <c r="Y922" s="9"/>
      <c r="Z922" s="9"/>
    </row>
    <row r="923">
      <c r="A923" s="388"/>
      <c r="B923" s="396"/>
      <c r="C923" s="396"/>
      <c r="D923" s="396"/>
      <c r="E923" s="388"/>
      <c r="F923" s="395"/>
      <c r="G923" s="395"/>
      <c r="H923" s="388"/>
      <c r="I923" s="389"/>
      <c r="J923" s="389"/>
      <c r="K923" s="389"/>
      <c r="L923" s="460"/>
      <c r="M923" s="389"/>
      <c r="N923" s="389"/>
      <c r="O923" s="389"/>
      <c r="P923" s="389"/>
      <c r="Q923" s="389"/>
      <c r="R923" s="388"/>
      <c r="S923" s="388"/>
      <c r="T923" s="388"/>
      <c r="U923" s="388"/>
      <c r="V923" s="388"/>
      <c r="W923" s="9"/>
      <c r="X923" s="9"/>
      <c r="Y923" s="9"/>
      <c r="Z923" s="9"/>
    </row>
    <row r="924">
      <c r="A924" s="388"/>
      <c r="B924" s="396"/>
      <c r="C924" s="396"/>
      <c r="D924" s="396"/>
      <c r="E924" s="388"/>
      <c r="F924" s="395"/>
      <c r="G924" s="395"/>
      <c r="H924" s="388"/>
      <c r="I924" s="389"/>
      <c r="J924" s="389"/>
      <c r="K924" s="389"/>
      <c r="L924" s="460"/>
      <c r="M924" s="389"/>
      <c r="N924" s="389"/>
      <c r="O924" s="389"/>
      <c r="P924" s="389"/>
      <c r="Q924" s="389"/>
      <c r="R924" s="388"/>
      <c r="S924" s="388"/>
      <c r="T924" s="388"/>
      <c r="U924" s="388"/>
      <c r="V924" s="388"/>
      <c r="W924" s="9"/>
      <c r="X924" s="9"/>
      <c r="Y924" s="9"/>
      <c r="Z924" s="9"/>
    </row>
    <row r="925">
      <c r="A925" s="388"/>
      <c r="B925" s="396"/>
      <c r="C925" s="396"/>
      <c r="D925" s="396"/>
      <c r="E925" s="388"/>
      <c r="F925" s="395"/>
      <c r="G925" s="395"/>
      <c r="H925" s="388"/>
      <c r="I925" s="389"/>
      <c r="J925" s="389"/>
      <c r="K925" s="389"/>
      <c r="L925" s="460"/>
      <c r="M925" s="389"/>
      <c r="N925" s="389"/>
      <c r="O925" s="389"/>
      <c r="P925" s="389"/>
      <c r="Q925" s="389"/>
      <c r="R925" s="388"/>
      <c r="S925" s="388"/>
      <c r="T925" s="388"/>
      <c r="U925" s="388"/>
      <c r="V925" s="388"/>
      <c r="W925" s="9"/>
      <c r="X925" s="9"/>
      <c r="Y925" s="9"/>
      <c r="Z925" s="9"/>
    </row>
    <row r="926">
      <c r="A926" s="388"/>
      <c r="B926" s="396"/>
      <c r="C926" s="396"/>
      <c r="D926" s="396"/>
      <c r="E926" s="388"/>
      <c r="F926" s="395"/>
      <c r="G926" s="395"/>
      <c r="H926" s="388"/>
      <c r="I926" s="389"/>
      <c r="J926" s="389"/>
      <c r="K926" s="389"/>
      <c r="L926" s="460"/>
      <c r="M926" s="389"/>
      <c r="N926" s="389"/>
      <c r="O926" s="389"/>
      <c r="P926" s="389"/>
      <c r="Q926" s="389"/>
      <c r="R926" s="388"/>
      <c r="S926" s="388"/>
      <c r="T926" s="388"/>
      <c r="U926" s="388"/>
      <c r="V926" s="388"/>
      <c r="W926" s="9"/>
      <c r="X926" s="9"/>
      <c r="Y926" s="9"/>
      <c r="Z926" s="9"/>
    </row>
    <row r="927">
      <c r="A927" s="388"/>
      <c r="B927" s="396"/>
      <c r="C927" s="396"/>
      <c r="D927" s="396"/>
      <c r="E927" s="388"/>
      <c r="F927" s="395"/>
      <c r="G927" s="395"/>
      <c r="H927" s="388"/>
      <c r="I927" s="389"/>
      <c r="J927" s="389"/>
      <c r="K927" s="389"/>
      <c r="L927" s="460"/>
      <c r="M927" s="389"/>
      <c r="N927" s="389"/>
      <c r="O927" s="389"/>
      <c r="P927" s="389"/>
      <c r="Q927" s="389"/>
      <c r="R927" s="388"/>
      <c r="S927" s="388"/>
      <c r="T927" s="388"/>
      <c r="U927" s="388"/>
      <c r="V927" s="388"/>
      <c r="W927" s="9"/>
      <c r="X927" s="9"/>
      <c r="Y927" s="9"/>
      <c r="Z927" s="9"/>
    </row>
    <row r="928">
      <c r="A928" s="388"/>
      <c r="B928" s="396"/>
      <c r="C928" s="396"/>
      <c r="D928" s="396"/>
      <c r="E928" s="388"/>
      <c r="F928" s="395"/>
      <c r="G928" s="395"/>
      <c r="H928" s="388"/>
      <c r="I928" s="389"/>
      <c r="J928" s="389"/>
      <c r="K928" s="389"/>
      <c r="L928" s="460"/>
      <c r="M928" s="389"/>
      <c r="N928" s="389"/>
      <c r="O928" s="389"/>
      <c r="P928" s="389"/>
      <c r="Q928" s="389"/>
      <c r="R928" s="388"/>
      <c r="S928" s="388"/>
      <c r="T928" s="388"/>
      <c r="U928" s="388"/>
      <c r="V928" s="388"/>
      <c r="W928" s="9"/>
      <c r="X928" s="9"/>
      <c r="Y928" s="9"/>
      <c r="Z928" s="9"/>
    </row>
    <row r="929">
      <c r="A929" s="388"/>
      <c r="B929" s="396"/>
      <c r="C929" s="396"/>
      <c r="D929" s="396"/>
      <c r="E929" s="388"/>
      <c r="F929" s="395"/>
      <c r="G929" s="395"/>
      <c r="H929" s="388"/>
      <c r="I929" s="389"/>
      <c r="J929" s="389"/>
      <c r="K929" s="389"/>
      <c r="L929" s="460"/>
      <c r="M929" s="389"/>
      <c r="N929" s="389"/>
      <c r="O929" s="389"/>
      <c r="P929" s="389"/>
      <c r="Q929" s="389"/>
      <c r="R929" s="388"/>
      <c r="S929" s="388"/>
      <c r="T929" s="388"/>
      <c r="U929" s="388"/>
      <c r="V929" s="388"/>
      <c r="W929" s="9"/>
      <c r="X929" s="9"/>
      <c r="Y929" s="9"/>
      <c r="Z929" s="9"/>
    </row>
    <row r="930">
      <c r="A930" s="388"/>
      <c r="B930" s="396"/>
      <c r="C930" s="396"/>
      <c r="D930" s="396"/>
      <c r="E930" s="388"/>
      <c r="F930" s="395"/>
      <c r="G930" s="395"/>
      <c r="H930" s="388"/>
      <c r="I930" s="389"/>
      <c r="J930" s="389"/>
      <c r="K930" s="389"/>
      <c r="L930" s="460"/>
      <c r="M930" s="389"/>
      <c r="N930" s="389"/>
      <c r="O930" s="389"/>
      <c r="P930" s="389"/>
      <c r="Q930" s="389"/>
      <c r="R930" s="388"/>
      <c r="S930" s="388"/>
      <c r="T930" s="388"/>
      <c r="U930" s="388"/>
      <c r="V930" s="388"/>
      <c r="W930" s="9"/>
      <c r="X930" s="9"/>
      <c r="Y930" s="9"/>
      <c r="Z930" s="9"/>
    </row>
    <row r="931">
      <c r="A931" s="388"/>
      <c r="B931" s="396"/>
      <c r="C931" s="396"/>
      <c r="D931" s="396"/>
      <c r="E931" s="388"/>
      <c r="F931" s="395"/>
      <c r="G931" s="395"/>
      <c r="H931" s="388"/>
      <c r="I931" s="389"/>
      <c r="J931" s="389"/>
      <c r="K931" s="389"/>
      <c r="L931" s="460"/>
      <c r="M931" s="389"/>
      <c r="N931" s="389"/>
      <c r="O931" s="389"/>
      <c r="P931" s="389"/>
      <c r="Q931" s="389"/>
      <c r="R931" s="388"/>
      <c r="S931" s="388"/>
      <c r="T931" s="388"/>
      <c r="U931" s="388"/>
      <c r="V931" s="388"/>
      <c r="W931" s="9"/>
      <c r="X931" s="9"/>
      <c r="Y931" s="9"/>
      <c r="Z931" s="9"/>
    </row>
    <row r="932">
      <c r="A932" s="388"/>
      <c r="B932" s="396"/>
      <c r="C932" s="396"/>
      <c r="D932" s="396"/>
      <c r="E932" s="388"/>
      <c r="F932" s="395"/>
      <c r="G932" s="395"/>
      <c r="H932" s="388"/>
      <c r="I932" s="389"/>
      <c r="J932" s="389"/>
      <c r="K932" s="389"/>
      <c r="L932" s="460"/>
      <c r="M932" s="389"/>
      <c r="N932" s="389"/>
      <c r="O932" s="389"/>
      <c r="P932" s="389"/>
      <c r="Q932" s="389"/>
      <c r="R932" s="388"/>
      <c r="S932" s="388"/>
      <c r="T932" s="388"/>
      <c r="U932" s="388"/>
      <c r="V932" s="388"/>
      <c r="W932" s="9"/>
      <c r="X932" s="9"/>
      <c r="Y932" s="9"/>
      <c r="Z932" s="9"/>
    </row>
    <row r="933">
      <c r="A933" s="388"/>
      <c r="B933" s="396"/>
      <c r="C933" s="396"/>
      <c r="D933" s="396"/>
      <c r="E933" s="388"/>
      <c r="F933" s="395"/>
      <c r="G933" s="395"/>
      <c r="H933" s="388"/>
      <c r="I933" s="389"/>
      <c r="J933" s="389"/>
      <c r="K933" s="389"/>
      <c r="L933" s="460"/>
      <c r="M933" s="389"/>
      <c r="N933" s="389"/>
      <c r="O933" s="389"/>
      <c r="P933" s="389"/>
      <c r="Q933" s="389"/>
      <c r="R933" s="388"/>
      <c r="S933" s="388"/>
      <c r="T933" s="388"/>
      <c r="U933" s="388"/>
      <c r="V933" s="388"/>
      <c r="W933" s="9"/>
      <c r="X933" s="9"/>
      <c r="Y933" s="9"/>
      <c r="Z933" s="9"/>
    </row>
    <row r="934">
      <c r="A934" s="388"/>
      <c r="B934" s="396"/>
      <c r="C934" s="396"/>
      <c r="D934" s="396"/>
      <c r="E934" s="388"/>
      <c r="F934" s="395"/>
      <c r="G934" s="395"/>
      <c r="H934" s="388"/>
      <c r="I934" s="389"/>
      <c r="J934" s="389"/>
      <c r="K934" s="389"/>
      <c r="L934" s="460"/>
      <c r="M934" s="389"/>
      <c r="N934" s="389"/>
      <c r="O934" s="389"/>
      <c r="P934" s="389"/>
      <c r="Q934" s="389"/>
      <c r="R934" s="388"/>
      <c r="S934" s="388"/>
      <c r="T934" s="388"/>
      <c r="U934" s="388"/>
      <c r="V934" s="388"/>
      <c r="W934" s="9"/>
      <c r="X934" s="9"/>
      <c r="Y934" s="9"/>
      <c r="Z934" s="9"/>
    </row>
    <row r="935">
      <c r="A935" s="388"/>
      <c r="B935" s="396"/>
      <c r="C935" s="396"/>
      <c r="D935" s="396"/>
      <c r="E935" s="388"/>
      <c r="F935" s="395"/>
      <c r="G935" s="395"/>
      <c r="H935" s="388"/>
      <c r="I935" s="389"/>
      <c r="J935" s="389"/>
      <c r="K935" s="389"/>
      <c r="L935" s="460"/>
      <c r="M935" s="389"/>
      <c r="N935" s="389"/>
      <c r="O935" s="389"/>
      <c r="P935" s="389"/>
      <c r="Q935" s="389"/>
      <c r="R935" s="388"/>
      <c r="S935" s="388"/>
      <c r="T935" s="388"/>
      <c r="U935" s="388"/>
      <c r="V935" s="388"/>
      <c r="W935" s="9"/>
      <c r="X935" s="9"/>
      <c r="Y935" s="9"/>
      <c r="Z935" s="9"/>
    </row>
    <row r="936">
      <c r="A936" s="388"/>
      <c r="B936" s="396"/>
      <c r="C936" s="396"/>
      <c r="D936" s="396"/>
      <c r="E936" s="388"/>
      <c r="F936" s="395"/>
      <c r="G936" s="395"/>
      <c r="H936" s="388"/>
      <c r="I936" s="389"/>
      <c r="J936" s="389"/>
      <c r="K936" s="389"/>
      <c r="L936" s="460"/>
      <c r="M936" s="389"/>
      <c r="N936" s="389"/>
      <c r="O936" s="389"/>
      <c r="P936" s="389"/>
      <c r="Q936" s="389"/>
      <c r="R936" s="388"/>
      <c r="S936" s="388"/>
      <c r="T936" s="388"/>
      <c r="U936" s="388"/>
      <c r="V936" s="388"/>
      <c r="W936" s="9"/>
      <c r="X936" s="9"/>
      <c r="Y936" s="9"/>
      <c r="Z936" s="9"/>
    </row>
    <row r="937">
      <c r="A937" s="388"/>
      <c r="B937" s="396"/>
      <c r="C937" s="396"/>
      <c r="D937" s="396"/>
      <c r="E937" s="388"/>
      <c r="F937" s="395"/>
      <c r="G937" s="395"/>
      <c r="H937" s="388"/>
      <c r="I937" s="389"/>
      <c r="J937" s="389"/>
      <c r="K937" s="389"/>
      <c r="L937" s="460"/>
      <c r="M937" s="389"/>
      <c r="N937" s="389"/>
      <c r="O937" s="389"/>
      <c r="P937" s="389"/>
      <c r="Q937" s="389"/>
      <c r="R937" s="388"/>
      <c r="S937" s="388"/>
      <c r="T937" s="388"/>
      <c r="U937" s="388"/>
      <c r="V937" s="388"/>
      <c r="W937" s="9"/>
      <c r="X937" s="9"/>
      <c r="Y937" s="9"/>
      <c r="Z937" s="9"/>
    </row>
    <row r="938">
      <c r="A938" s="388"/>
      <c r="B938" s="396"/>
      <c r="C938" s="396"/>
      <c r="D938" s="396"/>
      <c r="E938" s="388"/>
      <c r="F938" s="395"/>
      <c r="G938" s="395"/>
      <c r="H938" s="388"/>
      <c r="I938" s="389"/>
      <c r="J938" s="389"/>
      <c r="K938" s="389"/>
      <c r="L938" s="460"/>
      <c r="M938" s="389"/>
      <c r="N938" s="389"/>
      <c r="O938" s="389"/>
      <c r="P938" s="389"/>
      <c r="Q938" s="389"/>
      <c r="R938" s="388"/>
      <c r="S938" s="388"/>
      <c r="T938" s="388"/>
      <c r="U938" s="388"/>
      <c r="V938" s="388"/>
      <c r="W938" s="9"/>
      <c r="X938" s="9"/>
      <c r="Y938" s="9"/>
      <c r="Z938" s="9"/>
    </row>
    <row r="939">
      <c r="A939" s="388"/>
      <c r="B939" s="396"/>
      <c r="C939" s="396"/>
      <c r="D939" s="396"/>
      <c r="E939" s="388"/>
      <c r="F939" s="395"/>
      <c r="G939" s="395"/>
      <c r="H939" s="388"/>
      <c r="I939" s="389"/>
      <c r="J939" s="389"/>
      <c r="K939" s="389"/>
      <c r="L939" s="460"/>
      <c r="M939" s="389"/>
      <c r="N939" s="389"/>
      <c r="O939" s="389"/>
      <c r="P939" s="389"/>
      <c r="Q939" s="389"/>
      <c r="R939" s="388"/>
      <c r="S939" s="388"/>
      <c r="T939" s="388"/>
      <c r="U939" s="388"/>
      <c r="V939" s="388"/>
      <c r="W939" s="9"/>
      <c r="X939" s="9"/>
      <c r="Y939" s="9"/>
      <c r="Z939" s="9"/>
    </row>
    <row r="940">
      <c r="A940" s="388"/>
      <c r="B940" s="396"/>
      <c r="C940" s="396"/>
      <c r="D940" s="396"/>
      <c r="E940" s="388"/>
      <c r="F940" s="395"/>
      <c r="G940" s="395"/>
      <c r="H940" s="388"/>
      <c r="I940" s="389"/>
      <c r="J940" s="389"/>
      <c r="K940" s="389"/>
      <c r="L940" s="460"/>
      <c r="M940" s="389"/>
      <c r="N940" s="389"/>
      <c r="O940" s="389"/>
      <c r="P940" s="389"/>
      <c r="Q940" s="389"/>
      <c r="R940" s="388"/>
      <c r="S940" s="388"/>
      <c r="T940" s="388"/>
      <c r="U940" s="388"/>
      <c r="V940" s="388"/>
      <c r="W940" s="9"/>
      <c r="X940" s="9"/>
      <c r="Y940" s="9"/>
      <c r="Z940" s="9"/>
    </row>
    <row r="941">
      <c r="A941" s="388"/>
      <c r="B941" s="396"/>
      <c r="C941" s="396"/>
      <c r="D941" s="396"/>
      <c r="E941" s="388"/>
      <c r="F941" s="395"/>
      <c r="G941" s="395"/>
      <c r="H941" s="388"/>
      <c r="I941" s="389"/>
      <c r="J941" s="389"/>
      <c r="K941" s="389"/>
      <c r="L941" s="460"/>
      <c r="M941" s="389"/>
      <c r="N941" s="389"/>
      <c r="O941" s="389"/>
      <c r="P941" s="389"/>
      <c r="Q941" s="389"/>
      <c r="R941" s="388"/>
      <c r="S941" s="388"/>
      <c r="T941" s="388"/>
      <c r="U941" s="388"/>
      <c r="V941" s="388"/>
      <c r="W941" s="9"/>
      <c r="X941" s="9"/>
      <c r="Y941" s="9"/>
      <c r="Z941" s="9"/>
    </row>
    <row r="942">
      <c r="A942" s="388"/>
      <c r="B942" s="396"/>
      <c r="C942" s="396"/>
      <c r="D942" s="396"/>
      <c r="E942" s="388"/>
      <c r="F942" s="395"/>
      <c r="G942" s="395"/>
      <c r="H942" s="388"/>
      <c r="I942" s="389"/>
      <c r="J942" s="389"/>
      <c r="K942" s="389"/>
      <c r="L942" s="460"/>
      <c r="M942" s="389"/>
      <c r="N942" s="389"/>
      <c r="O942" s="389"/>
      <c r="P942" s="389"/>
      <c r="Q942" s="389"/>
      <c r="R942" s="388"/>
      <c r="S942" s="388"/>
      <c r="T942" s="388"/>
      <c r="U942" s="388"/>
      <c r="V942" s="388"/>
      <c r="W942" s="9"/>
      <c r="X942" s="9"/>
      <c r="Y942" s="9"/>
      <c r="Z942" s="9"/>
    </row>
    <row r="943">
      <c r="A943" s="388"/>
      <c r="B943" s="396"/>
      <c r="C943" s="396"/>
      <c r="D943" s="396"/>
      <c r="E943" s="388"/>
      <c r="F943" s="395"/>
      <c r="G943" s="395"/>
      <c r="H943" s="388"/>
      <c r="I943" s="389"/>
      <c r="J943" s="389"/>
      <c r="K943" s="389"/>
      <c r="L943" s="460"/>
      <c r="M943" s="389"/>
      <c r="N943" s="389"/>
      <c r="O943" s="389"/>
      <c r="P943" s="389"/>
      <c r="Q943" s="389"/>
      <c r="R943" s="388"/>
      <c r="S943" s="388"/>
      <c r="T943" s="388"/>
      <c r="U943" s="388"/>
      <c r="V943" s="388"/>
      <c r="W943" s="9"/>
      <c r="X943" s="9"/>
      <c r="Y943" s="9"/>
      <c r="Z943" s="9"/>
    </row>
    <row r="944">
      <c r="A944" s="388"/>
      <c r="B944" s="396"/>
      <c r="C944" s="396"/>
      <c r="D944" s="396"/>
      <c r="E944" s="388"/>
      <c r="F944" s="395"/>
      <c r="G944" s="395"/>
      <c r="H944" s="388"/>
      <c r="I944" s="389"/>
      <c r="J944" s="389"/>
      <c r="K944" s="389"/>
      <c r="L944" s="460"/>
      <c r="M944" s="389"/>
      <c r="N944" s="389"/>
      <c r="O944" s="389"/>
      <c r="P944" s="389"/>
      <c r="Q944" s="389"/>
      <c r="R944" s="388"/>
      <c r="S944" s="388"/>
      <c r="T944" s="388"/>
      <c r="U944" s="388"/>
      <c r="V944" s="388"/>
      <c r="W944" s="9"/>
      <c r="X944" s="9"/>
      <c r="Y944" s="9"/>
      <c r="Z944" s="9"/>
    </row>
    <row r="945">
      <c r="A945" s="388"/>
      <c r="B945" s="396"/>
      <c r="C945" s="396"/>
      <c r="D945" s="396"/>
      <c r="E945" s="388"/>
      <c r="F945" s="395"/>
      <c r="G945" s="395"/>
      <c r="H945" s="388"/>
      <c r="I945" s="389"/>
      <c r="J945" s="389"/>
      <c r="K945" s="389"/>
      <c r="L945" s="460"/>
      <c r="M945" s="389"/>
      <c r="N945" s="389"/>
      <c r="O945" s="389"/>
      <c r="P945" s="389"/>
      <c r="Q945" s="389"/>
      <c r="R945" s="388"/>
      <c r="S945" s="388"/>
      <c r="T945" s="388"/>
      <c r="U945" s="388"/>
      <c r="V945" s="388"/>
      <c r="W945" s="9"/>
      <c r="X945" s="9"/>
      <c r="Y945" s="9"/>
      <c r="Z945" s="9"/>
    </row>
    <row r="946">
      <c r="A946" s="388"/>
      <c r="B946" s="396"/>
      <c r="C946" s="396"/>
      <c r="D946" s="396"/>
      <c r="E946" s="388"/>
      <c r="F946" s="395"/>
      <c r="G946" s="395"/>
      <c r="H946" s="388"/>
      <c r="I946" s="389"/>
      <c r="J946" s="389"/>
      <c r="K946" s="389"/>
      <c r="L946" s="460"/>
      <c r="M946" s="389"/>
      <c r="N946" s="389"/>
      <c r="O946" s="389"/>
      <c r="P946" s="389"/>
      <c r="Q946" s="389"/>
      <c r="R946" s="388"/>
      <c r="S946" s="388"/>
      <c r="T946" s="388"/>
      <c r="U946" s="388"/>
      <c r="V946" s="388"/>
      <c r="W946" s="9"/>
      <c r="X946" s="9"/>
      <c r="Y946" s="9"/>
      <c r="Z946" s="9"/>
    </row>
    <row r="947">
      <c r="A947" s="388"/>
      <c r="B947" s="396"/>
      <c r="C947" s="396"/>
      <c r="D947" s="396"/>
      <c r="E947" s="388"/>
      <c r="F947" s="395"/>
      <c r="G947" s="395"/>
      <c r="H947" s="388"/>
      <c r="I947" s="389"/>
      <c r="J947" s="389"/>
      <c r="K947" s="389"/>
      <c r="L947" s="460"/>
      <c r="M947" s="389"/>
      <c r="N947" s="389"/>
      <c r="O947" s="389"/>
      <c r="P947" s="389"/>
      <c r="Q947" s="389"/>
      <c r="R947" s="388"/>
      <c r="S947" s="388"/>
      <c r="T947" s="388"/>
      <c r="U947" s="388"/>
      <c r="V947" s="388"/>
      <c r="W947" s="9"/>
      <c r="X947" s="9"/>
      <c r="Y947" s="9"/>
      <c r="Z947" s="9"/>
    </row>
    <row r="948">
      <c r="A948" s="388"/>
      <c r="B948" s="396"/>
      <c r="C948" s="396"/>
      <c r="D948" s="396"/>
      <c r="E948" s="388"/>
      <c r="F948" s="395"/>
      <c r="G948" s="395"/>
      <c r="H948" s="388"/>
      <c r="I948" s="389"/>
      <c r="J948" s="389"/>
      <c r="K948" s="389"/>
      <c r="L948" s="460"/>
      <c r="M948" s="389"/>
      <c r="N948" s="389"/>
      <c r="O948" s="389"/>
      <c r="P948" s="389"/>
      <c r="Q948" s="389"/>
      <c r="R948" s="388"/>
      <c r="S948" s="388"/>
      <c r="T948" s="388"/>
      <c r="U948" s="388"/>
      <c r="V948" s="388"/>
      <c r="W948" s="9"/>
      <c r="X948" s="9"/>
      <c r="Y948" s="9"/>
      <c r="Z948" s="9"/>
    </row>
    <row r="949">
      <c r="A949" s="388"/>
      <c r="B949" s="396"/>
      <c r="C949" s="396"/>
      <c r="D949" s="396"/>
      <c r="E949" s="388"/>
      <c r="F949" s="395"/>
      <c r="G949" s="395"/>
      <c r="H949" s="388"/>
      <c r="I949" s="389"/>
      <c r="J949" s="389"/>
      <c r="K949" s="389"/>
      <c r="L949" s="460"/>
      <c r="M949" s="389"/>
      <c r="N949" s="389"/>
      <c r="O949" s="389"/>
      <c r="P949" s="389"/>
      <c r="Q949" s="389"/>
      <c r="R949" s="388"/>
      <c r="S949" s="388"/>
      <c r="T949" s="388"/>
      <c r="U949" s="388"/>
      <c r="V949" s="388"/>
      <c r="W949" s="9"/>
      <c r="X949" s="9"/>
      <c r="Y949" s="9"/>
      <c r="Z949" s="9"/>
    </row>
    <row r="950">
      <c r="A950" s="388"/>
      <c r="B950" s="396"/>
      <c r="C950" s="396"/>
      <c r="D950" s="396"/>
      <c r="E950" s="388"/>
      <c r="F950" s="395"/>
      <c r="G950" s="395"/>
      <c r="H950" s="388"/>
      <c r="I950" s="389"/>
      <c r="J950" s="389"/>
      <c r="K950" s="389"/>
      <c r="L950" s="460"/>
      <c r="M950" s="389"/>
      <c r="N950" s="389"/>
      <c r="O950" s="389"/>
      <c r="P950" s="389"/>
      <c r="Q950" s="389"/>
      <c r="R950" s="388"/>
      <c r="S950" s="388"/>
      <c r="T950" s="388"/>
      <c r="U950" s="388"/>
      <c r="V950" s="388"/>
      <c r="W950" s="9"/>
      <c r="X950" s="9"/>
      <c r="Y950" s="9"/>
      <c r="Z950" s="9"/>
    </row>
    <row r="951">
      <c r="A951" s="388"/>
      <c r="B951" s="396"/>
      <c r="C951" s="396"/>
      <c r="D951" s="396"/>
      <c r="E951" s="388"/>
      <c r="F951" s="395"/>
      <c r="G951" s="395"/>
      <c r="H951" s="388"/>
      <c r="I951" s="389"/>
      <c r="J951" s="389"/>
      <c r="K951" s="389"/>
      <c r="L951" s="460"/>
      <c r="M951" s="389"/>
      <c r="N951" s="389"/>
      <c r="O951" s="389"/>
      <c r="P951" s="389"/>
      <c r="Q951" s="389"/>
      <c r="R951" s="388"/>
      <c r="S951" s="388"/>
      <c r="T951" s="388"/>
      <c r="U951" s="388"/>
      <c r="V951" s="388"/>
      <c r="W951" s="9"/>
      <c r="X951" s="9"/>
      <c r="Y951" s="9"/>
      <c r="Z951" s="9"/>
    </row>
    <row r="952">
      <c r="A952" s="388"/>
      <c r="B952" s="396"/>
      <c r="C952" s="396"/>
      <c r="D952" s="396"/>
      <c r="E952" s="388"/>
      <c r="F952" s="395"/>
      <c r="G952" s="395"/>
      <c r="H952" s="388"/>
      <c r="I952" s="389"/>
      <c r="J952" s="389"/>
      <c r="K952" s="389"/>
      <c r="L952" s="460"/>
      <c r="M952" s="389"/>
      <c r="N952" s="389"/>
      <c r="O952" s="389"/>
      <c r="P952" s="389"/>
      <c r="Q952" s="389"/>
      <c r="R952" s="388"/>
      <c r="S952" s="388"/>
      <c r="T952" s="388"/>
      <c r="U952" s="388"/>
      <c r="V952" s="388"/>
      <c r="W952" s="9"/>
      <c r="X952" s="9"/>
      <c r="Y952" s="9"/>
      <c r="Z952" s="9"/>
    </row>
    <row r="953">
      <c r="A953" s="388"/>
      <c r="B953" s="396"/>
      <c r="C953" s="396"/>
      <c r="D953" s="396"/>
      <c r="E953" s="388"/>
      <c r="F953" s="395"/>
      <c r="G953" s="395"/>
      <c r="H953" s="388"/>
      <c r="I953" s="389"/>
      <c r="J953" s="389"/>
      <c r="K953" s="389"/>
      <c r="L953" s="460"/>
      <c r="M953" s="389"/>
      <c r="N953" s="389"/>
      <c r="O953" s="389"/>
      <c r="P953" s="389"/>
      <c r="Q953" s="389"/>
      <c r="R953" s="388"/>
      <c r="S953" s="388"/>
      <c r="T953" s="388"/>
      <c r="U953" s="388"/>
      <c r="V953" s="388"/>
      <c r="W953" s="9"/>
      <c r="X953" s="9"/>
      <c r="Y953" s="9"/>
      <c r="Z953" s="9"/>
    </row>
    <row r="954">
      <c r="A954" s="388"/>
      <c r="B954" s="396"/>
      <c r="C954" s="396"/>
      <c r="D954" s="396"/>
      <c r="E954" s="388"/>
      <c r="F954" s="395"/>
      <c r="G954" s="395"/>
      <c r="H954" s="388"/>
      <c r="I954" s="389"/>
      <c r="J954" s="389"/>
      <c r="K954" s="389"/>
      <c r="L954" s="460"/>
      <c r="M954" s="389"/>
      <c r="N954" s="389"/>
      <c r="O954" s="389"/>
      <c r="P954" s="389"/>
      <c r="Q954" s="389"/>
      <c r="R954" s="388"/>
      <c r="S954" s="388"/>
      <c r="T954" s="388"/>
      <c r="U954" s="388"/>
      <c r="V954" s="388"/>
      <c r="W954" s="9"/>
      <c r="X954" s="9"/>
      <c r="Y954" s="9"/>
      <c r="Z954" s="9"/>
    </row>
    <row r="955">
      <c r="A955" s="388"/>
      <c r="B955" s="396"/>
      <c r="C955" s="396"/>
      <c r="D955" s="396"/>
      <c r="E955" s="388"/>
      <c r="F955" s="395"/>
      <c r="G955" s="395"/>
      <c r="H955" s="388"/>
      <c r="I955" s="389"/>
      <c r="J955" s="389"/>
      <c r="K955" s="389"/>
      <c r="L955" s="460"/>
      <c r="M955" s="389"/>
      <c r="N955" s="389"/>
      <c r="O955" s="389"/>
      <c r="P955" s="389"/>
      <c r="Q955" s="389"/>
      <c r="R955" s="388"/>
      <c r="S955" s="388"/>
      <c r="T955" s="388"/>
      <c r="U955" s="388"/>
      <c r="V955" s="388"/>
      <c r="W955" s="9"/>
      <c r="X955" s="9"/>
      <c r="Y955" s="9"/>
      <c r="Z955" s="9"/>
    </row>
    <row r="956">
      <c r="A956" s="388"/>
      <c r="B956" s="396"/>
      <c r="C956" s="396"/>
      <c r="D956" s="396"/>
      <c r="E956" s="388"/>
      <c r="F956" s="395"/>
      <c r="G956" s="395"/>
      <c r="H956" s="388"/>
      <c r="I956" s="389"/>
      <c r="J956" s="389"/>
      <c r="K956" s="389"/>
      <c r="L956" s="460"/>
      <c r="M956" s="389"/>
      <c r="N956" s="389"/>
      <c r="O956" s="389"/>
      <c r="P956" s="389"/>
      <c r="Q956" s="389"/>
      <c r="R956" s="388"/>
      <c r="S956" s="388"/>
      <c r="T956" s="388"/>
      <c r="U956" s="388"/>
      <c r="V956" s="388"/>
      <c r="W956" s="9"/>
      <c r="X956" s="9"/>
      <c r="Y956" s="9"/>
      <c r="Z956" s="9"/>
    </row>
    <row r="957">
      <c r="A957" s="388"/>
      <c r="B957" s="396"/>
      <c r="C957" s="396"/>
      <c r="D957" s="396"/>
      <c r="E957" s="388"/>
      <c r="F957" s="395"/>
      <c r="G957" s="395"/>
      <c r="H957" s="388"/>
      <c r="I957" s="389"/>
      <c r="J957" s="389"/>
      <c r="K957" s="389"/>
      <c r="L957" s="460"/>
      <c r="M957" s="389"/>
      <c r="N957" s="389"/>
      <c r="O957" s="389"/>
      <c r="P957" s="389"/>
      <c r="Q957" s="389"/>
      <c r="R957" s="388"/>
      <c r="S957" s="388"/>
      <c r="T957" s="388"/>
      <c r="U957" s="388"/>
      <c r="V957" s="388"/>
      <c r="W957" s="9"/>
      <c r="X957" s="9"/>
      <c r="Y957" s="9"/>
      <c r="Z957" s="9"/>
    </row>
    <row r="958">
      <c r="A958" s="388"/>
      <c r="B958" s="396"/>
      <c r="C958" s="396"/>
      <c r="D958" s="396"/>
      <c r="E958" s="388"/>
      <c r="F958" s="395"/>
      <c r="G958" s="395"/>
      <c r="H958" s="388"/>
      <c r="I958" s="389"/>
      <c r="J958" s="389"/>
      <c r="K958" s="389"/>
      <c r="L958" s="460"/>
      <c r="M958" s="389"/>
      <c r="N958" s="389"/>
      <c r="O958" s="389"/>
      <c r="P958" s="389"/>
      <c r="Q958" s="389"/>
      <c r="R958" s="388"/>
      <c r="S958" s="388"/>
      <c r="T958" s="388"/>
      <c r="U958" s="388"/>
      <c r="V958" s="388"/>
      <c r="W958" s="9"/>
      <c r="X958" s="9"/>
      <c r="Y958" s="9"/>
      <c r="Z958" s="9"/>
    </row>
    <row r="959">
      <c r="A959" s="388"/>
      <c r="B959" s="396"/>
      <c r="C959" s="396"/>
      <c r="D959" s="396"/>
      <c r="E959" s="388"/>
      <c r="F959" s="395"/>
      <c r="G959" s="395"/>
      <c r="H959" s="388"/>
      <c r="I959" s="389"/>
      <c r="J959" s="389"/>
      <c r="K959" s="389"/>
      <c r="L959" s="460"/>
      <c r="M959" s="389"/>
      <c r="N959" s="389"/>
      <c r="O959" s="389"/>
      <c r="P959" s="389"/>
      <c r="Q959" s="389"/>
      <c r="R959" s="388"/>
      <c r="S959" s="388"/>
      <c r="T959" s="388"/>
      <c r="U959" s="388"/>
      <c r="V959" s="388"/>
      <c r="W959" s="9"/>
      <c r="X959" s="9"/>
      <c r="Y959" s="9"/>
      <c r="Z959" s="9"/>
    </row>
    <row r="960">
      <c r="A960" s="388"/>
      <c r="B960" s="396"/>
      <c r="C960" s="396"/>
      <c r="D960" s="396"/>
      <c r="E960" s="388"/>
      <c r="F960" s="395"/>
      <c r="G960" s="395"/>
      <c r="H960" s="388"/>
      <c r="I960" s="389"/>
      <c r="J960" s="389"/>
      <c r="K960" s="389"/>
      <c r="L960" s="460"/>
      <c r="M960" s="389"/>
      <c r="N960" s="389"/>
      <c r="O960" s="389"/>
      <c r="P960" s="389"/>
      <c r="Q960" s="389"/>
      <c r="R960" s="388"/>
      <c r="S960" s="388"/>
      <c r="T960" s="388"/>
      <c r="U960" s="388"/>
      <c r="V960" s="388"/>
      <c r="W960" s="9"/>
      <c r="X960" s="9"/>
      <c r="Y960" s="9"/>
      <c r="Z960" s="9"/>
    </row>
    <row r="961">
      <c r="A961" s="388"/>
      <c r="B961" s="396"/>
      <c r="C961" s="396"/>
      <c r="D961" s="396"/>
      <c r="E961" s="388"/>
      <c r="F961" s="395"/>
      <c r="G961" s="395"/>
      <c r="H961" s="388"/>
      <c r="I961" s="389"/>
      <c r="J961" s="389"/>
      <c r="K961" s="389"/>
      <c r="L961" s="460"/>
      <c r="M961" s="389"/>
      <c r="N961" s="389"/>
      <c r="O961" s="389"/>
      <c r="P961" s="389"/>
      <c r="Q961" s="389"/>
      <c r="R961" s="388"/>
      <c r="S961" s="388"/>
      <c r="T961" s="388"/>
      <c r="U961" s="388"/>
      <c r="V961" s="388"/>
      <c r="W961" s="9"/>
      <c r="X961" s="9"/>
      <c r="Y961" s="9"/>
      <c r="Z961" s="9"/>
    </row>
    <row r="962">
      <c r="A962" s="388"/>
      <c r="B962" s="396"/>
      <c r="C962" s="396"/>
      <c r="D962" s="396"/>
      <c r="E962" s="388"/>
      <c r="F962" s="395"/>
      <c r="G962" s="395"/>
      <c r="H962" s="388"/>
      <c r="I962" s="389"/>
      <c r="J962" s="389"/>
      <c r="K962" s="389"/>
      <c r="L962" s="460"/>
      <c r="M962" s="389"/>
      <c r="N962" s="389"/>
      <c r="O962" s="389"/>
      <c r="P962" s="389"/>
      <c r="Q962" s="389"/>
      <c r="R962" s="388"/>
      <c r="S962" s="388"/>
      <c r="T962" s="388"/>
      <c r="U962" s="388"/>
      <c r="V962" s="388"/>
      <c r="W962" s="9"/>
      <c r="X962" s="9"/>
      <c r="Y962" s="9"/>
      <c r="Z962" s="9"/>
    </row>
    <row r="963">
      <c r="A963" s="388"/>
      <c r="B963" s="396"/>
      <c r="C963" s="396"/>
      <c r="D963" s="396"/>
      <c r="E963" s="388"/>
      <c r="F963" s="395"/>
      <c r="G963" s="395"/>
      <c r="H963" s="388"/>
      <c r="I963" s="389"/>
      <c r="J963" s="389"/>
      <c r="K963" s="389"/>
      <c r="L963" s="460"/>
      <c r="M963" s="389"/>
      <c r="N963" s="389"/>
      <c r="O963" s="389"/>
      <c r="P963" s="389"/>
      <c r="Q963" s="389"/>
      <c r="R963" s="388"/>
      <c r="S963" s="388"/>
      <c r="T963" s="388"/>
      <c r="U963" s="388"/>
      <c r="V963" s="388"/>
      <c r="W963" s="9"/>
      <c r="X963" s="9"/>
      <c r="Y963" s="9"/>
      <c r="Z963" s="9"/>
    </row>
    <row r="964">
      <c r="A964" s="388"/>
      <c r="B964" s="396"/>
      <c r="C964" s="396"/>
      <c r="D964" s="396"/>
      <c r="E964" s="388"/>
      <c r="F964" s="395"/>
      <c r="G964" s="395"/>
      <c r="H964" s="388"/>
      <c r="I964" s="389"/>
      <c r="J964" s="389"/>
      <c r="K964" s="389"/>
      <c r="L964" s="460"/>
      <c r="M964" s="389"/>
      <c r="N964" s="389"/>
      <c r="O964" s="389"/>
      <c r="P964" s="389"/>
      <c r="Q964" s="389"/>
      <c r="R964" s="388"/>
      <c r="S964" s="388"/>
      <c r="T964" s="388"/>
      <c r="U964" s="388"/>
      <c r="V964" s="388"/>
      <c r="W964" s="9"/>
      <c r="X964" s="9"/>
      <c r="Y964" s="9"/>
      <c r="Z964" s="9"/>
    </row>
    <row r="965">
      <c r="A965" s="388"/>
      <c r="B965" s="396"/>
      <c r="C965" s="396"/>
      <c r="D965" s="396"/>
      <c r="E965" s="388"/>
      <c r="F965" s="395"/>
      <c r="G965" s="395"/>
      <c r="H965" s="388"/>
      <c r="I965" s="389"/>
      <c r="J965" s="389"/>
      <c r="K965" s="389"/>
      <c r="L965" s="460"/>
      <c r="M965" s="389"/>
      <c r="N965" s="389"/>
      <c r="O965" s="389"/>
      <c r="P965" s="389"/>
      <c r="Q965" s="389"/>
      <c r="R965" s="388"/>
      <c r="S965" s="388"/>
      <c r="T965" s="388"/>
      <c r="U965" s="388"/>
      <c r="V965" s="388"/>
      <c r="W965" s="9"/>
      <c r="X965" s="9"/>
      <c r="Y965" s="9"/>
      <c r="Z965" s="9"/>
    </row>
    <row r="966">
      <c r="A966" s="388"/>
      <c r="B966" s="396"/>
      <c r="C966" s="396"/>
      <c r="D966" s="396"/>
      <c r="E966" s="388"/>
      <c r="F966" s="395"/>
      <c r="G966" s="395"/>
      <c r="H966" s="388"/>
      <c r="I966" s="389"/>
      <c r="J966" s="389"/>
      <c r="K966" s="389"/>
      <c r="L966" s="460"/>
      <c r="M966" s="389"/>
      <c r="N966" s="389"/>
      <c r="O966" s="389"/>
      <c r="P966" s="389"/>
      <c r="Q966" s="389"/>
      <c r="R966" s="388"/>
      <c r="S966" s="388"/>
      <c r="T966" s="388"/>
      <c r="U966" s="388"/>
      <c r="V966" s="388"/>
      <c r="W966" s="9"/>
      <c r="X966" s="9"/>
      <c r="Y966" s="9"/>
      <c r="Z966" s="9"/>
    </row>
    <row r="967">
      <c r="A967" s="388"/>
      <c r="B967" s="396"/>
      <c r="C967" s="396"/>
      <c r="D967" s="396"/>
      <c r="E967" s="388"/>
      <c r="F967" s="395"/>
      <c r="G967" s="395"/>
      <c r="H967" s="388"/>
      <c r="I967" s="389"/>
      <c r="J967" s="389"/>
      <c r="K967" s="389"/>
      <c r="L967" s="460"/>
      <c r="M967" s="389"/>
      <c r="N967" s="389"/>
      <c r="O967" s="389"/>
      <c r="P967" s="389"/>
      <c r="Q967" s="389"/>
      <c r="R967" s="388"/>
      <c r="S967" s="388"/>
      <c r="T967" s="388"/>
      <c r="U967" s="388"/>
      <c r="V967" s="388"/>
      <c r="W967" s="9"/>
      <c r="X967" s="9"/>
      <c r="Y967" s="9"/>
      <c r="Z967" s="9"/>
    </row>
    <row r="968">
      <c r="A968" s="388"/>
      <c r="B968" s="396"/>
      <c r="C968" s="396"/>
      <c r="D968" s="396"/>
      <c r="E968" s="388"/>
      <c r="F968" s="395"/>
      <c r="G968" s="395"/>
      <c r="H968" s="388"/>
      <c r="I968" s="389"/>
      <c r="J968" s="389"/>
      <c r="K968" s="389"/>
      <c r="L968" s="460"/>
      <c r="M968" s="389"/>
      <c r="N968" s="389"/>
      <c r="O968" s="389"/>
      <c r="P968" s="389"/>
      <c r="Q968" s="389"/>
      <c r="R968" s="388"/>
      <c r="S968" s="388"/>
      <c r="T968" s="388"/>
      <c r="U968" s="388"/>
      <c r="V968" s="388"/>
      <c r="W968" s="9"/>
      <c r="X968" s="9"/>
      <c r="Y968" s="9"/>
      <c r="Z968" s="9"/>
    </row>
    <row r="969">
      <c r="A969" s="388"/>
      <c r="B969" s="396"/>
      <c r="C969" s="396"/>
      <c r="D969" s="396"/>
      <c r="E969" s="388"/>
      <c r="F969" s="395"/>
      <c r="G969" s="395"/>
      <c r="H969" s="388"/>
      <c r="I969" s="389"/>
      <c r="J969" s="389"/>
      <c r="K969" s="389"/>
      <c r="L969" s="460"/>
      <c r="M969" s="389"/>
      <c r="N969" s="389"/>
      <c r="O969" s="389"/>
      <c r="P969" s="389"/>
      <c r="Q969" s="389"/>
      <c r="R969" s="388"/>
      <c r="S969" s="388"/>
      <c r="T969" s="388"/>
      <c r="U969" s="388"/>
      <c r="V969" s="388"/>
      <c r="W969" s="9"/>
      <c r="X969" s="9"/>
      <c r="Y969" s="9"/>
      <c r="Z969" s="9"/>
    </row>
    <row r="970">
      <c r="A970" s="388"/>
      <c r="B970" s="396"/>
      <c r="C970" s="396"/>
      <c r="D970" s="396"/>
      <c r="E970" s="388"/>
      <c r="F970" s="395"/>
      <c r="G970" s="395"/>
      <c r="H970" s="388"/>
      <c r="I970" s="389"/>
      <c r="J970" s="389"/>
      <c r="K970" s="389"/>
      <c r="L970" s="460"/>
      <c r="M970" s="389"/>
      <c r="N970" s="389"/>
      <c r="O970" s="389"/>
      <c r="P970" s="389"/>
      <c r="Q970" s="389"/>
      <c r="R970" s="388"/>
      <c r="S970" s="388"/>
      <c r="T970" s="388"/>
      <c r="U970" s="388"/>
      <c r="V970" s="388"/>
      <c r="W970" s="9"/>
      <c r="X970" s="9"/>
      <c r="Y970" s="9"/>
      <c r="Z970" s="9"/>
    </row>
    <row r="971">
      <c r="A971" s="388"/>
      <c r="B971" s="396"/>
      <c r="C971" s="396"/>
      <c r="D971" s="396"/>
      <c r="E971" s="388"/>
      <c r="F971" s="395"/>
      <c r="G971" s="395"/>
      <c r="H971" s="388"/>
      <c r="I971" s="389"/>
      <c r="J971" s="389"/>
      <c r="K971" s="389"/>
      <c r="L971" s="460"/>
      <c r="M971" s="389"/>
      <c r="N971" s="389"/>
      <c r="O971" s="389"/>
      <c r="P971" s="389"/>
      <c r="Q971" s="389"/>
      <c r="R971" s="388"/>
      <c r="S971" s="388"/>
      <c r="T971" s="388"/>
      <c r="U971" s="388"/>
      <c r="V971" s="388"/>
      <c r="W971" s="9"/>
      <c r="X971" s="9"/>
      <c r="Y971" s="9"/>
      <c r="Z971" s="9"/>
    </row>
    <row r="972">
      <c r="A972" s="388"/>
      <c r="B972" s="396"/>
      <c r="C972" s="396"/>
      <c r="D972" s="396"/>
      <c r="E972" s="388"/>
      <c r="F972" s="395"/>
      <c r="G972" s="395"/>
      <c r="H972" s="388"/>
      <c r="I972" s="389"/>
      <c r="J972" s="389"/>
      <c r="K972" s="389"/>
      <c r="L972" s="460"/>
      <c r="M972" s="389"/>
      <c r="N972" s="389"/>
      <c r="O972" s="389"/>
      <c r="P972" s="389"/>
      <c r="Q972" s="389"/>
      <c r="R972" s="388"/>
      <c r="S972" s="388"/>
      <c r="T972" s="388"/>
      <c r="U972" s="388"/>
      <c r="V972" s="388"/>
      <c r="W972" s="9"/>
      <c r="X972" s="9"/>
      <c r="Y972" s="9"/>
      <c r="Z972" s="9"/>
    </row>
    <row r="973">
      <c r="A973" s="388"/>
      <c r="B973" s="396"/>
      <c r="C973" s="396"/>
      <c r="D973" s="396"/>
      <c r="E973" s="388"/>
      <c r="F973" s="395"/>
      <c r="G973" s="395"/>
      <c r="H973" s="388"/>
      <c r="I973" s="389"/>
      <c r="J973" s="389"/>
      <c r="K973" s="389"/>
      <c r="L973" s="460"/>
      <c r="M973" s="389"/>
      <c r="N973" s="389"/>
      <c r="O973" s="389"/>
      <c r="P973" s="389"/>
      <c r="Q973" s="389"/>
      <c r="R973" s="388"/>
      <c r="S973" s="388"/>
      <c r="T973" s="388"/>
      <c r="U973" s="388"/>
      <c r="V973" s="388"/>
      <c r="W973" s="9"/>
      <c r="X973" s="9"/>
      <c r="Y973" s="9"/>
      <c r="Z973" s="9"/>
    </row>
    <row r="974">
      <c r="A974" s="388"/>
      <c r="B974" s="396"/>
      <c r="C974" s="396"/>
      <c r="D974" s="396"/>
      <c r="E974" s="388"/>
      <c r="F974" s="395"/>
      <c r="G974" s="395"/>
      <c r="H974" s="388"/>
      <c r="I974" s="389"/>
      <c r="J974" s="389"/>
      <c r="K974" s="389"/>
      <c r="L974" s="460"/>
      <c r="M974" s="389"/>
      <c r="N974" s="389"/>
      <c r="O974" s="389"/>
      <c r="P974" s="389"/>
      <c r="Q974" s="389"/>
      <c r="R974" s="388"/>
      <c r="S974" s="388"/>
      <c r="T974" s="388"/>
      <c r="U974" s="388"/>
      <c r="V974" s="388"/>
      <c r="W974" s="9"/>
      <c r="X974" s="9"/>
      <c r="Y974" s="9"/>
      <c r="Z974" s="9"/>
    </row>
    <row r="975">
      <c r="A975" s="388"/>
      <c r="B975" s="396"/>
      <c r="C975" s="396"/>
      <c r="D975" s="396"/>
      <c r="E975" s="388"/>
      <c r="F975" s="395"/>
      <c r="G975" s="395"/>
      <c r="H975" s="388"/>
      <c r="I975" s="389"/>
      <c r="J975" s="389"/>
      <c r="K975" s="389"/>
      <c r="L975" s="460"/>
      <c r="M975" s="389"/>
      <c r="N975" s="389"/>
      <c r="O975" s="389"/>
      <c r="P975" s="389"/>
      <c r="Q975" s="389"/>
      <c r="R975" s="388"/>
      <c r="S975" s="388"/>
      <c r="T975" s="388"/>
      <c r="U975" s="388"/>
      <c r="V975" s="388"/>
      <c r="W975" s="9"/>
      <c r="X975" s="9"/>
      <c r="Y975" s="9"/>
      <c r="Z975" s="9"/>
    </row>
    <row r="976">
      <c r="A976" s="388"/>
      <c r="B976" s="396"/>
      <c r="C976" s="396"/>
      <c r="D976" s="396"/>
      <c r="E976" s="388"/>
      <c r="F976" s="395"/>
      <c r="G976" s="395"/>
      <c r="H976" s="388"/>
      <c r="I976" s="389"/>
      <c r="J976" s="389"/>
      <c r="K976" s="389"/>
      <c r="L976" s="460"/>
      <c r="M976" s="389"/>
      <c r="N976" s="389"/>
      <c r="O976" s="389"/>
      <c r="P976" s="389"/>
      <c r="Q976" s="389"/>
      <c r="R976" s="388"/>
      <c r="S976" s="388"/>
      <c r="T976" s="388"/>
      <c r="U976" s="388"/>
      <c r="V976" s="388"/>
      <c r="W976" s="9"/>
      <c r="X976" s="9"/>
      <c r="Y976" s="9"/>
      <c r="Z976" s="9"/>
    </row>
    <row r="977">
      <c r="A977" s="388"/>
      <c r="B977" s="396"/>
      <c r="C977" s="396"/>
      <c r="D977" s="396"/>
      <c r="E977" s="388"/>
      <c r="F977" s="395"/>
      <c r="G977" s="395"/>
      <c r="H977" s="388"/>
      <c r="I977" s="389"/>
      <c r="J977" s="389"/>
      <c r="K977" s="389"/>
      <c r="L977" s="460"/>
      <c r="M977" s="389"/>
      <c r="N977" s="389"/>
      <c r="O977" s="389"/>
      <c r="P977" s="389"/>
      <c r="Q977" s="389"/>
      <c r="R977" s="388"/>
      <c r="S977" s="388"/>
      <c r="T977" s="388"/>
      <c r="U977" s="388"/>
      <c r="V977" s="388"/>
      <c r="W977" s="9"/>
      <c r="X977" s="9"/>
      <c r="Y977" s="9"/>
      <c r="Z977" s="9"/>
    </row>
    <row r="978">
      <c r="A978" s="388"/>
      <c r="B978" s="396"/>
      <c r="C978" s="396"/>
      <c r="D978" s="396"/>
      <c r="E978" s="388"/>
      <c r="F978" s="395"/>
      <c r="G978" s="395"/>
      <c r="H978" s="388"/>
      <c r="I978" s="389"/>
      <c r="J978" s="389"/>
      <c r="K978" s="389"/>
      <c r="L978" s="460"/>
      <c r="M978" s="389"/>
      <c r="N978" s="389"/>
      <c r="O978" s="389"/>
      <c r="P978" s="389"/>
      <c r="Q978" s="389"/>
      <c r="R978" s="388"/>
      <c r="S978" s="388"/>
      <c r="T978" s="388"/>
      <c r="U978" s="388"/>
      <c r="V978" s="388"/>
      <c r="W978" s="9"/>
      <c r="X978" s="9"/>
      <c r="Y978" s="9"/>
      <c r="Z978" s="9"/>
    </row>
    <row r="979">
      <c r="A979" s="388"/>
      <c r="B979" s="396"/>
      <c r="C979" s="396"/>
      <c r="D979" s="396"/>
      <c r="E979" s="388"/>
      <c r="F979" s="395"/>
      <c r="G979" s="395"/>
      <c r="H979" s="388"/>
      <c r="I979" s="389"/>
      <c r="J979" s="389"/>
      <c r="K979" s="389"/>
      <c r="L979" s="460"/>
      <c r="M979" s="389"/>
      <c r="N979" s="389"/>
      <c r="O979" s="389"/>
      <c r="P979" s="389"/>
      <c r="Q979" s="389"/>
      <c r="R979" s="388"/>
      <c r="S979" s="388"/>
      <c r="T979" s="388"/>
      <c r="U979" s="388"/>
      <c r="V979" s="388"/>
      <c r="W979" s="9"/>
      <c r="X979" s="9"/>
      <c r="Y979" s="9"/>
      <c r="Z979" s="9"/>
    </row>
    <row r="980">
      <c r="A980" s="388"/>
      <c r="B980" s="396"/>
      <c r="C980" s="396"/>
      <c r="D980" s="396"/>
      <c r="E980" s="388"/>
      <c r="F980" s="395"/>
      <c r="G980" s="395"/>
      <c r="H980" s="388"/>
      <c r="I980" s="389"/>
      <c r="J980" s="389"/>
      <c r="K980" s="389"/>
      <c r="L980" s="460"/>
      <c r="M980" s="389"/>
      <c r="N980" s="389"/>
      <c r="O980" s="389"/>
      <c r="P980" s="389"/>
      <c r="Q980" s="389"/>
      <c r="R980" s="388"/>
      <c r="S980" s="388"/>
      <c r="T980" s="388"/>
      <c r="U980" s="388"/>
      <c r="V980" s="388"/>
      <c r="W980" s="9"/>
      <c r="X980" s="9"/>
      <c r="Y980" s="9"/>
      <c r="Z980" s="9"/>
    </row>
    <row r="981">
      <c r="A981" s="388"/>
      <c r="B981" s="396"/>
      <c r="C981" s="396"/>
      <c r="D981" s="396"/>
      <c r="E981" s="388"/>
      <c r="F981" s="395"/>
      <c r="G981" s="395"/>
      <c r="H981" s="388"/>
      <c r="I981" s="389"/>
      <c r="J981" s="389"/>
      <c r="K981" s="389"/>
      <c r="L981" s="460"/>
      <c r="M981" s="389"/>
      <c r="N981" s="389"/>
      <c r="O981" s="389"/>
      <c r="P981" s="389"/>
      <c r="Q981" s="389"/>
      <c r="R981" s="388"/>
      <c r="S981" s="388"/>
      <c r="T981" s="388"/>
      <c r="U981" s="388"/>
      <c r="V981" s="388"/>
      <c r="W981" s="9"/>
      <c r="X981" s="9"/>
      <c r="Y981" s="9"/>
      <c r="Z981" s="9"/>
    </row>
    <row r="982">
      <c r="A982" s="388"/>
      <c r="B982" s="396"/>
      <c r="C982" s="396"/>
      <c r="D982" s="396"/>
      <c r="E982" s="388"/>
      <c r="F982" s="395"/>
      <c r="G982" s="395"/>
      <c r="H982" s="388"/>
      <c r="I982" s="389"/>
      <c r="J982" s="389"/>
      <c r="K982" s="389"/>
      <c r="L982" s="460"/>
      <c r="M982" s="389"/>
      <c r="N982" s="389"/>
      <c r="O982" s="389"/>
      <c r="P982" s="389"/>
      <c r="Q982" s="389"/>
      <c r="R982" s="388"/>
      <c r="S982" s="388"/>
      <c r="T982" s="388"/>
      <c r="U982" s="388"/>
      <c r="V982" s="388"/>
      <c r="W982" s="9"/>
      <c r="X982" s="9"/>
      <c r="Y982" s="9"/>
      <c r="Z982" s="9"/>
    </row>
    <row r="983">
      <c r="A983" s="388"/>
      <c r="B983" s="396"/>
      <c r="C983" s="396"/>
      <c r="D983" s="396"/>
      <c r="E983" s="388"/>
      <c r="F983" s="395"/>
      <c r="G983" s="395"/>
      <c r="H983" s="388"/>
      <c r="I983" s="389"/>
      <c r="J983" s="389"/>
      <c r="K983" s="389"/>
      <c r="L983" s="460"/>
      <c r="M983" s="389"/>
      <c r="N983" s="389"/>
      <c r="O983" s="389"/>
      <c r="P983" s="389"/>
      <c r="Q983" s="389"/>
      <c r="R983" s="388"/>
      <c r="S983" s="388"/>
      <c r="T983" s="388"/>
      <c r="U983" s="388"/>
      <c r="V983" s="388"/>
      <c r="W983" s="9"/>
      <c r="X983" s="9"/>
      <c r="Y983" s="9"/>
      <c r="Z983" s="9"/>
    </row>
    <row r="984">
      <c r="A984" s="388"/>
      <c r="B984" s="396"/>
      <c r="C984" s="396"/>
      <c r="D984" s="396"/>
      <c r="E984" s="388"/>
      <c r="F984" s="395"/>
      <c r="G984" s="395"/>
      <c r="H984" s="388"/>
      <c r="I984" s="389"/>
      <c r="J984" s="389"/>
      <c r="K984" s="389"/>
      <c r="L984" s="460"/>
      <c r="M984" s="389"/>
      <c r="N984" s="389"/>
      <c r="O984" s="389"/>
      <c r="P984" s="389"/>
      <c r="Q984" s="389"/>
      <c r="R984" s="388"/>
      <c r="S984" s="388"/>
      <c r="T984" s="388"/>
      <c r="U984" s="388"/>
      <c r="V984" s="388"/>
      <c r="W984" s="9"/>
      <c r="X984" s="9"/>
      <c r="Y984" s="9"/>
      <c r="Z984" s="9"/>
    </row>
    <row r="985">
      <c r="A985" s="388"/>
      <c r="B985" s="396"/>
      <c r="C985" s="396"/>
      <c r="D985" s="396"/>
      <c r="E985" s="388"/>
      <c r="F985" s="395"/>
      <c r="G985" s="395"/>
      <c r="H985" s="388"/>
      <c r="I985" s="389"/>
      <c r="J985" s="389"/>
      <c r="K985" s="389"/>
      <c r="L985" s="460"/>
      <c r="M985" s="389"/>
      <c r="N985" s="389"/>
      <c r="O985" s="389"/>
      <c r="P985" s="389"/>
      <c r="Q985" s="389"/>
      <c r="R985" s="388"/>
      <c r="S985" s="388"/>
      <c r="T985" s="388"/>
      <c r="U985" s="388"/>
      <c r="V985" s="388"/>
      <c r="W985" s="9"/>
      <c r="X985" s="9"/>
      <c r="Y985" s="9"/>
      <c r="Z985" s="9"/>
    </row>
    <row r="986">
      <c r="A986" s="388"/>
      <c r="B986" s="396"/>
      <c r="C986" s="396"/>
      <c r="D986" s="396"/>
      <c r="E986" s="388"/>
      <c r="F986" s="395"/>
      <c r="G986" s="395"/>
      <c r="H986" s="388"/>
      <c r="I986" s="389"/>
      <c r="J986" s="389"/>
      <c r="K986" s="389"/>
      <c r="L986" s="460"/>
      <c r="M986" s="389"/>
      <c r="N986" s="389"/>
      <c r="O986" s="389"/>
      <c r="P986" s="389"/>
      <c r="Q986" s="389"/>
      <c r="R986" s="388"/>
      <c r="S986" s="388"/>
      <c r="T986" s="388"/>
      <c r="U986" s="388"/>
      <c r="V986" s="388"/>
      <c r="W986" s="9"/>
      <c r="X986" s="9"/>
      <c r="Y986" s="9"/>
      <c r="Z986" s="9"/>
    </row>
    <row r="987">
      <c r="A987" s="388"/>
      <c r="B987" s="396"/>
      <c r="C987" s="396"/>
      <c r="D987" s="396"/>
      <c r="E987" s="388"/>
      <c r="F987" s="395"/>
      <c r="G987" s="395"/>
      <c r="H987" s="388"/>
      <c r="I987" s="389"/>
      <c r="J987" s="389"/>
      <c r="K987" s="389"/>
      <c r="L987" s="460"/>
      <c r="M987" s="389"/>
      <c r="N987" s="389"/>
      <c r="O987" s="389"/>
      <c r="P987" s="389"/>
      <c r="Q987" s="389"/>
      <c r="R987" s="388"/>
      <c r="S987" s="388"/>
      <c r="T987" s="388"/>
      <c r="U987" s="388"/>
      <c r="V987" s="388"/>
      <c r="W987" s="9"/>
      <c r="X987" s="9"/>
      <c r="Y987" s="9"/>
      <c r="Z987" s="9"/>
    </row>
    <row r="988">
      <c r="A988" s="388"/>
      <c r="B988" s="396"/>
      <c r="C988" s="396"/>
      <c r="D988" s="396"/>
      <c r="E988" s="388"/>
      <c r="F988" s="395"/>
      <c r="G988" s="395"/>
      <c r="H988" s="388"/>
      <c r="I988" s="389"/>
      <c r="J988" s="389"/>
      <c r="K988" s="389"/>
      <c r="L988" s="460"/>
      <c r="M988" s="389"/>
      <c r="N988" s="389"/>
      <c r="O988" s="389"/>
      <c r="P988" s="389"/>
      <c r="Q988" s="389"/>
      <c r="R988" s="388"/>
      <c r="S988" s="388"/>
      <c r="T988" s="388"/>
      <c r="U988" s="388"/>
      <c r="V988" s="388"/>
      <c r="W988" s="9"/>
      <c r="X988" s="9"/>
      <c r="Y988" s="9"/>
      <c r="Z988" s="9"/>
    </row>
    <row r="989">
      <c r="A989" s="388"/>
      <c r="B989" s="396"/>
      <c r="C989" s="396"/>
      <c r="D989" s="396"/>
      <c r="E989" s="388"/>
      <c r="F989" s="395"/>
      <c r="G989" s="395"/>
      <c r="H989" s="388"/>
      <c r="I989" s="389"/>
      <c r="J989" s="389"/>
      <c r="K989" s="389"/>
      <c r="L989" s="460"/>
      <c r="M989" s="389"/>
      <c r="N989" s="389"/>
      <c r="O989" s="389"/>
      <c r="P989" s="389"/>
      <c r="Q989" s="389"/>
      <c r="R989" s="388"/>
      <c r="S989" s="388"/>
      <c r="T989" s="388"/>
      <c r="U989" s="388"/>
      <c r="V989" s="388"/>
      <c r="W989" s="9"/>
      <c r="X989" s="9"/>
      <c r="Y989" s="9"/>
      <c r="Z989" s="9"/>
    </row>
    <row r="990">
      <c r="A990" s="388"/>
      <c r="B990" s="396"/>
      <c r="C990" s="396"/>
      <c r="D990" s="396"/>
      <c r="E990" s="388"/>
      <c r="F990" s="395"/>
      <c r="G990" s="395"/>
      <c r="H990" s="388"/>
      <c r="I990" s="389"/>
      <c r="J990" s="389"/>
      <c r="K990" s="389"/>
      <c r="L990" s="460"/>
      <c r="M990" s="389"/>
      <c r="N990" s="389"/>
      <c r="O990" s="389"/>
      <c r="P990" s="389"/>
      <c r="Q990" s="389"/>
      <c r="R990" s="388"/>
      <c r="S990" s="388"/>
      <c r="T990" s="388"/>
      <c r="U990" s="388"/>
      <c r="V990" s="388"/>
      <c r="W990" s="9"/>
      <c r="X990" s="9"/>
      <c r="Y990" s="9"/>
      <c r="Z990" s="9"/>
    </row>
    <row r="991">
      <c r="A991" s="388"/>
      <c r="B991" s="396"/>
      <c r="C991" s="396"/>
      <c r="D991" s="396"/>
      <c r="E991" s="388"/>
      <c r="F991" s="395"/>
      <c r="G991" s="395"/>
      <c r="H991" s="388"/>
      <c r="I991" s="389"/>
      <c r="J991" s="389"/>
      <c r="K991" s="389"/>
      <c r="L991" s="460"/>
      <c r="M991" s="389"/>
      <c r="N991" s="389"/>
      <c r="O991" s="389"/>
      <c r="P991" s="389"/>
      <c r="Q991" s="389"/>
      <c r="R991" s="388"/>
      <c r="S991" s="388"/>
      <c r="T991" s="388"/>
      <c r="U991" s="388"/>
      <c r="V991" s="388"/>
      <c r="W991" s="9"/>
      <c r="X991" s="9"/>
      <c r="Y991" s="9"/>
      <c r="Z991" s="9"/>
    </row>
    <row r="992">
      <c r="A992" s="388"/>
      <c r="B992" s="396"/>
      <c r="C992" s="396"/>
      <c r="D992" s="396"/>
      <c r="E992" s="388"/>
      <c r="F992" s="395"/>
      <c r="G992" s="395"/>
      <c r="H992" s="388"/>
      <c r="I992" s="389"/>
      <c r="J992" s="389"/>
      <c r="K992" s="389"/>
      <c r="L992" s="460"/>
      <c r="M992" s="389"/>
      <c r="N992" s="389"/>
      <c r="O992" s="389"/>
      <c r="P992" s="389"/>
      <c r="Q992" s="389"/>
      <c r="R992" s="388"/>
      <c r="S992" s="388"/>
      <c r="T992" s="388"/>
      <c r="U992" s="388"/>
      <c r="V992" s="388"/>
      <c r="W992" s="9"/>
      <c r="X992" s="9"/>
      <c r="Y992" s="9"/>
      <c r="Z992" s="9"/>
    </row>
    <row r="993">
      <c r="A993" s="388"/>
      <c r="B993" s="396"/>
      <c r="C993" s="396"/>
      <c r="D993" s="396"/>
      <c r="E993" s="388"/>
      <c r="F993" s="395"/>
      <c r="G993" s="395"/>
      <c r="H993" s="388"/>
      <c r="I993" s="389"/>
      <c r="J993" s="389"/>
      <c r="K993" s="389"/>
      <c r="L993" s="460"/>
      <c r="M993" s="389"/>
      <c r="N993" s="389"/>
      <c r="O993" s="389"/>
      <c r="P993" s="389"/>
      <c r="Q993" s="389"/>
      <c r="R993" s="388"/>
      <c r="S993" s="388"/>
      <c r="T993" s="388"/>
      <c r="U993" s="388"/>
      <c r="V993" s="388"/>
      <c r="W993" s="9"/>
      <c r="X993" s="9"/>
      <c r="Y993" s="9"/>
      <c r="Z993" s="9"/>
    </row>
    <row r="994">
      <c r="A994" s="388"/>
      <c r="B994" s="396"/>
      <c r="C994" s="396"/>
      <c r="D994" s="396"/>
      <c r="E994" s="388"/>
      <c r="F994" s="395"/>
      <c r="G994" s="395"/>
      <c r="H994" s="388"/>
      <c r="I994" s="389"/>
      <c r="J994" s="389"/>
      <c r="K994" s="389"/>
      <c r="L994" s="460"/>
      <c r="M994" s="389"/>
      <c r="N994" s="389"/>
      <c r="O994" s="389"/>
      <c r="P994" s="389"/>
      <c r="Q994" s="389"/>
      <c r="R994" s="388"/>
      <c r="S994" s="388"/>
      <c r="T994" s="388"/>
      <c r="U994" s="388"/>
      <c r="V994" s="388"/>
      <c r="W994" s="9"/>
      <c r="X994" s="9"/>
      <c r="Y994" s="9"/>
      <c r="Z994" s="9"/>
    </row>
    <row r="995">
      <c r="A995" s="388"/>
      <c r="B995" s="396"/>
      <c r="C995" s="396"/>
      <c r="D995" s="396"/>
      <c r="E995" s="388"/>
      <c r="F995" s="395"/>
      <c r="G995" s="395"/>
      <c r="H995" s="388"/>
      <c r="I995" s="389"/>
      <c r="J995" s="389"/>
      <c r="K995" s="389"/>
      <c r="L995" s="460"/>
      <c r="M995" s="389"/>
      <c r="N995" s="389"/>
      <c r="O995" s="389"/>
      <c r="P995" s="389"/>
      <c r="Q995" s="389"/>
      <c r="R995" s="388"/>
      <c r="S995" s="388"/>
      <c r="T995" s="388"/>
      <c r="U995" s="388"/>
      <c r="V995" s="388"/>
      <c r="W995" s="9"/>
      <c r="X995" s="9"/>
      <c r="Y995" s="9"/>
      <c r="Z995" s="9"/>
    </row>
    <row r="996">
      <c r="A996" s="388"/>
      <c r="B996" s="396"/>
      <c r="C996" s="396"/>
      <c r="D996" s="396"/>
      <c r="E996" s="388"/>
      <c r="F996" s="395"/>
      <c r="G996" s="395"/>
      <c r="H996" s="388"/>
      <c r="I996" s="389"/>
      <c r="J996" s="389"/>
      <c r="K996" s="389"/>
      <c r="L996" s="460"/>
      <c r="M996" s="389"/>
      <c r="N996" s="389"/>
      <c r="O996" s="389"/>
      <c r="P996" s="389"/>
      <c r="Q996" s="389"/>
      <c r="R996" s="388"/>
      <c r="S996" s="388"/>
      <c r="T996" s="388"/>
      <c r="U996" s="388"/>
      <c r="V996" s="388"/>
      <c r="W996" s="9"/>
      <c r="X996" s="9"/>
      <c r="Y996" s="9"/>
      <c r="Z996" s="9"/>
    </row>
    <row r="997">
      <c r="A997" s="388"/>
      <c r="B997" s="396"/>
      <c r="C997" s="396"/>
      <c r="D997" s="396"/>
      <c r="E997" s="388"/>
      <c r="F997" s="395"/>
      <c r="G997" s="395"/>
      <c r="H997" s="388"/>
      <c r="I997" s="389"/>
      <c r="J997" s="389"/>
      <c r="K997" s="389"/>
      <c r="L997" s="460"/>
      <c r="M997" s="389"/>
      <c r="N997" s="389"/>
      <c r="O997" s="389"/>
      <c r="P997" s="389"/>
      <c r="Q997" s="389"/>
      <c r="R997" s="388"/>
      <c r="S997" s="388"/>
      <c r="T997" s="388"/>
      <c r="U997" s="388"/>
      <c r="V997" s="388"/>
      <c r="W997" s="9"/>
      <c r="X997" s="9"/>
      <c r="Y997" s="9"/>
      <c r="Z997" s="9"/>
    </row>
    <row r="998">
      <c r="A998" s="388"/>
      <c r="B998" s="396"/>
      <c r="C998" s="396"/>
      <c r="D998" s="396"/>
      <c r="E998" s="388"/>
      <c r="F998" s="395"/>
      <c r="G998" s="395"/>
      <c r="H998" s="388"/>
      <c r="I998" s="389"/>
      <c r="J998" s="389"/>
      <c r="K998" s="389"/>
      <c r="L998" s="460"/>
      <c r="M998" s="389"/>
      <c r="N998" s="389"/>
      <c r="O998" s="389"/>
      <c r="P998" s="389"/>
      <c r="Q998" s="389"/>
      <c r="R998" s="388"/>
      <c r="S998" s="388"/>
      <c r="T998" s="388"/>
      <c r="U998" s="388"/>
      <c r="V998" s="388"/>
      <c r="W998" s="9"/>
      <c r="X998" s="9"/>
      <c r="Y998" s="9"/>
      <c r="Z998" s="9"/>
    </row>
    <row r="999">
      <c r="A999" s="388"/>
      <c r="B999" s="396"/>
      <c r="C999" s="396"/>
      <c r="D999" s="396"/>
      <c r="E999" s="388"/>
      <c r="F999" s="395"/>
      <c r="G999" s="395"/>
      <c r="H999" s="388"/>
      <c r="I999" s="389"/>
      <c r="J999" s="389"/>
      <c r="K999" s="389"/>
      <c r="L999" s="460"/>
      <c r="M999" s="389"/>
      <c r="N999" s="389"/>
      <c r="O999" s="389"/>
      <c r="P999" s="389"/>
      <c r="Q999" s="389"/>
      <c r="R999" s="388"/>
      <c r="S999" s="388"/>
      <c r="T999" s="388"/>
      <c r="U999" s="388"/>
      <c r="V999" s="388"/>
      <c r="W999" s="9"/>
      <c r="X999" s="9"/>
      <c r="Y999" s="9"/>
      <c r="Z999" s="9"/>
    </row>
    <row r="1000">
      <c r="A1000" s="388"/>
      <c r="B1000" s="396"/>
      <c r="C1000" s="396"/>
      <c r="D1000" s="396"/>
      <c r="E1000" s="388"/>
      <c r="F1000" s="395"/>
      <c r="G1000" s="395"/>
      <c r="H1000" s="388"/>
      <c r="I1000" s="389"/>
      <c r="J1000" s="389"/>
      <c r="K1000" s="389"/>
      <c r="L1000" s="460"/>
      <c r="M1000" s="389"/>
      <c r="N1000" s="389"/>
      <c r="O1000" s="389"/>
      <c r="P1000" s="389"/>
      <c r="Q1000" s="389"/>
      <c r="R1000" s="388"/>
      <c r="S1000" s="388"/>
      <c r="T1000" s="388"/>
      <c r="U1000" s="388"/>
      <c r="V1000" s="388"/>
      <c r="W1000" s="9"/>
      <c r="X1000" s="9"/>
      <c r="Y1000" s="9"/>
      <c r="Z1000" s="9"/>
    </row>
    <row r="1001">
      <c r="A1001" s="388"/>
      <c r="B1001" s="396"/>
      <c r="C1001" s="396"/>
      <c r="D1001" s="396"/>
      <c r="E1001" s="388"/>
      <c r="F1001" s="395"/>
      <c r="G1001" s="395"/>
      <c r="H1001" s="388"/>
      <c r="I1001" s="389"/>
      <c r="J1001" s="389"/>
      <c r="K1001" s="389"/>
      <c r="L1001" s="460"/>
      <c r="M1001" s="389"/>
      <c r="N1001" s="389"/>
      <c r="O1001" s="389"/>
      <c r="P1001" s="389"/>
      <c r="Q1001" s="389"/>
      <c r="R1001" s="388"/>
      <c r="S1001" s="388"/>
      <c r="T1001" s="388"/>
      <c r="U1001" s="388"/>
      <c r="V1001" s="388"/>
      <c r="W1001" s="9"/>
      <c r="X1001" s="9"/>
      <c r="Y1001" s="9"/>
      <c r="Z1001" s="9"/>
    </row>
    <row r="1002">
      <c r="A1002" s="388"/>
      <c r="B1002" s="396"/>
      <c r="C1002" s="396"/>
      <c r="D1002" s="396"/>
      <c r="E1002" s="388"/>
      <c r="F1002" s="395"/>
      <c r="G1002" s="395"/>
      <c r="H1002" s="388"/>
      <c r="I1002" s="389"/>
      <c r="J1002" s="389"/>
      <c r="K1002" s="389"/>
      <c r="L1002" s="460"/>
      <c r="M1002" s="389"/>
      <c r="N1002" s="389"/>
      <c r="O1002" s="389"/>
      <c r="P1002" s="389"/>
      <c r="Q1002" s="389"/>
      <c r="R1002" s="388"/>
      <c r="S1002" s="388"/>
      <c r="T1002" s="388"/>
      <c r="U1002" s="388"/>
      <c r="V1002" s="388"/>
      <c r="W1002" s="9"/>
      <c r="X1002" s="9"/>
      <c r="Y1002" s="9"/>
      <c r="Z1002" s="9"/>
    </row>
    <row r="1003">
      <c r="A1003" s="388"/>
      <c r="B1003" s="396"/>
      <c r="C1003" s="396"/>
      <c r="D1003" s="396"/>
      <c r="E1003" s="388"/>
      <c r="F1003" s="395"/>
      <c r="G1003" s="395"/>
      <c r="H1003" s="388"/>
      <c r="I1003" s="389"/>
      <c r="J1003" s="389"/>
      <c r="K1003" s="389"/>
      <c r="L1003" s="460"/>
      <c r="M1003" s="389"/>
      <c r="N1003" s="389"/>
      <c r="O1003" s="389"/>
      <c r="P1003" s="389"/>
      <c r="Q1003" s="389"/>
      <c r="R1003" s="388"/>
      <c r="S1003" s="388"/>
      <c r="T1003" s="388"/>
      <c r="U1003" s="388"/>
      <c r="V1003" s="388"/>
      <c r="W1003" s="9"/>
      <c r="X1003" s="9"/>
      <c r="Y1003" s="9"/>
      <c r="Z1003" s="9"/>
    </row>
    <row r="1004">
      <c r="A1004" s="388"/>
      <c r="B1004" s="396"/>
      <c r="C1004" s="396"/>
      <c r="D1004" s="396"/>
      <c r="E1004" s="388"/>
      <c r="F1004" s="395"/>
      <c r="G1004" s="395"/>
      <c r="H1004" s="388"/>
      <c r="I1004" s="389"/>
      <c r="J1004" s="389"/>
      <c r="K1004" s="389"/>
      <c r="L1004" s="460"/>
      <c r="M1004" s="389"/>
      <c r="N1004" s="389"/>
      <c r="O1004" s="389"/>
      <c r="P1004" s="389"/>
      <c r="Q1004" s="389"/>
      <c r="R1004" s="388"/>
      <c r="S1004" s="388"/>
      <c r="T1004" s="388"/>
      <c r="U1004" s="388"/>
      <c r="V1004" s="388"/>
      <c r="W1004" s="9"/>
      <c r="X1004" s="9"/>
      <c r="Y1004" s="9"/>
      <c r="Z1004" s="9"/>
    </row>
    <row r="1005">
      <c r="A1005" s="388"/>
      <c r="B1005" s="396"/>
      <c r="C1005" s="396"/>
      <c r="D1005" s="396"/>
      <c r="E1005" s="388"/>
      <c r="F1005" s="395"/>
      <c r="G1005" s="395"/>
      <c r="H1005" s="388"/>
      <c r="I1005" s="389"/>
      <c r="J1005" s="389"/>
      <c r="K1005" s="389"/>
      <c r="L1005" s="460"/>
      <c r="M1005" s="389"/>
      <c r="N1005" s="389"/>
      <c r="O1005" s="389"/>
      <c r="P1005" s="389"/>
      <c r="Q1005" s="389"/>
      <c r="R1005" s="388"/>
      <c r="S1005" s="388"/>
      <c r="T1005" s="388"/>
      <c r="U1005" s="388"/>
      <c r="V1005" s="388"/>
      <c r="W1005" s="9"/>
      <c r="X1005" s="9"/>
      <c r="Y1005" s="9"/>
      <c r="Z1005" s="9"/>
    </row>
    <row r="1006">
      <c r="A1006" s="388"/>
      <c r="B1006" s="396"/>
      <c r="C1006" s="396"/>
      <c r="D1006" s="396"/>
      <c r="E1006" s="388"/>
      <c r="F1006" s="395"/>
      <c r="G1006" s="395"/>
      <c r="H1006" s="388"/>
      <c r="I1006" s="389"/>
      <c r="J1006" s="389"/>
      <c r="K1006" s="389"/>
      <c r="L1006" s="460"/>
      <c r="M1006" s="389"/>
      <c r="N1006" s="389"/>
      <c r="O1006" s="389"/>
      <c r="P1006" s="389"/>
      <c r="Q1006" s="389"/>
      <c r="R1006" s="388"/>
      <c r="S1006" s="388"/>
      <c r="T1006" s="388"/>
      <c r="U1006" s="388"/>
      <c r="V1006" s="388"/>
      <c r="W1006" s="9"/>
      <c r="X1006" s="9"/>
      <c r="Y1006" s="9"/>
      <c r="Z1006" s="9"/>
    </row>
    <row r="1007">
      <c r="A1007" s="388"/>
      <c r="B1007" s="396"/>
      <c r="C1007" s="396"/>
      <c r="D1007" s="396"/>
      <c r="E1007" s="388"/>
      <c r="F1007" s="395"/>
      <c r="G1007" s="395"/>
      <c r="H1007" s="388"/>
      <c r="I1007" s="389"/>
      <c r="J1007" s="389"/>
      <c r="K1007" s="389"/>
      <c r="L1007" s="460"/>
      <c r="M1007" s="389"/>
      <c r="N1007" s="389"/>
      <c r="O1007" s="389"/>
      <c r="P1007" s="389"/>
      <c r="Q1007" s="389"/>
      <c r="R1007" s="388"/>
      <c r="S1007" s="388"/>
      <c r="T1007" s="388"/>
      <c r="U1007" s="388"/>
      <c r="V1007" s="388"/>
      <c r="W1007" s="9"/>
      <c r="X1007" s="9"/>
      <c r="Y1007" s="9"/>
      <c r="Z1007" s="9"/>
    </row>
    <row r="1008">
      <c r="A1008" s="388"/>
      <c r="B1008" s="396"/>
      <c r="C1008" s="396"/>
      <c r="D1008" s="396"/>
      <c r="E1008" s="388"/>
      <c r="F1008" s="395"/>
      <c r="G1008" s="395"/>
      <c r="H1008" s="388"/>
      <c r="I1008" s="389"/>
      <c r="J1008" s="389"/>
      <c r="K1008" s="389"/>
      <c r="L1008" s="460"/>
      <c r="M1008" s="389"/>
      <c r="N1008" s="389"/>
      <c r="O1008" s="389"/>
      <c r="P1008" s="389"/>
      <c r="Q1008" s="389"/>
      <c r="R1008" s="388"/>
      <c r="S1008" s="388"/>
      <c r="T1008" s="388"/>
      <c r="U1008" s="388"/>
      <c r="V1008" s="388"/>
      <c r="W1008" s="9"/>
      <c r="X1008" s="9"/>
      <c r="Y1008" s="9"/>
      <c r="Z1008" s="9"/>
    </row>
    <row r="1009">
      <c r="A1009" s="388"/>
      <c r="B1009" s="396"/>
      <c r="C1009" s="396"/>
      <c r="D1009" s="396"/>
      <c r="E1009" s="388"/>
      <c r="F1009" s="395"/>
      <c r="G1009" s="395"/>
      <c r="H1009" s="388"/>
      <c r="I1009" s="389"/>
      <c r="J1009" s="389"/>
      <c r="K1009" s="389"/>
      <c r="L1009" s="460"/>
      <c r="M1009" s="389"/>
      <c r="N1009" s="389"/>
      <c r="O1009" s="389"/>
      <c r="P1009" s="389"/>
      <c r="Q1009" s="389"/>
      <c r="R1009" s="388"/>
      <c r="S1009" s="388"/>
      <c r="T1009" s="388"/>
      <c r="U1009" s="388"/>
      <c r="V1009" s="388"/>
      <c r="W1009" s="9"/>
      <c r="X1009" s="9"/>
      <c r="Y1009" s="9"/>
      <c r="Z1009" s="9"/>
    </row>
    <row r="1010">
      <c r="A1010" s="388"/>
      <c r="B1010" s="396"/>
      <c r="C1010" s="396"/>
      <c r="D1010" s="396"/>
      <c r="E1010" s="388"/>
      <c r="F1010" s="395"/>
      <c r="G1010" s="395"/>
      <c r="H1010" s="388"/>
      <c r="I1010" s="389"/>
      <c r="J1010" s="389"/>
      <c r="K1010" s="389"/>
      <c r="L1010" s="460"/>
      <c r="M1010" s="389"/>
      <c r="N1010" s="389"/>
      <c r="O1010" s="389"/>
      <c r="P1010" s="389"/>
      <c r="Q1010" s="389"/>
      <c r="R1010" s="388"/>
      <c r="S1010" s="388"/>
      <c r="T1010" s="388"/>
      <c r="U1010" s="388"/>
      <c r="V1010" s="388"/>
      <c r="W1010" s="9"/>
      <c r="X1010" s="9"/>
      <c r="Y1010" s="9"/>
      <c r="Z1010" s="9"/>
    </row>
    <row r="1011">
      <c r="A1011" s="388"/>
      <c r="B1011" s="396"/>
      <c r="C1011" s="396"/>
      <c r="D1011" s="396"/>
      <c r="E1011" s="388"/>
      <c r="F1011" s="395"/>
      <c r="G1011" s="395"/>
      <c r="H1011" s="388"/>
      <c r="I1011" s="389"/>
      <c r="J1011" s="389"/>
      <c r="K1011" s="389"/>
      <c r="L1011" s="460"/>
      <c r="M1011" s="389"/>
      <c r="N1011" s="389"/>
      <c r="O1011" s="389"/>
      <c r="P1011" s="389"/>
      <c r="Q1011" s="389"/>
      <c r="R1011" s="388"/>
      <c r="S1011" s="388"/>
      <c r="T1011" s="388"/>
      <c r="U1011" s="388"/>
      <c r="V1011" s="388"/>
      <c r="W1011" s="9"/>
      <c r="X1011" s="9"/>
      <c r="Y1011" s="9"/>
      <c r="Z1011" s="9"/>
    </row>
    <row r="1012">
      <c r="A1012" s="388"/>
      <c r="B1012" s="396"/>
      <c r="C1012" s="396"/>
      <c r="D1012" s="396"/>
      <c r="E1012" s="388"/>
      <c r="F1012" s="395"/>
      <c r="G1012" s="395"/>
      <c r="H1012" s="388"/>
      <c r="I1012" s="389"/>
      <c r="J1012" s="389"/>
      <c r="K1012" s="389"/>
      <c r="L1012" s="460"/>
      <c r="M1012" s="389"/>
      <c r="N1012" s="389"/>
      <c r="O1012" s="389"/>
      <c r="P1012" s="389"/>
      <c r="Q1012" s="389"/>
      <c r="R1012" s="388"/>
      <c r="S1012" s="388"/>
      <c r="T1012" s="388"/>
      <c r="U1012" s="388"/>
      <c r="V1012" s="388"/>
      <c r="W1012" s="9"/>
      <c r="X1012" s="9"/>
      <c r="Y1012" s="9"/>
      <c r="Z1012" s="9"/>
    </row>
    <row r="1013">
      <c r="A1013" s="388"/>
      <c r="B1013" s="396"/>
      <c r="C1013" s="396"/>
      <c r="D1013" s="396"/>
      <c r="E1013" s="388"/>
      <c r="F1013" s="395"/>
      <c r="G1013" s="395"/>
      <c r="H1013" s="388"/>
      <c r="I1013" s="389"/>
      <c r="J1013" s="389"/>
      <c r="K1013" s="389"/>
      <c r="L1013" s="460"/>
      <c r="M1013" s="389"/>
      <c r="N1013" s="389"/>
      <c r="O1013" s="389"/>
      <c r="P1013" s="389"/>
      <c r="Q1013" s="389"/>
      <c r="R1013" s="388"/>
      <c r="S1013" s="388"/>
      <c r="T1013" s="388"/>
      <c r="U1013" s="388"/>
      <c r="V1013" s="388"/>
      <c r="W1013" s="9"/>
      <c r="X1013" s="9"/>
      <c r="Y1013" s="9"/>
      <c r="Z1013" s="9"/>
    </row>
    <row r="1014">
      <c r="A1014" s="388"/>
      <c r="B1014" s="396"/>
      <c r="C1014" s="396"/>
      <c r="D1014" s="396"/>
      <c r="E1014" s="388"/>
      <c r="F1014" s="395"/>
      <c r="G1014" s="395"/>
      <c r="H1014" s="388"/>
      <c r="I1014" s="389"/>
      <c r="J1014" s="389"/>
      <c r="K1014" s="389"/>
      <c r="L1014" s="460"/>
      <c r="M1014" s="389"/>
      <c r="N1014" s="389"/>
      <c r="O1014" s="389"/>
      <c r="P1014" s="389"/>
      <c r="Q1014" s="389"/>
      <c r="R1014" s="388"/>
      <c r="S1014" s="388"/>
      <c r="T1014" s="388"/>
      <c r="U1014" s="388"/>
      <c r="V1014" s="388"/>
      <c r="W1014" s="9"/>
      <c r="X1014" s="9"/>
      <c r="Y1014" s="9"/>
      <c r="Z1014" s="9"/>
    </row>
    <row r="1015">
      <c r="A1015" s="388"/>
      <c r="B1015" s="396"/>
      <c r="C1015" s="396"/>
      <c r="D1015" s="396"/>
      <c r="E1015" s="388"/>
      <c r="F1015" s="395"/>
      <c r="G1015" s="395"/>
      <c r="H1015" s="388"/>
      <c r="I1015" s="389"/>
      <c r="J1015" s="389"/>
      <c r="K1015" s="389"/>
      <c r="L1015" s="460"/>
      <c r="M1015" s="389"/>
      <c r="N1015" s="389"/>
      <c r="O1015" s="389"/>
      <c r="P1015" s="389"/>
      <c r="Q1015" s="389"/>
      <c r="R1015" s="388"/>
      <c r="S1015" s="388"/>
      <c r="T1015" s="388"/>
      <c r="U1015" s="388"/>
      <c r="V1015" s="388"/>
      <c r="W1015" s="9"/>
      <c r="X1015" s="9"/>
      <c r="Y1015" s="9"/>
      <c r="Z1015" s="9"/>
    </row>
    <row r="1016">
      <c r="A1016" s="388"/>
      <c r="B1016" s="396"/>
      <c r="C1016" s="396"/>
      <c r="D1016" s="396"/>
      <c r="E1016" s="388"/>
      <c r="F1016" s="395"/>
      <c r="G1016" s="395"/>
      <c r="H1016" s="388"/>
      <c r="I1016" s="389"/>
      <c r="J1016" s="389"/>
      <c r="K1016" s="389"/>
      <c r="L1016" s="460"/>
      <c r="M1016" s="389"/>
      <c r="N1016" s="389"/>
      <c r="O1016" s="389"/>
      <c r="P1016" s="389"/>
      <c r="Q1016" s="389"/>
      <c r="R1016" s="388"/>
      <c r="S1016" s="388"/>
      <c r="T1016" s="388"/>
      <c r="U1016" s="388"/>
      <c r="V1016" s="388"/>
      <c r="W1016" s="9"/>
      <c r="X1016" s="9"/>
      <c r="Y1016" s="9"/>
      <c r="Z1016" s="9"/>
    </row>
    <row r="1017">
      <c r="A1017" s="388"/>
      <c r="B1017" s="396"/>
      <c r="C1017" s="396"/>
      <c r="D1017" s="396"/>
      <c r="E1017" s="388"/>
      <c r="F1017" s="395"/>
      <c r="G1017" s="395"/>
      <c r="H1017" s="388"/>
      <c r="I1017" s="389"/>
      <c r="J1017" s="389"/>
      <c r="K1017" s="389"/>
      <c r="L1017" s="460"/>
      <c r="M1017" s="389"/>
      <c r="N1017" s="389"/>
      <c r="O1017" s="389"/>
      <c r="P1017" s="389"/>
      <c r="Q1017" s="389"/>
      <c r="R1017" s="388"/>
      <c r="S1017" s="388"/>
      <c r="T1017" s="388"/>
      <c r="U1017" s="388"/>
      <c r="V1017" s="388"/>
      <c r="W1017" s="9"/>
      <c r="X1017" s="9"/>
      <c r="Y1017" s="9"/>
      <c r="Z1017" s="9"/>
    </row>
  </sheetData>
  <mergeCells count="15">
    <mergeCell ref="D31:E31"/>
    <mergeCell ref="D32:E32"/>
    <mergeCell ref="D33:E33"/>
    <mergeCell ref="D34:E34"/>
    <mergeCell ref="D35:E35"/>
    <mergeCell ref="D36:E36"/>
    <mergeCell ref="D37:E37"/>
    <mergeCell ref="D38:E38"/>
    <mergeCell ref="A1:E1"/>
    <mergeCell ref="I3:I10"/>
    <mergeCell ref="N3:N10"/>
    <mergeCell ref="P6:P7"/>
    <mergeCell ref="Q6:R7"/>
    <mergeCell ref="I12:I19"/>
    <mergeCell ref="I21:I28"/>
  </mergeCells>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2.63" defaultRowHeight="15.0"/>
  <cols>
    <col customWidth="1" min="1" max="1" width="20.25"/>
    <col customWidth="1" min="2" max="2" width="17.75"/>
    <col customWidth="1" min="3" max="6" width="8.25"/>
    <col customWidth="1" min="7" max="7" width="22.0"/>
    <col customWidth="1" min="8" max="8" width="25.63"/>
    <col customWidth="1" min="9" max="9" width="10.75"/>
    <col customWidth="1" min="10" max="10" width="20.63"/>
    <col customWidth="1" min="11" max="11" width="20.25"/>
    <col customWidth="1" min="12" max="12" width="27.25"/>
  </cols>
  <sheetData>
    <row r="1" ht="82.5" customHeight="1">
      <c r="A1" s="475" t="s">
        <v>832</v>
      </c>
      <c r="B1" s="476" t="s">
        <v>833</v>
      </c>
      <c r="C1" s="477" t="s">
        <v>834</v>
      </c>
      <c r="D1" s="478" t="s">
        <v>835</v>
      </c>
      <c r="E1" s="478" t="s">
        <v>836</v>
      </c>
      <c r="F1" s="478" t="s">
        <v>837</v>
      </c>
      <c r="G1" s="476" t="s">
        <v>838</v>
      </c>
      <c r="H1" s="479" t="s">
        <v>724</v>
      </c>
      <c r="I1" s="480"/>
      <c r="J1" s="481" t="s">
        <v>839</v>
      </c>
      <c r="K1" s="479" t="s">
        <v>840</v>
      </c>
      <c r="L1" s="479" t="s">
        <v>841</v>
      </c>
    </row>
    <row r="2">
      <c r="A2" s="482" t="s">
        <v>842</v>
      </c>
      <c r="B2" s="483"/>
      <c r="C2" s="484"/>
      <c r="D2" s="485"/>
      <c r="E2" s="484"/>
      <c r="F2" s="484"/>
      <c r="G2" s="483"/>
      <c r="H2" s="483"/>
      <c r="I2" s="483"/>
      <c r="J2" s="486"/>
      <c r="K2" s="487"/>
      <c r="L2" s="488" t="s">
        <v>843</v>
      </c>
    </row>
    <row r="3">
      <c r="A3" s="457"/>
      <c r="B3" s="483"/>
      <c r="C3" s="484"/>
      <c r="D3" s="485"/>
      <c r="E3" s="484"/>
      <c r="F3" s="484"/>
      <c r="G3" s="483"/>
      <c r="H3" s="483"/>
      <c r="I3" s="483"/>
      <c r="J3" s="486"/>
      <c r="K3" s="487"/>
      <c r="L3" s="489" t="s">
        <v>844</v>
      </c>
    </row>
    <row r="4">
      <c r="A4" s="457"/>
      <c r="B4" s="483"/>
      <c r="C4" s="484"/>
      <c r="D4" s="485"/>
      <c r="E4" s="484"/>
      <c r="F4" s="484"/>
      <c r="G4" s="483"/>
      <c r="H4" s="483"/>
      <c r="I4" s="483"/>
      <c r="J4" s="486"/>
      <c r="K4" s="487"/>
      <c r="L4" s="490" t="s">
        <v>845</v>
      </c>
    </row>
    <row r="5">
      <c r="A5" s="457"/>
      <c r="B5" s="483"/>
      <c r="C5" s="484"/>
      <c r="D5" s="485"/>
      <c r="E5" s="484"/>
      <c r="F5" s="484"/>
      <c r="G5" s="483"/>
      <c r="H5" s="483"/>
      <c r="I5" s="483"/>
      <c r="J5" s="486"/>
      <c r="K5" s="487"/>
      <c r="L5" s="491" t="s">
        <v>846</v>
      </c>
    </row>
    <row r="6">
      <c r="A6" s="457"/>
      <c r="B6" s="483"/>
      <c r="C6" s="484"/>
      <c r="D6" s="485"/>
      <c r="E6" s="484"/>
      <c r="F6" s="484"/>
      <c r="G6" s="483"/>
      <c r="H6" s="483"/>
      <c r="I6" s="483"/>
      <c r="J6" s="492"/>
      <c r="K6" s="487"/>
      <c r="L6" s="493" t="s">
        <v>847</v>
      </c>
    </row>
    <row r="7">
      <c r="A7" s="430"/>
      <c r="B7" s="494"/>
      <c r="C7" s="495"/>
      <c r="D7" s="485"/>
      <c r="E7" s="484"/>
      <c r="F7" s="484"/>
      <c r="G7" s="483"/>
      <c r="H7" s="483"/>
      <c r="I7" s="483"/>
      <c r="J7" s="486"/>
      <c r="K7" s="487"/>
      <c r="L7" s="496" t="s">
        <v>848</v>
      </c>
    </row>
    <row r="8">
      <c r="A8" s="169" t="s">
        <v>849</v>
      </c>
      <c r="B8" s="18" t="s">
        <v>850</v>
      </c>
      <c r="C8" s="119" t="s">
        <v>851</v>
      </c>
      <c r="D8" s="497"/>
      <c r="E8" s="119"/>
      <c r="F8" s="119"/>
      <c r="G8" s="439" t="s">
        <v>852</v>
      </c>
      <c r="H8" s="498" t="s">
        <v>853</v>
      </c>
      <c r="I8" s="499"/>
      <c r="J8" s="492">
        <v>45716.0</v>
      </c>
      <c r="K8" s="483"/>
      <c r="L8" s="491"/>
    </row>
    <row r="9">
      <c r="A9" s="457"/>
      <c r="B9" s="312" t="s">
        <v>68</v>
      </c>
      <c r="C9" s="500"/>
      <c r="D9" s="501"/>
      <c r="E9" s="502"/>
      <c r="F9" s="502"/>
      <c r="G9" s="503" t="s">
        <v>854</v>
      </c>
      <c r="H9" s="504" t="s">
        <v>855</v>
      </c>
      <c r="I9" s="499"/>
      <c r="J9" s="492">
        <v>45716.0</v>
      </c>
      <c r="K9" s="483"/>
      <c r="L9" s="491"/>
    </row>
    <row r="10">
      <c r="A10" s="457"/>
      <c r="B10" s="23" t="s">
        <v>86</v>
      </c>
      <c r="C10" s="500"/>
      <c r="D10" s="442"/>
      <c r="E10" s="505"/>
      <c r="F10" s="505"/>
      <c r="G10" s="506" t="s">
        <v>856</v>
      </c>
      <c r="H10" s="406" t="s">
        <v>857</v>
      </c>
      <c r="I10" s="499"/>
      <c r="J10" s="492">
        <v>45716.0</v>
      </c>
      <c r="K10" s="483"/>
      <c r="L10" s="491"/>
    </row>
    <row r="11">
      <c r="A11" s="457"/>
      <c r="B11" s="156" t="s">
        <v>858</v>
      </c>
      <c r="C11" s="119" t="s">
        <v>851</v>
      </c>
      <c r="D11" s="497"/>
      <c r="E11" s="486"/>
      <c r="F11" s="486"/>
      <c r="G11" s="506" t="s">
        <v>859</v>
      </c>
      <c r="H11" s="507" t="s">
        <v>860</v>
      </c>
      <c r="I11" s="508"/>
      <c r="J11" s="492">
        <v>45719.0</v>
      </c>
      <c r="K11" s="483"/>
      <c r="L11" s="491"/>
    </row>
    <row r="12">
      <c r="A12" s="457"/>
      <c r="B12" s="18" t="s">
        <v>122</v>
      </c>
      <c r="C12" s="119" t="s">
        <v>861</v>
      </c>
      <c r="D12" s="497"/>
      <c r="E12" s="119"/>
      <c r="F12" s="119"/>
      <c r="G12" s="474" t="s">
        <v>862</v>
      </c>
      <c r="H12" s="166" t="s">
        <v>863</v>
      </c>
      <c r="I12" s="499"/>
      <c r="J12" s="492">
        <v>45716.0</v>
      </c>
      <c r="K12" s="509"/>
      <c r="L12" s="483"/>
    </row>
    <row r="13">
      <c r="A13" s="457"/>
      <c r="B13" s="46" t="s">
        <v>139</v>
      </c>
      <c r="C13" s="119" t="s">
        <v>851</v>
      </c>
      <c r="D13" s="442"/>
      <c r="E13" s="505"/>
      <c r="F13" s="505"/>
      <c r="G13" s="510" t="s">
        <v>864</v>
      </c>
      <c r="H13" s="510" t="s">
        <v>865</v>
      </c>
      <c r="I13" s="499"/>
      <c r="J13" s="492">
        <v>45716.0</v>
      </c>
      <c r="K13" s="483"/>
      <c r="L13" s="511" t="s">
        <v>866</v>
      </c>
    </row>
    <row r="14">
      <c r="A14" s="457"/>
      <c r="B14" s="23"/>
      <c r="C14" s="119"/>
      <c r="D14" s="442"/>
      <c r="E14" s="505"/>
      <c r="F14" s="505"/>
      <c r="G14" s="506"/>
      <c r="H14" s="512"/>
      <c r="I14" s="499"/>
      <c r="J14" s="492"/>
      <c r="K14" s="509"/>
      <c r="L14" s="483"/>
    </row>
    <row r="15">
      <c r="A15" s="430"/>
      <c r="B15" s="156"/>
      <c r="C15" s="119"/>
      <c r="D15" s="497"/>
      <c r="E15" s="486"/>
      <c r="F15" s="486"/>
      <c r="G15" s="513"/>
      <c r="H15" s="514"/>
      <c r="I15" s="508"/>
      <c r="J15" s="492"/>
      <c r="K15" s="515"/>
      <c r="L15" s="491"/>
    </row>
    <row r="16">
      <c r="A16" s="516"/>
      <c r="B16" s="517"/>
      <c r="C16" s="518"/>
      <c r="D16" s="519"/>
      <c r="E16" s="520"/>
      <c r="F16" s="520"/>
      <c r="G16" s="521"/>
      <c r="H16" s="522"/>
      <c r="I16" s="516"/>
      <c r="J16" s="523"/>
      <c r="K16" s="516"/>
      <c r="L16" s="155"/>
    </row>
    <row r="17">
      <c r="A17" s="524"/>
      <c r="B17" s="524"/>
      <c r="C17" s="525"/>
      <c r="D17" s="526"/>
      <c r="E17" s="525"/>
      <c r="F17" s="525"/>
      <c r="G17" s="524"/>
      <c r="H17" s="524"/>
      <c r="I17" s="524"/>
      <c r="J17" s="527"/>
      <c r="K17" s="524"/>
      <c r="L17" s="524"/>
    </row>
    <row r="18">
      <c r="A18" s="169" t="s">
        <v>867</v>
      </c>
      <c r="B18" s="18" t="s">
        <v>868</v>
      </c>
      <c r="C18" s="119" t="s">
        <v>851</v>
      </c>
      <c r="D18" s="528"/>
      <c r="E18" s="528"/>
      <c r="F18" s="528"/>
      <c r="G18" s="474" t="s">
        <v>869</v>
      </c>
      <c r="H18" s="529" t="s">
        <v>870</v>
      </c>
      <c r="I18" s="483"/>
      <c r="J18" s="492">
        <v>45663.0</v>
      </c>
      <c r="K18" s="483"/>
      <c r="L18" s="515"/>
    </row>
    <row r="19">
      <c r="A19" s="457"/>
      <c r="B19" s="18" t="s">
        <v>69</v>
      </c>
      <c r="C19" s="119" t="s">
        <v>851</v>
      </c>
      <c r="D19" s="528"/>
      <c r="E19" s="528"/>
      <c r="F19" s="528"/>
      <c r="G19" s="41" t="s">
        <v>871</v>
      </c>
      <c r="H19" s="166" t="s">
        <v>872</v>
      </c>
      <c r="I19" s="483"/>
      <c r="J19" s="492">
        <v>45663.0</v>
      </c>
      <c r="K19" s="483"/>
      <c r="L19" s="483"/>
    </row>
    <row r="20">
      <c r="A20" s="457"/>
      <c r="B20" s="18" t="s">
        <v>87</v>
      </c>
      <c r="C20" s="119" t="s">
        <v>851</v>
      </c>
      <c r="D20" s="528"/>
      <c r="E20" s="528"/>
      <c r="F20" s="528"/>
      <c r="G20" s="474" t="s">
        <v>873</v>
      </c>
      <c r="H20" s="166" t="s">
        <v>874</v>
      </c>
      <c r="I20" s="483"/>
      <c r="J20" s="492">
        <v>45663.0</v>
      </c>
      <c r="K20" s="483"/>
      <c r="L20" s="483"/>
    </row>
    <row r="21">
      <c r="A21" s="457"/>
      <c r="B21" s="18" t="s">
        <v>105</v>
      </c>
      <c r="C21" s="119" t="s">
        <v>851</v>
      </c>
      <c r="D21" s="485"/>
      <c r="E21" s="484"/>
      <c r="F21" s="484"/>
      <c r="G21" s="41" t="s">
        <v>875</v>
      </c>
      <c r="H21" s="41" t="s">
        <v>876</v>
      </c>
      <c r="I21" s="483"/>
      <c r="J21" s="492">
        <v>45663.0</v>
      </c>
      <c r="K21" s="483"/>
      <c r="L21" s="508"/>
    </row>
    <row r="22">
      <c r="A22" s="457"/>
      <c r="B22" s="18" t="s">
        <v>877</v>
      </c>
      <c r="C22" s="119" t="s">
        <v>851</v>
      </c>
      <c r="D22" s="485"/>
      <c r="E22" s="484"/>
      <c r="F22" s="484"/>
      <c r="G22" s="530" t="s">
        <v>878</v>
      </c>
      <c r="H22" s="531" t="s">
        <v>879</v>
      </c>
      <c r="I22" s="483"/>
      <c r="J22" s="492">
        <v>45663.0</v>
      </c>
      <c r="K22" s="532"/>
      <c r="L22" s="533"/>
    </row>
    <row r="23">
      <c r="A23" s="457"/>
      <c r="B23" s="18" t="s">
        <v>140</v>
      </c>
      <c r="C23" s="119" t="s">
        <v>851</v>
      </c>
      <c r="D23" s="485"/>
      <c r="E23" s="484"/>
      <c r="F23" s="484"/>
      <c r="G23" s="530" t="s">
        <v>880</v>
      </c>
      <c r="H23" s="531" t="s">
        <v>881</v>
      </c>
      <c r="I23" s="483"/>
      <c r="J23" s="492">
        <v>45663.0</v>
      </c>
      <c r="K23" s="532"/>
      <c r="L23" s="483"/>
    </row>
    <row r="24">
      <c r="A24" s="457"/>
      <c r="B24" s="18" t="s">
        <v>153</v>
      </c>
      <c r="C24" s="119" t="s">
        <v>851</v>
      </c>
      <c r="D24" s="485"/>
      <c r="E24" s="484"/>
      <c r="F24" s="484"/>
      <c r="G24" s="534" t="s">
        <v>882</v>
      </c>
      <c r="H24" s="535" t="s">
        <v>883</v>
      </c>
      <c r="I24" s="483"/>
      <c r="J24" s="492">
        <v>45663.0</v>
      </c>
      <c r="K24" s="532"/>
      <c r="L24" s="483"/>
    </row>
    <row r="25">
      <c r="A25" s="430"/>
      <c r="B25" s="18" t="s">
        <v>165</v>
      </c>
      <c r="C25" s="119" t="s">
        <v>851</v>
      </c>
      <c r="D25" s="485"/>
      <c r="E25" s="484"/>
      <c r="F25" s="484"/>
      <c r="G25" s="510" t="s">
        <v>884</v>
      </c>
      <c r="H25" s="536" t="s">
        <v>885</v>
      </c>
      <c r="I25" s="483"/>
      <c r="J25" s="492">
        <v>45663.0</v>
      </c>
      <c r="K25" s="532"/>
      <c r="L25" s="483"/>
    </row>
    <row r="26">
      <c r="A26" s="516"/>
      <c r="B26" s="516"/>
      <c r="C26" s="537"/>
      <c r="D26" s="519"/>
      <c r="E26" s="537"/>
      <c r="F26" s="537"/>
      <c r="G26" s="516"/>
      <c r="H26" s="516"/>
      <c r="I26" s="516"/>
      <c r="J26" s="538"/>
      <c r="K26" s="516"/>
      <c r="L26" s="516"/>
    </row>
    <row r="27">
      <c r="A27" s="524"/>
      <c r="B27" s="539"/>
      <c r="C27" s="525"/>
      <c r="D27" s="526"/>
      <c r="E27" s="525"/>
      <c r="F27" s="525"/>
      <c r="G27" s="524"/>
      <c r="H27" s="524"/>
      <c r="I27" s="524"/>
      <c r="J27" s="527"/>
      <c r="K27" s="524"/>
      <c r="L27" s="524"/>
    </row>
    <row r="28">
      <c r="A28" s="169" t="s">
        <v>886</v>
      </c>
      <c r="B28" s="18" t="s">
        <v>52</v>
      </c>
      <c r="C28" s="119"/>
      <c r="D28" s="485"/>
      <c r="E28" s="484"/>
      <c r="F28" s="484"/>
      <c r="G28" s="455" t="s">
        <v>887</v>
      </c>
      <c r="H28" s="455" t="s">
        <v>888</v>
      </c>
      <c r="I28" s="540"/>
      <c r="J28" s="492">
        <v>45716.0</v>
      </c>
      <c r="K28" s="483"/>
      <c r="L28" s="491"/>
    </row>
    <row r="29">
      <c r="A29" s="457"/>
      <c r="B29" s="18" t="s">
        <v>70</v>
      </c>
      <c r="C29" s="119"/>
      <c r="D29" s="485"/>
      <c r="E29" s="484"/>
      <c r="F29" s="484"/>
      <c r="G29" s="541" t="s">
        <v>889</v>
      </c>
      <c r="H29" s="542" t="s">
        <v>890</v>
      </c>
      <c r="I29" s="540"/>
      <c r="J29" s="492">
        <v>45716.0</v>
      </c>
      <c r="K29" s="515"/>
      <c r="L29" s="491"/>
    </row>
    <row r="30">
      <c r="A30" s="457"/>
      <c r="B30" s="18" t="s">
        <v>88</v>
      </c>
      <c r="C30" s="119"/>
      <c r="D30" s="485"/>
      <c r="E30" s="484"/>
      <c r="F30" s="484"/>
      <c r="G30" s="543" t="s">
        <v>891</v>
      </c>
      <c r="H30" s="542" t="s">
        <v>892</v>
      </c>
      <c r="I30" s="540"/>
      <c r="J30" s="492">
        <v>45716.0</v>
      </c>
      <c r="K30" s="483"/>
      <c r="L30" s="491"/>
    </row>
    <row r="31">
      <c r="A31" s="457"/>
      <c r="B31" s="18" t="s">
        <v>106</v>
      </c>
      <c r="C31" s="119"/>
      <c r="D31" s="485"/>
      <c r="E31" s="119"/>
      <c r="F31" s="119"/>
      <c r="G31" s="544" t="s">
        <v>893</v>
      </c>
      <c r="H31" s="545" t="s">
        <v>894</v>
      </c>
      <c r="I31" s="540"/>
      <c r="J31" s="492">
        <v>45716.0</v>
      </c>
      <c r="K31" s="483"/>
      <c r="L31" s="483"/>
    </row>
    <row r="32">
      <c r="A32" s="457"/>
      <c r="B32" s="18" t="s">
        <v>124</v>
      </c>
      <c r="C32" s="119"/>
      <c r="D32" s="485"/>
      <c r="E32" s="484"/>
      <c r="F32" s="484"/>
      <c r="G32" s="546" t="s">
        <v>895</v>
      </c>
      <c r="H32" s="547" t="s">
        <v>896</v>
      </c>
      <c r="I32" s="540"/>
      <c r="J32" s="492">
        <v>45716.0</v>
      </c>
      <c r="K32" s="483"/>
      <c r="L32" s="508"/>
    </row>
    <row r="33">
      <c r="A33" s="457"/>
      <c r="B33" s="42" t="s">
        <v>141</v>
      </c>
      <c r="C33" s="119"/>
      <c r="D33" s="485"/>
      <c r="E33" s="484"/>
      <c r="F33" s="484"/>
      <c r="G33" s="474" t="s">
        <v>897</v>
      </c>
      <c r="H33" s="34" t="s">
        <v>898</v>
      </c>
      <c r="I33" s="540"/>
      <c r="J33" s="492">
        <v>45716.0</v>
      </c>
      <c r="K33" s="483"/>
      <c r="L33" s="508"/>
    </row>
    <row r="34">
      <c r="A34" s="457"/>
      <c r="B34" s="18" t="s">
        <v>154</v>
      </c>
      <c r="C34" s="119"/>
      <c r="D34" s="548"/>
      <c r="E34" s="549"/>
      <c r="F34" s="549"/>
      <c r="G34" s="530" t="s">
        <v>899</v>
      </c>
      <c r="H34" s="534" t="s">
        <v>900</v>
      </c>
      <c r="I34" s="440"/>
      <c r="J34" s="492">
        <v>45716.0</v>
      </c>
      <c r="K34" s="515"/>
      <c r="L34" s="508"/>
    </row>
    <row r="35">
      <c r="A35" s="430"/>
      <c r="B35" s="18" t="s">
        <v>166</v>
      </c>
      <c r="C35" s="119" t="s">
        <v>861</v>
      </c>
      <c r="D35" s="548"/>
      <c r="E35" s="549"/>
      <c r="F35" s="549"/>
      <c r="G35" s="550" t="s">
        <v>862</v>
      </c>
      <c r="H35" s="551" t="s">
        <v>863</v>
      </c>
      <c r="I35" s="440"/>
      <c r="J35" s="492">
        <v>45716.0</v>
      </c>
      <c r="K35" s="119" t="s">
        <v>901</v>
      </c>
      <c r="L35" s="508"/>
    </row>
    <row r="36">
      <c r="A36" s="516"/>
      <c r="B36" s="516"/>
      <c r="C36" s="537"/>
      <c r="D36" s="519"/>
      <c r="E36" s="537"/>
      <c r="F36" s="537"/>
      <c r="G36" s="522"/>
      <c r="H36" s="522"/>
      <c r="I36" s="522"/>
      <c r="J36" s="538"/>
      <c r="K36" s="516"/>
      <c r="L36" s="516"/>
    </row>
    <row r="37">
      <c r="A37" s="524"/>
      <c r="B37" s="539"/>
      <c r="C37" s="525"/>
      <c r="D37" s="526"/>
      <c r="E37" s="525"/>
      <c r="F37" s="525"/>
      <c r="G37" s="524"/>
      <c r="H37" s="524"/>
      <c r="I37" s="524"/>
      <c r="J37" s="527"/>
      <c r="K37" s="524"/>
      <c r="L37" s="524"/>
    </row>
    <row r="38">
      <c r="A38" s="169" t="s">
        <v>902</v>
      </c>
      <c r="B38" s="18" t="s">
        <v>53</v>
      </c>
      <c r="C38" s="119" t="s">
        <v>851</v>
      </c>
      <c r="D38" s="485"/>
      <c r="E38" s="484"/>
      <c r="F38" s="484"/>
      <c r="G38" s="552" t="s">
        <v>903</v>
      </c>
      <c r="H38" s="531" t="s">
        <v>904</v>
      </c>
      <c r="I38" s="483"/>
      <c r="J38" s="492">
        <v>45663.0</v>
      </c>
      <c r="K38" s="483"/>
      <c r="L38" s="491"/>
    </row>
    <row r="39">
      <c r="A39" s="457"/>
      <c r="B39" s="21" t="s">
        <v>71</v>
      </c>
      <c r="C39" s="119" t="s">
        <v>851</v>
      </c>
      <c r="D39" s="495" t="s">
        <v>905</v>
      </c>
      <c r="E39" s="484"/>
      <c r="F39" s="484"/>
      <c r="G39" s="474" t="s">
        <v>906</v>
      </c>
      <c r="H39" s="41" t="s">
        <v>907</v>
      </c>
      <c r="I39" s="499"/>
      <c r="J39" s="492">
        <v>45663.0</v>
      </c>
      <c r="K39" s="483"/>
      <c r="L39" s="491"/>
    </row>
    <row r="40">
      <c r="A40" s="457"/>
      <c r="B40" s="23" t="s">
        <v>89</v>
      </c>
      <c r="C40" s="119" t="s">
        <v>851</v>
      </c>
      <c r="D40" s="485"/>
      <c r="E40" s="484"/>
      <c r="F40" s="484"/>
      <c r="G40" s="474" t="s">
        <v>908</v>
      </c>
      <c r="H40" s="553" t="s">
        <v>909</v>
      </c>
      <c r="I40" s="554"/>
      <c r="J40" s="492">
        <v>45663.0</v>
      </c>
      <c r="K40" s="515"/>
      <c r="L40" s="491"/>
    </row>
    <row r="41">
      <c r="A41" s="457"/>
      <c r="B41" s="21" t="s">
        <v>107</v>
      </c>
      <c r="C41" s="119" t="s">
        <v>851</v>
      </c>
      <c r="D41" s="485"/>
      <c r="E41" s="484"/>
      <c r="F41" s="484"/>
      <c r="G41" s="503" t="s">
        <v>910</v>
      </c>
      <c r="H41" s="507" t="s">
        <v>911</v>
      </c>
      <c r="I41" s="499"/>
      <c r="J41" s="492">
        <v>45663.0</v>
      </c>
      <c r="K41" s="483"/>
      <c r="L41" s="491"/>
    </row>
    <row r="42">
      <c r="A42" s="457"/>
      <c r="B42" s="18" t="s">
        <v>912</v>
      </c>
      <c r="C42" s="119" t="s">
        <v>851</v>
      </c>
      <c r="D42" s="485"/>
      <c r="E42" s="484"/>
      <c r="F42" s="484"/>
      <c r="G42" s="555" t="s">
        <v>913</v>
      </c>
      <c r="H42" s="556" t="s">
        <v>914</v>
      </c>
      <c r="I42" s="499"/>
      <c r="J42" s="492">
        <v>45663.0</v>
      </c>
      <c r="K42" s="483"/>
      <c r="L42" s="508"/>
    </row>
    <row r="43">
      <c r="A43" s="457"/>
      <c r="B43" s="18" t="s">
        <v>142</v>
      </c>
      <c r="C43" s="119" t="s">
        <v>851</v>
      </c>
      <c r="D43" s="485"/>
      <c r="E43" s="484"/>
      <c r="F43" s="484"/>
      <c r="G43" s="510" t="s">
        <v>915</v>
      </c>
      <c r="H43" s="510" t="s">
        <v>916</v>
      </c>
      <c r="I43" s="499"/>
      <c r="J43" s="492">
        <v>45663.0</v>
      </c>
      <c r="K43" s="483"/>
      <c r="L43" s="508"/>
    </row>
    <row r="44">
      <c r="A44" s="457"/>
      <c r="B44" s="18" t="s">
        <v>917</v>
      </c>
      <c r="C44" s="119" t="s">
        <v>851</v>
      </c>
      <c r="D44" s="515" t="s">
        <v>918</v>
      </c>
      <c r="E44" s="484"/>
      <c r="F44" s="484"/>
      <c r="G44" s="495" t="s">
        <v>919</v>
      </c>
      <c r="H44" s="557" t="s">
        <v>920</v>
      </c>
      <c r="I44" s="499"/>
      <c r="J44" s="492">
        <v>45663.0</v>
      </c>
      <c r="K44" s="483"/>
      <c r="L44" s="508"/>
      <c r="M44" s="558" t="s">
        <v>921</v>
      </c>
      <c r="N44" s="559"/>
      <c r="O44" s="560"/>
      <c r="P44" s="559"/>
      <c r="Q44" s="561"/>
      <c r="R44" s="559"/>
    </row>
    <row r="45">
      <c r="A45" s="430"/>
      <c r="B45" s="18"/>
      <c r="C45" s="119"/>
      <c r="D45" s="485"/>
      <c r="E45" s="484"/>
      <c r="F45" s="484"/>
      <c r="G45" s="495"/>
      <c r="H45" s="557"/>
      <c r="I45" s="499"/>
      <c r="J45" s="492"/>
      <c r="K45" s="483"/>
      <c r="L45" s="508"/>
    </row>
    <row r="46">
      <c r="A46" s="516"/>
      <c r="B46" s="516"/>
      <c r="C46" s="537"/>
      <c r="D46" s="519"/>
      <c r="E46" s="537"/>
      <c r="F46" s="537"/>
      <c r="G46" s="516"/>
      <c r="H46" s="516"/>
      <c r="I46" s="516"/>
      <c r="J46" s="538"/>
      <c r="K46" s="516"/>
      <c r="L46" s="516"/>
    </row>
    <row r="47">
      <c r="A47" s="524"/>
      <c r="B47" s="524"/>
      <c r="C47" s="525"/>
      <c r="D47" s="526"/>
      <c r="E47" s="525"/>
      <c r="F47" s="525"/>
      <c r="G47" s="524"/>
      <c r="H47" s="524"/>
      <c r="I47" s="524"/>
      <c r="J47" s="527"/>
      <c r="K47" s="524"/>
      <c r="L47" s="524"/>
    </row>
    <row r="48">
      <c r="A48" s="169" t="s">
        <v>922</v>
      </c>
      <c r="B48" s="18" t="s">
        <v>54</v>
      </c>
      <c r="C48" s="119" t="s">
        <v>851</v>
      </c>
      <c r="D48" s="562"/>
      <c r="E48" s="563"/>
      <c r="F48" s="563"/>
      <c r="G48" s="564" t="s">
        <v>923</v>
      </c>
      <c r="H48" s="565" t="s">
        <v>924</v>
      </c>
      <c r="I48" s="483"/>
      <c r="J48" s="492">
        <v>45663.0</v>
      </c>
      <c r="K48" s="483"/>
      <c r="L48" s="483"/>
    </row>
    <row r="49">
      <c r="A49" s="457"/>
      <c r="B49" s="18" t="s">
        <v>72</v>
      </c>
      <c r="C49" s="119" t="s">
        <v>851</v>
      </c>
      <c r="D49" s="562"/>
      <c r="E49" s="563"/>
      <c r="F49" s="563"/>
      <c r="G49" s="439" t="s">
        <v>925</v>
      </c>
      <c r="H49" s="439" t="s">
        <v>926</v>
      </c>
      <c r="I49" s="515"/>
      <c r="J49" s="492">
        <v>45663.0</v>
      </c>
      <c r="K49" s="483"/>
      <c r="L49" s="483"/>
    </row>
    <row r="50">
      <c r="A50" s="457"/>
      <c r="B50" s="18" t="s">
        <v>90</v>
      </c>
      <c r="C50" s="119" t="s">
        <v>851</v>
      </c>
      <c r="D50" s="566"/>
      <c r="E50" s="566"/>
      <c r="F50" s="566"/>
      <c r="G50" s="557" t="s">
        <v>927</v>
      </c>
      <c r="H50" s="557" t="s">
        <v>928</v>
      </c>
      <c r="I50" s="483"/>
      <c r="J50" s="492">
        <v>45663.0</v>
      </c>
      <c r="K50" s="483"/>
      <c r="L50" s="483"/>
    </row>
    <row r="51">
      <c r="A51" s="457"/>
      <c r="B51" s="18" t="s">
        <v>929</v>
      </c>
      <c r="C51" s="119" t="s">
        <v>851</v>
      </c>
      <c r="D51" s="567" t="s">
        <v>930</v>
      </c>
      <c r="E51" s="566"/>
      <c r="F51" s="566"/>
      <c r="G51" s="568" t="s">
        <v>931</v>
      </c>
      <c r="H51" s="569" t="s">
        <v>932</v>
      </c>
      <c r="I51" s="483"/>
      <c r="J51" s="492">
        <v>45663.0</v>
      </c>
      <c r="K51" s="483"/>
      <c r="L51" s="483"/>
    </row>
    <row r="52">
      <c r="A52" s="457"/>
      <c r="B52" s="18" t="s">
        <v>126</v>
      </c>
      <c r="C52" s="119" t="s">
        <v>851</v>
      </c>
      <c r="D52" s="566"/>
      <c r="E52" s="566"/>
      <c r="F52" s="566"/>
      <c r="G52" s="570" t="s">
        <v>933</v>
      </c>
      <c r="H52" s="571" t="s">
        <v>934</v>
      </c>
      <c r="I52" s="483"/>
      <c r="J52" s="492">
        <v>45663.0</v>
      </c>
      <c r="K52" s="483"/>
      <c r="L52" s="483"/>
    </row>
    <row r="53">
      <c r="A53" s="457"/>
      <c r="B53" s="18" t="s">
        <v>143</v>
      </c>
      <c r="C53" s="119" t="s">
        <v>851</v>
      </c>
      <c r="D53" s="566"/>
      <c r="E53" s="566"/>
      <c r="F53" s="566"/>
      <c r="G53" s="570" t="s">
        <v>935</v>
      </c>
      <c r="H53" s="571" t="s">
        <v>936</v>
      </c>
      <c r="I53" s="483"/>
      <c r="J53" s="492">
        <v>45663.0</v>
      </c>
      <c r="K53" s="119"/>
      <c r="L53" s="483"/>
    </row>
    <row r="54">
      <c r="A54" s="457"/>
      <c r="B54" s="18" t="s">
        <v>937</v>
      </c>
      <c r="C54" s="500"/>
      <c r="D54" s="566"/>
      <c r="E54" s="566"/>
      <c r="F54" s="566"/>
      <c r="G54" s="572" t="s">
        <v>938</v>
      </c>
      <c r="H54" s="573" t="s">
        <v>939</v>
      </c>
      <c r="I54" s="483"/>
      <c r="J54" s="492">
        <v>45716.0</v>
      </c>
      <c r="K54" s="119" t="s">
        <v>901</v>
      </c>
      <c r="L54" s="515"/>
    </row>
    <row r="55">
      <c r="A55" s="430"/>
      <c r="B55" s="18"/>
      <c r="C55" s="119"/>
      <c r="D55" s="566"/>
      <c r="E55" s="566"/>
      <c r="F55" s="566"/>
      <c r="G55" s="572"/>
      <c r="H55" s="551"/>
      <c r="I55" s="483"/>
      <c r="J55" s="492"/>
      <c r="K55" s="119"/>
      <c r="L55" s="515"/>
    </row>
    <row r="56">
      <c r="A56" s="516"/>
      <c r="B56" s="516"/>
      <c r="C56" s="537"/>
      <c r="D56" s="519"/>
      <c r="E56" s="537"/>
      <c r="F56" s="537"/>
      <c r="G56" s="516"/>
      <c r="H56" s="516"/>
      <c r="I56" s="516"/>
      <c r="J56" s="538"/>
      <c r="K56" s="516"/>
      <c r="L56" s="516"/>
    </row>
    <row r="57">
      <c r="A57" s="524"/>
      <c r="B57" s="539"/>
      <c r="C57" s="525"/>
      <c r="D57" s="526"/>
      <c r="E57" s="525"/>
      <c r="F57" s="525"/>
      <c r="G57" s="524"/>
      <c r="H57" s="524"/>
      <c r="I57" s="524"/>
      <c r="J57" s="527"/>
      <c r="K57" s="524"/>
      <c r="L57" s="524"/>
    </row>
    <row r="58">
      <c r="A58" s="169" t="s">
        <v>940</v>
      </c>
      <c r="B58" s="20" t="s">
        <v>55</v>
      </c>
      <c r="C58" s="119" t="s">
        <v>851</v>
      </c>
      <c r="D58" s="485"/>
      <c r="E58" s="484"/>
      <c r="F58" s="484"/>
      <c r="G58" s="574" t="s">
        <v>941</v>
      </c>
      <c r="H58" s="575" t="s">
        <v>942</v>
      </c>
      <c r="I58" s="483"/>
      <c r="J58" s="492">
        <v>45663.0</v>
      </c>
      <c r="K58" s="483"/>
      <c r="L58" s="576"/>
    </row>
    <row r="59">
      <c r="A59" s="457"/>
      <c r="B59" s="18" t="s">
        <v>73</v>
      </c>
      <c r="C59" s="119" t="s">
        <v>851</v>
      </c>
      <c r="D59" s="485"/>
      <c r="E59" s="484"/>
      <c r="F59" s="484"/>
      <c r="G59" s="574" t="s">
        <v>943</v>
      </c>
      <c r="H59" s="574" t="s">
        <v>944</v>
      </c>
      <c r="I59" s="483"/>
      <c r="J59" s="492">
        <v>45663.0</v>
      </c>
      <c r="K59" s="515"/>
      <c r="L59" s="491"/>
    </row>
    <row r="60">
      <c r="A60" s="457"/>
      <c r="B60" s="18" t="s">
        <v>91</v>
      </c>
      <c r="C60" s="119" t="s">
        <v>851</v>
      </c>
      <c r="D60" s="485"/>
      <c r="E60" s="484"/>
      <c r="F60" s="484"/>
      <c r="G60" s="574" t="s">
        <v>945</v>
      </c>
      <c r="H60" s="574" t="s">
        <v>946</v>
      </c>
      <c r="I60" s="483"/>
      <c r="J60" s="492">
        <v>45663.0</v>
      </c>
      <c r="K60" s="483"/>
      <c r="L60" s="483"/>
    </row>
    <row r="61">
      <c r="A61" s="457"/>
      <c r="B61" s="18" t="s">
        <v>109</v>
      </c>
      <c r="C61" s="119" t="s">
        <v>851</v>
      </c>
      <c r="D61" s="485"/>
      <c r="E61" s="484"/>
      <c r="F61" s="484"/>
      <c r="G61" s="574" t="s">
        <v>947</v>
      </c>
      <c r="H61" s="574" t="s">
        <v>948</v>
      </c>
      <c r="I61" s="483"/>
      <c r="J61" s="492">
        <v>45663.0</v>
      </c>
      <c r="K61" s="515"/>
      <c r="L61" s="515"/>
    </row>
    <row r="62">
      <c r="A62" s="457"/>
      <c r="B62" s="23" t="s">
        <v>127</v>
      </c>
      <c r="C62" s="119" t="s">
        <v>851</v>
      </c>
      <c r="D62" s="485"/>
      <c r="E62" s="484"/>
      <c r="F62" s="484"/>
      <c r="G62" s="574" t="s">
        <v>949</v>
      </c>
      <c r="H62" s="577" t="s">
        <v>950</v>
      </c>
      <c r="I62" s="483"/>
      <c r="J62" s="492">
        <v>45663.0</v>
      </c>
      <c r="K62" s="515"/>
      <c r="L62" s="578"/>
    </row>
    <row r="63">
      <c r="A63" s="457"/>
      <c r="B63" s="47" t="s">
        <v>144</v>
      </c>
      <c r="C63" s="119" t="s">
        <v>861</v>
      </c>
      <c r="D63" s="485"/>
      <c r="E63" s="484"/>
      <c r="F63" s="484"/>
      <c r="G63" s="579" t="s">
        <v>951</v>
      </c>
      <c r="H63" s="580" t="s">
        <v>952</v>
      </c>
      <c r="I63" s="515"/>
      <c r="J63" s="492">
        <v>45663.0</v>
      </c>
      <c r="K63" s="515"/>
      <c r="L63" s="578"/>
    </row>
    <row r="64">
      <c r="A64" s="457"/>
      <c r="B64" s="19" t="s">
        <v>157</v>
      </c>
      <c r="C64" s="119" t="s">
        <v>851</v>
      </c>
      <c r="D64" s="485"/>
      <c r="E64" s="484"/>
      <c r="F64" s="484"/>
      <c r="G64" s="581" t="s">
        <v>953</v>
      </c>
      <c r="H64" s="582" t="s">
        <v>954</v>
      </c>
      <c r="I64" s="515"/>
      <c r="J64" s="492">
        <v>45663.0</v>
      </c>
      <c r="K64" s="495"/>
      <c r="L64" s="483"/>
    </row>
    <row r="65">
      <c r="A65" s="430"/>
      <c r="B65" s="19" t="s">
        <v>955</v>
      </c>
      <c r="C65" s="119" t="s">
        <v>861</v>
      </c>
      <c r="D65" s="485"/>
      <c r="E65" s="484"/>
      <c r="F65" s="484"/>
      <c r="G65" s="41" t="s">
        <v>956</v>
      </c>
      <c r="H65" s="166" t="s">
        <v>957</v>
      </c>
      <c r="I65" s="483"/>
      <c r="J65" s="492">
        <v>45663.0</v>
      </c>
      <c r="K65" s="483"/>
      <c r="L65" s="583"/>
    </row>
    <row r="66">
      <c r="A66" s="516"/>
      <c r="B66" s="516"/>
      <c r="C66" s="537"/>
      <c r="D66" s="519"/>
      <c r="E66" s="537"/>
      <c r="F66" s="537"/>
      <c r="G66" s="516"/>
      <c r="H66" s="166"/>
      <c r="I66" s="516"/>
      <c r="J66" s="538"/>
      <c r="K66" s="516"/>
      <c r="L66" s="516"/>
    </row>
    <row r="67">
      <c r="A67" s="524"/>
      <c r="B67" s="539"/>
      <c r="C67" s="525"/>
      <c r="D67" s="526"/>
      <c r="E67" s="525"/>
      <c r="F67" s="525"/>
      <c r="G67" s="524"/>
      <c r="H67" s="524"/>
      <c r="I67" s="524"/>
      <c r="J67" s="527"/>
      <c r="K67" s="524"/>
      <c r="L67" s="524"/>
    </row>
    <row r="68">
      <c r="A68" s="169" t="s">
        <v>958</v>
      </c>
      <c r="B68" s="18" t="s">
        <v>56</v>
      </c>
      <c r="C68" s="119" t="s">
        <v>851</v>
      </c>
      <c r="D68" s="497"/>
      <c r="E68" s="486"/>
      <c r="F68" s="486"/>
      <c r="G68" s="584" t="s">
        <v>959</v>
      </c>
      <c r="H68" s="585" t="s">
        <v>960</v>
      </c>
      <c r="I68" s="483"/>
      <c r="J68" s="492">
        <v>45663.0</v>
      </c>
      <c r="K68" s="515"/>
      <c r="L68" s="491"/>
    </row>
    <row r="69">
      <c r="A69" s="457"/>
      <c r="B69" s="18" t="s">
        <v>74</v>
      </c>
      <c r="C69" s="119" t="s">
        <v>851</v>
      </c>
      <c r="D69" s="586"/>
      <c r="E69" s="486"/>
      <c r="F69" s="119"/>
      <c r="G69" s="587" t="s">
        <v>961</v>
      </c>
      <c r="H69" s="588" t="s">
        <v>962</v>
      </c>
      <c r="I69" s="483"/>
      <c r="J69" s="492">
        <v>45663.0</v>
      </c>
      <c r="K69" s="483"/>
      <c r="L69" s="483"/>
    </row>
    <row r="70">
      <c r="A70" s="457"/>
      <c r="B70" s="21" t="s">
        <v>92</v>
      </c>
      <c r="C70" s="119" t="s">
        <v>851</v>
      </c>
      <c r="D70" s="548"/>
      <c r="E70" s="484"/>
      <c r="F70" s="484"/>
      <c r="G70" s="534" t="s">
        <v>963</v>
      </c>
      <c r="H70" s="589" t="s">
        <v>964</v>
      </c>
      <c r="I70" s="499"/>
      <c r="J70" s="492">
        <v>45663.0</v>
      </c>
      <c r="K70" s="515"/>
      <c r="L70" s="576"/>
    </row>
    <row r="71">
      <c r="A71" s="457"/>
      <c r="B71" s="18" t="s">
        <v>965</v>
      </c>
      <c r="C71" s="119" t="s">
        <v>851</v>
      </c>
      <c r="D71" s="508" t="s">
        <v>966</v>
      </c>
      <c r="E71" s="486"/>
      <c r="F71" s="486"/>
      <c r="G71" s="590" t="s">
        <v>967</v>
      </c>
      <c r="H71" s="232" t="s">
        <v>968</v>
      </c>
      <c r="I71" s="483"/>
      <c r="J71" s="492">
        <v>45663.0</v>
      </c>
      <c r="K71" s="578"/>
      <c r="L71" s="491"/>
    </row>
    <row r="72">
      <c r="A72" s="457"/>
      <c r="B72" s="41" t="s">
        <v>969</v>
      </c>
      <c r="C72" s="119" t="s">
        <v>851</v>
      </c>
      <c r="D72" s="586"/>
      <c r="E72" s="591"/>
      <c r="F72" s="591"/>
      <c r="G72" s="592" t="s">
        <v>970</v>
      </c>
      <c r="H72" s="593" t="s">
        <v>971</v>
      </c>
      <c r="I72" s="594"/>
      <c r="J72" s="492">
        <v>45663.0</v>
      </c>
      <c r="K72" s="578"/>
      <c r="L72" s="578"/>
    </row>
    <row r="73">
      <c r="A73" s="457"/>
      <c r="B73" s="41" t="s">
        <v>145</v>
      </c>
      <c r="C73" s="119" t="s">
        <v>851</v>
      </c>
      <c r="D73" s="586"/>
      <c r="E73" s="591"/>
      <c r="F73" s="591"/>
      <c r="G73" s="592" t="s">
        <v>972</v>
      </c>
      <c r="H73" s="595" t="s">
        <v>973</v>
      </c>
      <c r="I73" s="594"/>
      <c r="J73" s="492">
        <v>45670.0</v>
      </c>
      <c r="K73" s="578"/>
      <c r="L73" s="596" t="s">
        <v>974</v>
      </c>
    </row>
    <row r="74">
      <c r="A74" s="457"/>
      <c r="B74" s="41" t="s">
        <v>158</v>
      </c>
      <c r="C74" s="119" t="s">
        <v>851</v>
      </c>
      <c r="D74" s="586"/>
      <c r="E74" s="591"/>
      <c r="F74" s="591"/>
      <c r="G74" s="592" t="s">
        <v>975</v>
      </c>
      <c r="H74" s="595" t="s">
        <v>976</v>
      </c>
      <c r="I74" s="594"/>
      <c r="J74" s="492">
        <v>45674.0</v>
      </c>
      <c r="K74" s="578"/>
      <c r="L74" s="597" t="s">
        <v>977</v>
      </c>
    </row>
    <row r="75">
      <c r="A75" s="430"/>
      <c r="B75" s="41" t="s">
        <v>168</v>
      </c>
      <c r="C75" s="119" t="s">
        <v>851</v>
      </c>
      <c r="D75" s="586"/>
      <c r="E75" s="591"/>
      <c r="F75" s="591"/>
      <c r="G75" s="510" t="s">
        <v>978</v>
      </c>
      <c r="H75" s="598" t="s">
        <v>979</v>
      </c>
      <c r="I75" s="594"/>
      <c r="J75" s="492">
        <v>45674.0</v>
      </c>
      <c r="K75" s="578"/>
      <c r="L75" s="578"/>
    </row>
    <row r="76">
      <c r="A76" s="516"/>
      <c r="B76" s="516"/>
      <c r="C76" s="537"/>
      <c r="D76" s="519"/>
      <c r="E76" s="537"/>
      <c r="F76" s="537"/>
      <c r="G76" s="516"/>
      <c r="H76" s="516"/>
      <c r="I76" s="516"/>
      <c r="J76" s="538"/>
      <c r="K76" s="516"/>
      <c r="L76" s="516"/>
    </row>
    <row r="77">
      <c r="A77" s="524"/>
      <c r="B77" s="524"/>
      <c r="C77" s="526"/>
      <c r="D77" s="526"/>
      <c r="E77" s="525"/>
      <c r="F77" s="525"/>
      <c r="G77" s="524"/>
      <c r="H77" s="524"/>
      <c r="I77" s="524"/>
      <c r="J77" s="527"/>
      <c r="K77" s="524"/>
      <c r="L77" s="524"/>
    </row>
    <row r="78">
      <c r="A78" s="169" t="s">
        <v>980</v>
      </c>
      <c r="B78" s="41" t="s">
        <v>383</v>
      </c>
      <c r="C78" s="119" t="s">
        <v>851</v>
      </c>
      <c r="D78" s="497"/>
      <c r="E78" s="486"/>
      <c r="F78" s="486"/>
      <c r="G78" s="503" t="s">
        <v>981</v>
      </c>
      <c r="H78" s="34" t="s">
        <v>982</v>
      </c>
      <c r="I78" s="483"/>
      <c r="J78" s="492">
        <v>45664.0</v>
      </c>
      <c r="K78" s="483"/>
      <c r="L78" s="515"/>
      <c r="M78" s="517"/>
    </row>
    <row r="79">
      <c r="A79" s="457"/>
      <c r="B79" s="41" t="s">
        <v>408</v>
      </c>
      <c r="C79" s="119" t="s">
        <v>851</v>
      </c>
      <c r="D79" s="485"/>
      <c r="E79" s="484"/>
      <c r="F79" s="484"/>
      <c r="G79" s="503" t="s">
        <v>983</v>
      </c>
      <c r="H79" s="599" t="s">
        <v>984</v>
      </c>
      <c r="I79" s="483"/>
      <c r="J79" s="492">
        <v>45664.0</v>
      </c>
      <c r="K79" s="515"/>
      <c r="L79" s="583"/>
      <c r="M79" s="517"/>
    </row>
    <row r="80">
      <c r="A80" s="457"/>
      <c r="B80" s="28" t="s">
        <v>433</v>
      </c>
      <c r="C80" s="119" t="s">
        <v>851</v>
      </c>
      <c r="D80" s="485"/>
      <c r="E80" s="484"/>
      <c r="F80" s="495"/>
      <c r="G80" s="474" t="s">
        <v>985</v>
      </c>
      <c r="H80" s="439" t="s">
        <v>986</v>
      </c>
      <c r="I80" s="515"/>
      <c r="J80" s="492">
        <v>45664.0</v>
      </c>
      <c r="K80" s="483"/>
      <c r="L80" s="515"/>
      <c r="M80" s="517"/>
    </row>
    <row r="81">
      <c r="A81" s="457"/>
      <c r="B81" s="25" t="s">
        <v>987</v>
      </c>
      <c r="C81" s="119" t="s">
        <v>851</v>
      </c>
      <c r="D81" s="515" t="s">
        <v>988</v>
      </c>
      <c r="E81" s="484"/>
      <c r="F81" s="484"/>
      <c r="G81" s="369" t="s">
        <v>989</v>
      </c>
      <c r="H81" s="599" t="s">
        <v>990</v>
      </c>
      <c r="I81" s="515"/>
      <c r="J81" s="492">
        <v>45664.0</v>
      </c>
      <c r="K81" s="483"/>
      <c r="L81" s="515"/>
      <c r="M81" s="517"/>
    </row>
    <row r="82">
      <c r="A82" s="457"/>
      <c r="B82" s="25" t="s">
        <v>483</v>
      </c>
      <c r="C82" s="119" t="s">
        <v>851</v>
      </c>
      <c r="D82" s="485"/>
      <c r="E82" s="484"/>
      <c r="F82" s="484"/>
      <c r="G82" s="41" t="s">
        <v>991</v>
      </c>
      <c r="H82" s="22" t="s">
        <v>992</v>
      </c>
      <c r="I82" s="515"/>
      <c r="J82" s="492">
        <v>45664.0</v>
      </c>
      <c r="K82" s="515"/>
      <c r="L82" s="583"/>
      <c r="M82" s="600"/>
    </row>
    <row r="83">
      <c r="A83" s="457"/>
      <c r="B83" s="25" t="s">
        <v>508</v>
      </c>
      <c r="C83" s="119" t="s">
        <v>851</v>
      </c>
      <c r="D83" s="485"/>
      <c r="E83" s="484"/>
      <c r="F83" s="484"/>
      <c r="G83" s="510" t="s">
        <v>993</v>
      </c>
      <c r="H83" s="510" t="s">
        <v>994</v>
      </c>
      <c r="I83" s="515"/>
      <c r="J83" s="492">
        <v>45664.0</v>
      </c>
      <c r="K83" s="515"/>
      <c r="L83" s="515"/>
      <c r="M83" s="600"/>
    </row>
    <row r="84">
      <c r="A84" s="457"/>
      <c r="B84" s="25" t="s">
        <v>532</v>
      </c>
      <c r="C84" s="119" t="s">
        <v>851</v>
      </c>
      <c r="D84" s="485"/>
      <c r="E84" s="484"/>
      <c r="F84" s="484"/>
      <c r="G84" s="510" t="s">
        <v>995</v>
      </c>
      <c r="H84" s="601" t="s">
        <v>996</v>
      </c>
      <c r="I84" s="515"/>
      <c r="J84" s="492">
        <v>45664.0</v>
      </c>
      <c r="K84" s="515" t="s">
        <v>997</v>
      </c>
      <c r="L84" s="583"/>
      <c r="M84" s="54"/>
    </row>
    <row r="85">
      <c r="A85" s="430"/>
      <c r="B85" s="25" t="s">
        <v>998</v>
      </c>
      <c r="C85" s="119" t="s">
        <v>861</v>
      </c>
      <c r="D85" s="485"/>
      <c r="E85" s="484"/>
      <c r="F85" s="484"/>
      <c r="G85" s="510" t="s">
        <v>999</v>
      </c>
      <c r="H85" s="510" t="s">
        <v>1000</v>
      </c>
      <c r="I85" s="515"/>
      <c r="J85" s="492">
        <v>45701.0</v>
      </c>
      <c r="K85" s="515"/>
      <c r="L85" s="602" t="s">
        <v>974</v>
      </c>
      <c r="M85" s="600"/>
    </row>
    <row r="86">
      <c r="A86" s="516"/>
      <c r="B86" s="516"/>
      <c r="C86" s="522"/>
      <c r="D86" s="516"/>
      <c r="E86" s="522"/>
      <c r="F86" s="522"/>
      <c r="G86" s="516"/>
      <c r="H86" s="516"/>
      <c r="I86" s="516"/>
      <c r="J86" s="538"/>
      <c r="K86" s="155"/>
      <c r="L86" s="516"/>
    </row>
    <row r="87">
      <c r="A87" s="524"/>
      <c r="B87" s="539"/>
      <c r="C87" s="525"/>
      <c r="D87" s="526"/>
      <c r="E87" s="525"/>
      <c r="F87" s="525"/>
      <c r="G87" s="524"/>
      <c r="H87" s="524"/>
      <c r="I87" s="524"/>
      <c r="J87" s="527"/>
      <c r="K87" s="524"/>
      <c r="L87" s="524"/>
    </row>
    <row r="88">
      <c r="A88" s="169" t="s">
        <v>1001</v>
      </c>
      <c r="B88" s="18" t="s">
        <v>384</v>
      </c>
      <c r="C88" s="119" t="s">
        <v>851</v>
      </c>
      <c r="D88" s="485"/>
      <c r="E88" s="484"/>
      <c r="F88" s="484"/>
      <c r="G88" s="439" t="s">
        <v>1002</v>
      </c>
      <c r="H88" s="442" t="s">
        <v>1003</v>
      </c>
      <c r="I88" s="483"/>
      <c r="J88" s="492">
        <v>45664.0</v>
      </c>
      <c r="K88" s="578"/>
      <c r="L88" s="578"/>
    </row>
    <row r="89">
      <c r="A89" s="457"/>
      <c r="B89" s="18" t="s">
        <v>409</v>
      </c>
      <c r="C89" s="119" t="s">
        <v>851</v>
      </c>
      <c r="D89" s="485"/>
      <c r="E89" s="484"/>
      <c r="F89" s="484"/>
      <c r="G89" s="439" t="s">
        <v>1004</v>
      </c>
      <c r="H89" s="439" t="s">
        <v>1005</v>
      </c>
      <c r="I89" s="483"/>
      <c r="J89" s="492">
        <v>45664.0</v>
      </c>
      <c r="K89" s="578"/>
      <c r="L89" s="578"/>
    </row>
    <row r="90">
      <c r="A90" s="457"/>
      <c r="B90" s="18" t="s">
        <v>434</v>
      </c>
      <c r="C90" s="119" t="s">
        <v>851</v>
      </c>
      <c r="D90" s="485"/>
      <c r="E90" s="484"/>
      <c r="F90" s="484"/>
      <c r="G90" s="439" t="s">
        <v>1006</v>
      </c>
      <c r="H90" s="440" t="s">
        <v>1007</v>
      </c>
      <c r="I90" s="483"/>
      <c r="J90" s="492">
        <v>45664.0</v>
      </c>
      <c r="K90" s="578"/>
      <c r="L90" s="578"/>
    </row>
    <row r="91">
      <c r="A91" s="457"/>
      <c r="B91" s="18" t="s">
        <v>459</v>
      </c>
      <c r="C91" s="119" t="s">
        <v>861</v>
      </c>
      <c r="D91" s="485"/>
      <c r="E91" s="484"/>
      <c r="F91" s="484"/>
      <c r="G91" s="603" t="s">
        <v>1008</v>
      </c>
      <c r="H91" s="604" t="s">
        <v>1009</v>
      </c>
      <c r="I91" s="483"/>
      <c r="J91" s="492">
        <v>45664.0</v>
      </c>
      <c r="K91" s="578"/>
      <c r="L91" s="578"/>
    </row>
    <row r="92">
      <c r="A92" s="457"/>
      <c r="B92" s="18" t="s">
        <v>484</v>
      </c>
      <c r="C92" s="119" t="s">
        <v>851</v>
      </c>
      <c r="D92" s="485"/>
      <c r="E92" s="484"/>
      <c r="F92" s="484"/>
      <c r="G92" s="439" t="s">
        <v>1010</v>
      </c>
      <c r="H92" s="439" t="s">
        <v>1011</v>
      </c>
      <c r="I92" s="515"/>
      <c r="J92" s="492">
        <v>45664.0</v>
      </c>
      <c r="K92" s="578"/>
      <c r="L92" s="578"/>
    </row>
    <row r="93" ht="14.25" customHeight="1">
      <c r="A93" s="457"/>
      <c r="B93" s="130" t="s">
        <v>509</v>
      </c>
      <c r="C93" s="119" t="s">
        <v>861</v>
      </c>
      <c r="D93" s="562"/>
      <c r="E93" s="563"/>
      <c r="F93" s="563"/>
      <c r="G93" s="605" t="s">
        <v>1012</v>
      </c>
      <c r="H93" s="605" t="s">
        <v>1013</v>
      </c>
      <c r="I93" s="483"/>
      <c r="J93" s="492">
        <v>45664.0</v>
      </c>
      <c r="K93" s="578"/>
      <c r="L93" s="578"/>
    </row>
    <row r="94">
      <c r="A94" s="457"/>
      <c r="B94" s="130" t="s">
        <v>1014</v>
      </c>
      <c r="C94" s="119" t="s">
        <v>851</v>
      </c>
      <c r="D94" s="562"/>
      <c r="E94" s="563"/>
      <c r="F94" s="563"/>
      <c r="G94" s="605" t="s">
        <v>1015</v>
      </c>
      <c r="H94" s="605" t="s">
        <v>1016</v>
      </c>
      <c r="I94" s="483"/>
      <c r="J94" s="492">
        <v>45664.0</v>
      </c>
      <c r="K94" s="578"/>
      <c r="L94" s="578"/>
    </row>
    <row r="95">
      <c r="A95" s="430"/>
      <c r="B95" s="130" t="s">
        <v>557</v>
      </c>
      <c r="C95" s="119" t="s">
        <v>851</v>
      </c>
      <c r="D95" s="562"/>
      <c r="E95" s="563"/>
      <c r="F95" s="563"/>
      <c r="G95" s="130" t="s">
        <v>1017</v>
      </c>
      <c r="H95" s="605" t="s">
        <v>1018</v>
      </c>
      <c r="I95" s="483"/>
      <c r="J95" s="492">
        <v>45664.0</v>
      </c>
      <c r="K95" s="578"/>
      <c r="L95" s="578"/>
    </row>
    <row r="96">
      <c r="A96" s="516"/>
      <c r="B96" s="606"/>
      <c r="C96" s="537"/>
      <c r="D96" s="519"/>
      <c r="E96" s="537"/>
      <c r="F96" s="537"/>
      <c r="G96" s="516"/>
      <c r="H96" s="516"/>
      <c r="I96" s="516"/>
      <c r="J96" s="538"/>
      <c r="K96" s="516"/>
      <c r="L96" s="516"/>
    </row>
    <row r="97">
      <c r="A97" s="516"/>
      <c r="B97" s="606"/>
      <c r="C97" s="537"/>
      <c r="D97" s="519"/>
      <c r="E97" s="537"/>
      <c r="F97" s="537"/>
      <c r="G97" s="516"/>
      <c r="H97" s="516"/>
      <c r="I97" s="516"/>
      <c r="J97" s="538"/>
      <c r="K97" s="516"/>
      <c r="L97" s="516"/>
    </row>
    <row r="98">
      <c r="A98" s="607" t="s">
        <v>1019</v>
      </c>
      <c r="B98" s="18" t="s">
        <v>385</v>
      </c>
      <c r="C98" s="41" t="s">
        <v>851</v>
      </c>
      <c r="D98" s="548"/>
      <c r="E98" s="549"/>
      <c r="F98" s="608"/>
      <c r="G98" s="552" t="s">
        <v>1020</v>
      </c>
      <c r="H98" s="552" t="s">
        <v>1021</v>
      </c>
      <c r="I98" s="578"/>
      <c r="J98" s="609">
        <v>45715.0</v>
      </c>
      <c r="K98" s="578"/>
      <c r="L98" s="610"/>
    </row>
    <row r="99">
      <c r="A99" s="457"/>
      <c r="B99" s="18" t="s">
        <v>410</v>
      </c>
      <c r="C99" s="41" t="s">
        <v>851</v>
      </c>
      <c r="D99" s="548"/>
      <c r="E99" s="549"/>
      <c r="F99" s="549"/>
      <c r="G99" s="530" t="s">
        <v>1022</v>
      </c>
      <c r="H99" s="611" t="s">
        <v>1023</v>
      </c>
      <c r="I99" s="483"/>
      <c r="J99" s="609">
        <v>45715.0</v>
      </c>
      <c r="K99" s="483"/>
      <c r="L99" s="583"/>
    </row>
    <row r="100">
      <c r="A100" s="457"/>
      <c r="B100" s="28" t="s">
        <v>435</v>
      </c>
      <c r="C100" s="41" t="s">
        <v>851</v>
      </c>
      <c r="D100" s="548"/>
      <c r="E100" s="549"/>
      <c r="F100" s="549"/>
      <c r="G100" s="530" t="s">
        <v>1024</v>
      </c>
      <c r="H100" s="611" t="s">
        <v>1025</v>
      </c>
      <c r="I100" s="578"/>
      <c r="J100" s="609">
        <v>45715.0</v>
      </c>
      <c r="K100" s="578"/>
      <c r="L100" s="578"/>
    </row>
    <row r="101">
      <c r="A101" s="457"/>
      <c r="B101" s="28" t="s">
        <v>460</v>
      </c>
      <c r="C101" s="41" t="s">
        <v>851</v>
      </c>
      <c r="D101" s="548"/>
      <c r="E101" s="549"/>
      <c r="F101" s="549"/>
      <c r="G101" s="612" t="s">
        <v>1026</v>
      </c>
      <c r="H101" s="613" t="s">
        <v>1027</v>
      </c>
      <c r="I101" s="578"/>
      <c r="J101" s="609">
        <v>45715.0</v>
      </c>
      <c r="K101" s="578"/>
      <c r="L101" s="578"/>
    </row>
    <row r="102">
      <c r="A102" s="457"/>
      <c r="B102" s="28" t="s">
        <v>485</v>
      </c>
      <c r="C102" s="614"/>
      <c r="D102" s="548"/>
      <c r="E102" s="549"/>
      <c r="F102" s="549"/>
      <c r="G102" s="513" t="s">
        <v>1028</v>
      </c>
      <c r="H102" s="514" t="s">
        <v>1029</v>
      </c>
      <c r="I102" s="578"/>
      <c r="J102" s="609">
        <v>45715.0</v>
      </c>
      <c r="K102" s="578"/>
      <c r="L102" s="578"/>
    </row>
    <row r="103">
      <c r="A103" s="457"/>
      <c r="B103" s="312" t="s">
        <v>510</v>
      </c>
      <c r="C103" s="41" t="s">
        <v>851</v>
      </c>
      <c r="D103" s="501"/>
      <c r="E103" s="502"/>
      <c r="F103" s="502"/>
      <c r="G103" s="503" t="s">
        <v>1030</v>
      </c>
      <c r="H103" s="504" t="s">
        <v>1031</v>
      </c>
      <c r="I103" s="499"/>
      <c r="J103" s="609">
        <v>45715.0</v>
      </c>
      <c r="K103" s="578"/>
      <c r="L103" s="578"/>
    </row>
    <row r="104">
      <c r="A104" s="457"/>
      <c r="B104" s="18" t="s">
        <v>534</v>
      </c>
      <c r="C104" s="119" t="s">
        <v>861</v>
      </c>
      <c r="D104" s="548"/>
      <c r="E104" s="549"/>
      <c r="F104" s="549"/>
      <c r="G104" s="615" t="s">
        <v>1032</v>
      </c>
      <c r="H104" s="615" t="s">
        <v>1033</v>
      </c>
      <c r="I104" s="578"/>
      <c r="J104" s="609">
        <v>45715.0</v>
      </c>
      <c r="K104" s="578"/>
      <c r="L104" s="602" t="s">
        <v>1034</v>
      </c>
    </row>
    <row r="105">
      <c r="A105" s="430"/>
      <c r="B105" s="18" t="s">
        <v>1035</v>
      </c>
      <c r="C105" s="548"/>
      <c r="D105" s="548"/>
      <c r="E105" s="549"/>
      <c r="F105" s="549"/>
      <c r="G105" s="557" t="s">
        <v>1036</v>
      </c>
      <c r="H105" s="557" t="s">
        <v>1037</v>
      </c>
      <c r="I105" s="578"/>
      <c r="J105" s="609">
        <v>45715.0</v>
      </c>
      <c r="K105" s="578"/>
      <c r="L105" s="597" t="s">
        <v>1038</v>
      </c>
    </row>
    <row r="106">
      <c r="A106" s="516"/>
      <c r="B106" s="516"/>
      <c r="C106" s="537"/>
      <c r="D106" s="519"/>
      <c r="E106" s="537"/>
      <c r="F106" s="537"/>
      <c r="G106" s="516"/>
      <c r="H106" s="516"/>
      <c r="I106" s="516"/>
      <c r="J106" s="538"/>
      <c r="K106" s="516"/>
      <c r="L106" s="516"/>
    </row>
    <row r="107">
      <c r="A107" s="524"/>
      <c r="B107" s="539"/>
      <c r="C107" s="525"/>
      <c r="D107" s="526"/>
      <c r="E107" s="525"/>
      <c r="F107" s="525"/>
      <c r="G107" s="524"/>
      <c r="H107" s="524"/>
      <c r="I107" s="524"/>
      <c r="J107" s="527"/>
      <c r="K107" s="616"/>
      <c r="L107" s="524"/>
    </row>
    <row r="108">
      <c r="A108" s="169" t="s">
        <v>1039</v>
      </c>
      <c r="B108" s="27" t="s">
        <v>231</v>
      </c>
      <c r="C108" s="119" t="s">
        <v>861</v>
      </c>
      <c r="D108" s="485"/>
      <c r="E108" s="484"/>
      <c r="F108" s="484"/>
      <c r="G108" s="530" t="s">
        <v>1040</v>
      </c>
      <c r="H108" s="617" t="s">
        <v>1041</v>
      </c>
      <c r="I108" s="483"/>
      <c r="J108" s="618">
        <v>45691.0</v>
      </c>
      <c r="K108" s="619"/>
      <c r="L108" s="491"/>
    </row>
    <row r="109">
      <c r="A109" s="457"/>
      <c r="B109" s="19" t="s">
        <v>241</v>
      </c>
      <c r="C109" s="119" t="s">
        <v>851</v>
      </c>
      <c r="D109" s="483"/>
      <c r="E109" s="509"/>
      <c r="F109" s="509"/>
      <c r="G109" s="552" t="s">
        <v>1042</v>
      </c>
      <c r="H109" s="531" t="s">
        <v>1043</v>
      </c>
      <c r="I109" s="483"/>
      <c r="J109" s="618">
        <v>45691.0</v>
      </c>
      <c r="K109" s="620"/>
      <c r="L109" s="491"/>
    </row>
    <row r="110">
      <c r="A110" s="457"/>
      <c r="B110" s="165" t="s">
        <v>251</v>
      </c>
      <c r="C110" s="119" t="s">
        <v>851</v>
      </c>
      <c r="D110" s="485"/>
      <c r="E110" s="484"/>
      <c r="F110" s="484"/>
      <c r="G110" s="474" t="s">
        <v>1044</v>
      </c>
      <c r="H110" s="260" t="s">
        <v>1045</v>
      </c>
      <c r="I110" s="499"/>
      <c r="J110" s="618">
        <v>45691.0</v>
      </c>
      <c r="K110" s="621"/>
      <c r="L110" s="491"/>
    </row>
    <row r="111">
      <c r="A111" s="457"/>
      <c r="B111" s="167" t="s">
        <v>261</v>
      </c>
      <c r="C111" s="119" t="s">
        <v>851</v>
      </c>
      <c r="D111" s="485"/>
      <c r="E111" s="484"/>
      <c r="F111" s="484"/>
      <c r="G111" s="530" t="s">
        <v>1046</v>
      </c>
      <c r="H111" s="622" t="s">
        <v>1047</v>
      </c>
      <c r="I111" s="499"/>
      <c r="J111" s="618">
        <v>45691.0</v>
      </c>
      <c r="K111" s="509"/>
      <c r="L111" s="583"/>
    </row>
    <row r="112">
      <c r="A112" s="457"/>
      <c r="B112" s="167" t="s">
        <v>271</v>
      </c>
      <c r="C112" s="119" t="s">
        <v>861</v>
      </c>
      <c r="D112" s="485"/>
      <c r="E112" s="484"/>
      <c r="F112" s="484"/>
      <c r="G112" s="530" t="s">
        <v>1048</v>
      </c>
      <c r="H112" s="622" t="s">
        <v>1049</v>
      </c>
      <c r="I112" s="499"/>
      <c r="J112" s="618">
        <v>45691.0</v>
      </c>
      <c r="K112" s="509"/>
      <c r="L112" s="583"/>
    </row>
    <row r="113">
      <c r="A113" s="457"/>
      <c r="B113" s="156" t="s">
        <v>281</v>
      </c>
      <c r="C113" s="119" t="s">
        <v>851</v>
      </c>
      <c r="D113" s="485"/>
      <c r="E113" s="484"/>
      <c r="F113" s="484"/>
      <c r="G113" s="552" t="s">
        <v>1050</v>
      </c>
      <c r="H113" s="531" t="s">
        <v>1051</v>
      </c>
      <c r="I113" s="483"/>
      <c r="J113" s="618">
        <v>45691.0</v>
      </c>
      <c r="K113" s="509"/>
      <c r="L113" s="583"/>
    </row>
    <row r="114">
      <c r="A114" s="457"/>
      <c r="B114" s="156" t="s">
        <v>290</v>
      </c>
      <c r="C114" s="119" t="s">
        <v>851</v>
      </c>
      <c r="D114" s="485"/>
      <c r="E114" s="484"/>
      <c r="F114" s="484"/>
      <c r="G114" s="552" t="s">
        <v>1052</v>
      </c>
      <c r="H114" s="531" t="s">
        <v>1053</v>
      </c>
      <c r="I114" s="483"/>
      <c r="J114" s="618">
        <v>45691.0</v>
      </c>
      <c r="K114" s="509"/>
      <c r="L114" s="583"/>
    </row>
    <row r="115">
      <c r="A115" s="430"/>
      <c r="B115" s="156" t="s">
        <v>1054</v>
      </c>
      <c r="C115" s="119" t="s">
        <v>861</v>
      </c>
      <c r="D115" s="485"/>
      <c r="E115" s="484"/>
      <c r="F115" s="484"/>
      <c r="G115" s="552" t="s">
        <v>1055</v>
      </c>
      <c r="H115" s="531" t="s">
        <v>1056</v>
      </c>
      <c r="I115" s="483"/>
      <c r="J115" s="492">
        <v>45705.0</v>
      </c>
      <c r="K115" s="495"/>
      <c r="L115" s="623" t="s">
        <v>1057</v>
      </c>
    </row>
    <row r="116">
      <c r="A116" s="516"/>
      <c r="B116" s="516"/>
      <c r="C116" s="537"/>
      <c r="D116" s="519"/>
      <c r="E116" s="537"/>
      <c r="F116" s="537"/>
      <c r="G116" s="516"/>
      <c r="H116" s="516"/>
      <c r="I116" s="516"/>
      <c r="J116" s="538"/>
      <c r="K116" s="522"/>
      <c r="L116" s="516"/>
    </row>
    <row r="117">
      <c r="A117" s="524"/>
      <c r="B117" s="539"/>
      <c r="C117" s="525"/>
      <c r="D117" s="526"/>
      <c r="E117" s="525"/>
      <c r="F117" s="525"/>
      <c r="G117" s="524"/>
      <c r="H117" s="524"/>
      <c r="I117" s="524"/>
      <c r="J117" s="527"/>
      <c r="K117" s="524"/>
      <c r="L117" s="524"/>
    </row>
    <row r="118">
      <c r="A118" s="169" t="s">
        <v>1058</v>
      </c>
      <c r="B118" s="18" t="s">
        <v>392</v>
      </c>
      <c r="C118" s="119"/>
      <c r="D118" s="485"/>
      <c r="E118" s="484"/>
      <c r="F118" s="484"/>
      <c r="G118" s="552" t="s">
        <v>1059</v>
      </c>
      <c r="H118" s="531" t="s">
        <v>1060</v>
      </c>
      <c r="I118" s="483"/>
      <c r="J118" s="618">
        <v>45720.0</v>
      </c>
      <c r="K118" s="483"/>
      <c r="L118" s="483"/>
    </row>
    <row r="119">
      <c r="A119" s="457"/>
      <c r="B119" s="18" t="s">
        <v>417</v>
      </c>
      <c r="C119" s="119"/>
      <c r="D119" s="485"/>
      <c r="E119" s="484"/>
      <c r="F119" s="484"/>
      <c r="G119" s="530" t="s">
        <v>1061</v>
      </c>
      <c r="H119" s="617" t="s">
        <v>1062</v>
      </c>
      <c r="I119" s="483"/>
      <c r="J119" s="618">
        <v>45720.0</v>
      </c>
      <c r="K119" s="483"/>
      <c r="L119" s="483"/>
    </row>
    <row r="120">
      <c r="A120" s="457"/>
      <c r="B120" s="18" t="s">
        <v>442</v>
      </c>
      <c r="C120" s="119"/>
      <c r="D120" s="485"/>
      <c r="E120" s="484"/>
      <c r="F120" s="484"/>
      <c r="G120" s="530" t="s">
        <v>1063</v>
      </c>
      <c r="H120" s="617" t="s">
        <v>1064</v>
      </c>
      <c r="I120" s="494"/>
      <c r="J120" s="618">
        <v>45720.0</v>
      </c>
      <c r="K120" s="483"/>
      <c r="L120" s="508"/>
    </row>
    <row r="121">
      <c r="A121" s="457"/>
      <c r="B121" s="23" t="s">
        <v>467</v>
      </c>
      <c r="C121" s="41"/>
      <c r="D121" s="548"/>
      <c r="E121" s="549"/>
      <c r="F121" s="549"/>
      <c r="G121" s="474" t="s">
        <v>1065</v>
      </c>
      <c r="H121" s="22" t="s">
        <v>1066</v>
      </c>
      <c r="I121" s="578"/>
      <c r="J121" s="618">
        <v>45720.0</v>
      </c>
      <c r="K121" s="41"/>
      <c r="L121" s="508"/>
    </row>
    <row r="122">
      <c r="A122" s="457"/>
      <c r="B122" s="248" t="s">
        <v>492</v>
      </c>
      <c r="C122" s="119"/>
      <c r="D122" s="485"/>
      <c r="E122" s="484"/>
      <c r="F122" s="484"/>
      <c r="G122" s="615" t="s">
        <v>1067</v>
      </c>
      <c r="H122" s="624" t="s">
        <v>1068</v>
      </c>
      <c r="I122" s="494"/>
      <c r="J122" s="618">
        <v>45720.0</v>
      </c>
      <c r="K122" s="483"/>
      <c r="L122" s="515"/>
    </row>
    <row r="123">
      <c r="A123" s="457"/>
      <c r="B123" s="23" t="s">
        <v>517</v>
      </c>
      <c r="C123" s="119"/>
      <c r="D123" s="485"/>
      <c r="E123" s="484"/>
      <c r="F123" s="484"/>
      <c r="G123" s="625" t="s">
        <v>1069</v>
      </c>
      <c r="H123" s="626" t="s">
        <v>1070</v>
      </c>
      <c r="I123" s="483"/>
      <c r="J123" s="618">
        <v>45720.0</v>
      </c>
      <c r="K123" s="119"/>
      <c r="L123" s="508"/>
    </row>
    <row r="124">
      <c r="A124" s="457"/>
      <c r="B124" s="19" t="s">
        <v>541</v>
      </c>
      <c r="C124" s="119"/>
      <c r="D124" s="485"/>
      <c r="E124" s="484"/>
      <c r="F124" s="484"/>
      <c r="G124" s="627" t="s">
        <v>1071</v>
      </c>
      <c r="H124" s="628" t="s">
        <v>1072</v>
      </c>
      <c r="I124" s="483"/>
      <c r="J124" s="618">
        <v>45720.0</v>
      </c>
      <c r="K124" s="119"/>
      <c r="L124" s="508"/>
    </row>
    <row r="125">
      <c r="A125" s="430"/>
      <c r="B125" s="23" t="s">
        <v>565</v>
      </c>
      <c r="C125" s="41"/>
      <c r="D125" s="548"/>
      <c r="E125" s="549"/>
      <c r="F125" s="549"/>
      <c r="G125" s="474" t="s">
        <v>1073</v>
      </c>
      <c r="H125" s="22"/>
      <c r="I125" s="578"/>
      <c r="J125" s="618"/>
      <c r="K125" s="41"/>
      <c r="L125" s="508"/>
    </row>
    <row r="126" hidden="1">
      <c r="A126" s="21"/>
      <c r="B126" s="18"/>
      <c r="C126" s="41"/>
      <c r="D126" s="548"/>
      <c r="E126" s="549"/>
      <c r="F126" s="549"/>
      <c r="G126" s="439"/>
      <c r="H126" s="233"/>
      <c r="I126" s="578"/>
      <c r="J126" s="629"/>
      <c r="K126" s="41"/>
      <c r="L126" s="539"/>
    </row>
    <row r="127">
      <c r="A127" s="524"/>
      <c r="B127" s="155"/>
      <c r="C127" s="525"/>
      <c r="D127" s="526"/>
      <c r="E127" s="525"/>
      <c r="F127" s="525"/>
      <c r="G127" s="524"/>
      <c r="H127" s="524"/>
      <c r="I127" s="524"/>
      <c r="J127" s="527"/>
      <c r="K127" s="524"/>
      <c r="L127" s="539"/>
    </row>
    <row r="128">
      <c r="A128" s="169"/>
      <c r="B128" s="18"/>
      <c r="C128" s="119"/>
      <c r="D128" s="485"/>
      <c r="E128" s="484"/>
      <c r="F128" s="484"/>
      <c r="G128" s="534"/>
      <c r="H128" s="630"/>
      <c r="I128" s="483"/>
      <c r="J128" s="618"/>
      <c r="K128" s="483"/>
      <c r="L128" s="483"/>
    </row>
    <row r="129">
      <c r="A129" s="457"/>
      <c r="B129" s="18"/>
      <c r="C129" s="119"/>
      <c r="D129" s="485"/>
      <c r="E129" s="484"/>
      <c r="F129" s="484"/>
      <c r="G129" s="534"/>
      <c r="H129" s="630"/>
      <c r="I129" s="483"/>
      <c r="J129" s="618"/>
      <c r="K129" s="483"/>
      <c r="L129" s="483"/>
    </row>
    <row r="130">
      <c r="A130" s="457"/>
      <c r="B130" s="18"/>
      <c r="C130" s="119"/>
      <c r="D130" s="485"/>
      <c r="E130" s="484"/>
      <c r="F130" s="484"/>
      <c r="G130" s="534"/>
      <c r="H130" s="630"/>
      <c r="I130" s="483"/>
      <c r="J130" s="618"/>
      <c r="K130" s="483"/>
      <c r="L130" s="515"/>
    </row>
    <row r="131">
      <c r="A131" s="457"/>
      <c r="B131" s="18"/>
      <c r="C131" s="119"/>
      <c r="D131" s="485"/>
      <c r="E131" s="484"/>
      <c r="F131" s="484"/>
      <c r="G131" s="534"/>
      <c r="H131" s="630"/>
      <c r="I131" s="483"/>
      <c r="J131" s="618"/>
      <c r="K131" s="483"/>
      <c r="L131" s="483"/>
    </row>
    <row r="132">
      <c r="A132" s="457"/>
      <c r="B132" s="23"/>
      <c r="C132" s="495"/>
      <c r="D132" s="485"/>
      <c r="E132" s="484"/>
      <c r="F132" s="484"/>
      <c r="G132" s="530"/>
      <c r="H132" s="617"/>
      <c r="I132" s="494"/>
      <c r="J132" s="609"/>
      <c r="K132" s="483"/>
      <c r="L132" s="583"/>
    </row>
    <row r="133">
      <c r="A133" s="457"/>
      <c r="B133" s="23"/>
      <c r="C133" s="495"/>
      <c r="D133" s="485"/>
      <c r="E133" s="484"/>
      <c r="F133" s="484"/>
      <c r="G133" s="631"/>
      <c r="H133" s="531"/>
      <c r="I133" s="494"/>
      <c r="J133" s="609"/>
      <c r="K133" s="483"/>
      <c r="L133" s="583"/>
    </row>
    <row r="134">
      <c r="A134" s="457"/>
      <c r="B134" s="23"/>
      <c r="C134" s="495"/>
      <c r="D134" s="485"/>
      <c r="E134" s="484"/>
      <c r="F134" s="484"/>
      <c r="G134" s="530"/>
      <c r="H134" s="531"/>
      <c r="I134" s="494"/>
      <c r="J134" s="609"/>
      <c r="K134" s="483"/>
      <c r="L134" s="583"/>
    </row>
    <row r="135">
      <c r="A135" s="430"/>
      <c r="B135" s="18"/>
      <c r="C135" s="41"/>
      <c r="D135" s="548"/>
      <c r="E135" s="549"/>
      <c r="F135" s="549"/>
      <c r="G135" s="534"/>
      <c r="H135" s="632"/>
      <c r="I135" s="578"/>
      <c r="J135" s="633"/>
      <c r="K135" s="578"/>
      <c r="L135" s="583"/>
    </row>
    <row r="136">
      <c r="A136" s="524"/>
      <c r="B136" s="524"/>
      <c r="C136" s="525"/>
      <c r="D136" s="526"/>
      <c r="E136" s="525"/>
      <c r="F136" s="525"/>
      <c r="G136" s="524"/>
      <c r="H136" s="524"/>
      <c r="I136" s="524"/>
      <c r="J136" s="527"/>
      <c r="K136" s="524"/>
      <c r="L136" s="524"/>
    </row>
    <row r="137">
      <c r="A137" s="169"/>
      <c r="B137" s="19"/>
      <c r="C137" s="236"/>
      <c r="D137" s="485"/>
      <c r="E137" s="484"/>
      <c r="F137" s="484"/>
      <c r="G137" s="534"/>
      <c r="H137" s="589"/>
      <c r="I137" s="578"/>
      <c r="J137" s="634"/>
      <c r="K137" s="483"/>
      <c r="L137" s="583"/>
    </row>
    <row r="138">
      <c r="A138" s="457"/>
      <c r="B138" s="25"/>
      <c r="C138" s="236"/>
      <c r="D138" s="485"/>
      <c r="E138" s="484"/>
      <c r="F138" s="484"/>
      <c r="G138" s="589"/>
      <c r="H138" s="589"/>
      <c r="I138" s="578"/>
      <c r="J138" s="634"/>
      <c r="K138" s="483"/>
      <c r="L138" s="583"/>
    </row>
    <row r="139">
      <c r="A139" s="457"/>
      <c r="B139" s="25"/>
      <c r="C139" s="236"/>
      <c r="D139" s="485"/>
      <c r="E139" s="484"/>
      <c r="F139" s="484"/>
      <c r="G139" s="534"/>
      <c r="H139" s="635"/>
      <c r="I139" s="578"/>
      <c r="J139" s="634"/>
      <c r="K139" s="483"/>
      <c r="L139" s="583"/>
    </row>
    <row r="140">
      <c r="A140" s="457"/>
      <c r="B140" s="25"/>
      <c r="C140" s="166"/>
      <c r="D140" s="485"/>
      <c r="E140" s="484"/>
      <c r="F140" s="484"/>
      <c r="G140" s="534"/>
      <c r="H140" s="635"/>
      <c r="I140" s="578"/>
      <c r="J140" s="634"/>
      <c r="K140" s="483"/>
      <c r="L140" s="583"/>
    </row>
    <row r="141">
      <c r="A141" s="457"/>
      <c r="B141" s="18"/>
      <c r="C141" s="495"/>
      <c r="D141" s="485"/>
      <c r="E141" s="484"/>
      <c r="F141" s="484"/>
      <c r="G141" s="632"/>
      <c r="H141" s="636"/>
      <c r="I141" s="515"/>
      <c r="J141" s="492"/>
      <c r="K141" s="483"/>
      <c r="L141" s="583"/>
    </row>
    <row r="142">
      <c r="A142" s="457"/>
      <c r="B142" s="18"/>
      <c r="C142" s="236"/>
      <c r="D142" s="485"/>
      <c r="E142" s="484"/>
      <c r="F142" s="484"/>
      <c r="G142" s="534"/>
      <c r="H142" s="637"/>
      <c r="I142" s="515"/>
      <c r="J142" s="638"/>
      <c r="K142" s="483"/>
      <c r="L142" s="583"/>
    </row>
    <row r="143">
      <c r="A143" s="457"/>
      <c r="B143" s="41"/>
      <c r="C143" s="236"/>
      <c r="D143" s="485"/>
      <c r="E143" s="617"/>
      <c r="F143" s="484"/>
      <c r="G143" s="530"/>
      <c r="H143" s="617"/>
      <c r="I143" s="495"/>
      <c r="J143" s="638"/>
      <c r="K143" s="483"/>
      <c r="L143" s="639"/>
    </row>
    <row r="144">
      <c r="A144" s="430"/>
      <c r="B144" s="41"/>
      <c r="C144" s="236"/>
      <c r="D144" s="548"/>
      <c r="E144" s="640"/>
      <c r="F144" s="549"/>
      <c r="G144" s="608"/>
      <c r="H144" s="608"/>
      <c r="I144" s="641"/>
      <c r="J144" s="633"/>
      <c r="K144" s="578"/>
      <c r="L144" s="583"/>
    </row>
    <row r="145">
      <c r="A145" s="516"/>
      <c r="B145" s="516"/>
      <c r="C145" s="537"/>
      <c r="D145" s="519"/>
      <c r="E145" s="537"/>
      <c r="F145" s="537"/>
      <c r="G145" s="516"/>
      <c r="H145" s="516"/>
      <c r="I145" s="516"/>
      <c r="J145" s="538"/>
      <c r="K145" s="516"/>
      <c r="L145" s="516"/>
    </row>
    <row r="146">
      <c r="A146" s="524"/>
      <c r="B146" s="524"/>
      <c r="C146" s="525"/>
      <c r="D146" s="526"/>
      <c r="E146" s="525"/>
      <c r="F146" s="525"/>
      <c r="G146" s="524"/>
      <c r="H146" s="524"/>
      <c r="I146" s="524"/>
      <c r="J146" s="527"/>
      <c r="K146" s="524"/>
      <c r="L146" s="524"/>
    </row>
    <row r="147">
      <c r="A147" s="169"/>
      <c r="B147" s="495"/>
      <c r="C147" s="236"/>
      <c r="D147" s="485"/>
      <c r="E147" s="484"/>
      <c r="F147" s="484"/>
      <c r="G147" s="495"/>
      <c r="H147" s="642"/>
      <c r="I147" s="483"/>
      <c r="J147" s="618"/>
      <c r="K147" s="483"/>
      <c r="L147" s="583"/>
    </row>
    <row r="148">
      <c r="A148" s="457"/>
      <c r="B148" s="495"/>
      <c r="C148" s="236"/>
      <c r="D148" s="485"/>
      <c r="E148" s="484"/>
      <c r="F148" s="484"/>
      <c r="G148" s="642"/>
      <c r="H148" s="642"/>
      <c r="I148" s="483"/>
      <c r="J148" s="618"/>
      <c r="K148" s="515"/>
      <c r="L148" s="583"/>
    </row>
    <row r="149">
      <c r="A149" s="457"/>
      <c r="B149" s="642"/>
      <c r="C149" s="236"/>
      <c r="D149" s="485"/>
      <c r="E149" s="484"/>
      <c r="F149" s="484"/>
      <c r="G149" s="495"/>
      <c r="H149" s="642"/>
      <c r="I149" s="483"/>
      <c r="J149" s="618"/>
      <c r="K149" s="483"/>
      <c r="L149" s="583"/>
    </row>
    <row r="150">
      <c r="A150" s="457"/>
      <c r="B150" s="642"/>
      <c r="C150" s="236"/>
      <c r="D150" s="485"/>
      <c r="E150" s="484"/>
      <c r="F150" s="484"/>
      <c r="G150" s="642"/>
      <c r="H150" s="642"/>
      <c r="I150" s="483"/>
      <c r="J150" s="618"/>
      <c r="K150" s="483"/>
      <c r="L150" s="583"/>
    </row>
    <row r="151">
      <c r="A151" s="457"/>
      <c r="B151" s="642"/>
      <c r="C151" s="236"/>
      <c r="D151" s="485"/>
      <c r="E151" s="484"/>
      <c r="F151" s="495"/>
      <c r="G151" s="530"/>
      <c r="H151" s="531"/>
      <c r="I151" s="483"/>
      <c r="J151" s="618"/>
      <c r="K151" s="499"/>
      <c r="L151" s="508"/>
    </row>
    <row r="152">
      <c r="A152" s="457"/>
      <c r="B152" s="41"/>
      <c r="C152" s="119"/>
      <c r="D152" s="485"/>
      <c r="E152" s="484"/>
      <c r="F152" s="484"/>
      <c r="G152" s="474"/>
      <c r="H152" s="166"/>
      <c r="I152" s="515"/>
      <c r="J152" s="492"/>
      <c r="K152" s="483"/>
      <c r="L152" s="483"/>
    </row>
    <row r="153">
      <c r="A153" s="457"/>
      <c r="B153" s="41"/>
      <c r="C153" s="119"/>
      <c r="D153" s="485"/>
      <c r="E153" s="484"/>
      <c r="F153" s="484"/>
      <c r="G153" s="474"/>
      <c r="H153" s="166"/>
      <c r="I153" s="515"/>
      <c r="J153" s="492"/>
      <c r="K153" s="483"/>
      <c r="L153" s="515"/>
    </row>
    <row r="154">
      <c r="A154" s="430"/>
      <c r="B154" s="41"/>
      <c r="C154" s="119"/>
      <c r="D154" s="485"/>
      <c r="E154" s="484"/>
      <c r="F154" s="484"/>
      <c r="G154" s="474"/>
      <c r="H154" s="166"/>
      <c r="I154" s="515"/>
      <c r="J154" s="492"/>
      <c r="K154" s="483"/>
      <c r="L154" s="483"/>
    </row>
    <row r="155">
      <c r="A155" s="516"/>
      <c r="B155" s="516"/>
      <c r="C155" s="537"/>
      <c r="D155" s="519"/>
      <c r="E155" s="537"/>
      <c r="F155" s="537"/>
      <c r="G155" s="516"/>
      <c r="H155" s="516"/>
      <c r="I155" s="516"/>
      <c r="J155" s="538"/>
      <c r="K155" s="516"/>
      <c r="L155" s="516"/>
    </row>
    <row r="156">
      <c r="A156" s="524"/>
      <c r="B156" s="524"/>
      <c r="C156" s="525"/>
      <c r="D156" s="526"/>
      <c r="E156" s="525"/>
      <c r="F156" s="525"/>
      <c r="G156" s="524"/>
      <c r="H156" s="524"/>
      <c r="I156" s="524"/>
      <c r="J156" s="527"/>
      <c r="K156" s="524"/>
      <c r="L156" s="524"/>
    </row>
    <row r="157">
      <c r="A157" s="169"/>
      <c r="B157" s="22"/>
      <c r="C157" s="495"/>
      <c r="D157" s="485"/>
      <c r="E157" s="484"/>
      <c r="F157" s="484"/>
      <c r="G157" s="534"/>
      <c r="H157" s="630"/>
      <c r="I157" s="483"/>
      <c r="J157" s="492"/>
      <c r="K157" s="483"/>
      <c r="L157" s="583"/>
    </row>
    <row r="158">
      <c r="A158" s="457"/>
      <c r="B158" s="18"/>
      <c r="C158" s="495"/>
      <c r="D158" s="485"/>
      <c r="E158" s="484"/>
      <c r="F158" s="484"/>
      <c r="G158" s="632"/>
      <c r="H158" s="636"/>
      <c r="I158" s="483"/>
      <c r="J158" s="492"/>
      <c r="K158" s="515"/>
      <c r="L158" s="583"/>
    </row>
    <row r="159">
      <c r="A159" s="457"/>
      <c r="B159" s="23"/>
      <c r="C159" s="495"/>
      <c r="D159" s="485"/>
      <c r="E159" s="484"/>
      <c r="F159" s="484"/>
      <c r="G159" s="534"/>
      <c r="H159" s="630"/>
      <c r="I159" s="483"/>
      <c r="J159" s="492"/>
      <c r="K159" s="483"/>
      <c r="L159" s="583"/>
    </row>
    <row r="160">
      <c r="A160" s="457"/>
      <c r="B160" s="23"/>
      <c r="C160" s="495"/>
      <c r="D160" s="485"/>
      <c r="E160" s="484"/>
      <c r="F160" s="495"/>
      <c r="G160" s="530"/>
      <c r="H160" s="617"/>
      <c r="I160" s="483"/>
      <c r="J160" s="492"/>
      <c r="K160" s="483"/>
      <c r="L160" s="583"/>
    </row>
    <row r="161">
      <c r="A161" s="457"/>
      <c r="B161" s="23"/>
      <c r="C161" s="495"/>
      <c r="D161" s="485"/>
      <c r="E161" s="484"/>
      <c r="F161" s="484"/>
      <c r="G161" s="530"/>
      <c r="H161" s="617"/>
      <c r="I161" s="483"/>
      <c r="J161" s="492"/>
      <c r="K161" s="483"/>
      <c r="L161" s="583"/>
    </row>
    <row r="162">
      <c r="A162" s="457"/>
      <c r="B162" s="23"/>
      <c r="C162" s="495"/>
      <c r="D162" s="485"/>
      <c r="E162" s="484"/>
      <c r="F162" s="484"/>
      <c r="G162" s="530"/>
      <c r="H162" s="617"/>
      <c r="I162" s="483"/>
      <c r="J162" s="492"/>
      <c r="K162" s="483"/>
      <c r="L162" s="583"/>
    </row>
    <row r="163">
      <c r="A163" s="457"/>
      <c r="B163" s="23"/>
      <c r="C163" s="495"/>
      <c r="D163" s="485"/>
      <c r="E163" s="484"/>
      <c r="F163" s="484"/>
      <c r="G163" s="534"/>
      <c r="H163" s="643"/>
      <c r="I163" s="483"/>
      <c r="J163" s="638"/>
      <c r="K163" s="119"/>
      <c r="L163" s="583"/>
    </row>
    <row r="164">
      <c r="A164" s="430"/>
      <c r="B164" s="23"/>
      <c r="C164" s="495"/>
      <c r="D164" s="485"/>
      <c r="E164" s="484"/>
      <c r="F164" s="484"/>
      <c r="G164" s="439"/>
      <c r="H164" s="233"/>
      <c r="I164" s="483"/>
      <c r="J164" s="638"/>
      <c r="K164" s="119"/>
      <c r="L164" s="583"/>
    </row>
    <row r="165">
      <c r="A165" s="516"/>
      <c r="B165" s="516"/>
      <c r="C165" s="537"/>
      <c r="D165" s="519"/>
      <c r="E165" s="537"/>
      <c r="F165" s="537"/>
      <c r="G165" s="516"/>
      <c r="H165" s="516"/>
      <c r="I165" s="516"/>
      <c r="J165" s="538"/>
      <c r="K165" s="516"/>
      <c r="L165" s="516"/>
    </row>
    <row r="166">
      <c r="A166" s="155"/>
      <c r="B166" s="155"/>
      <c r="C166" s="196"/>
      <c r="D166" s="155"/>
      <c r="E166" s="196"/>
      <c r="F166" s="196"/>
      <c r="G166" s="155"/>
      <c r="H166" s="155"/>
      <c r="I166" s="155"/>
      <c r="J166" s="644"/>
      <c r="K166" s="155"/>
      <c r="L166" s="155"/>
    </row>
    <row r="167">
      <c r="A167" s="607"/>
      <c r="B167" s="18"/>
      <c r="C167" s="608"/>
      <c r="D167" s="645"/>
      <c r="E167" s="646"/>
      <c r="F167" s="646"/>
      <c r="G167" s="534"/>
      <c r="H167" s="630"/>
      <c r="I167" s="647"/>
      <c r="J167" s="609"/>
      <c r="K167" s="647"/>
      <c r="L167" s="583"/>
    </row>
    <row r="168">
      <c r="A168" s="457"/>
      <c r="B168" s="110"/>
      <c r="C168" s="608"/>
      <c r="D168" s="485"/>
      <c r="E168" s="484"/>
      <c r="F168" s="484"/>
      <c r="G168" s="534"/>
      <c r="H168" s="630"/>
      <c r="I168" s="483"/>
      <c r="J168" s="609"/>
      <c r="K168" s="483"/>
      <c r="L168" s="583"/>
    </row>
    <row r="169">
      <c r="A169" s="457"/>
      <c r="B169" s="110"/>
      <c r="C169" s="495"/>
      <c r="D169" s="485"/>
      <c r="E169" s="484"/>
      <c r="F169" s="484"/>
      <c r="G169" s="632"/>
      <c r="H169" s="636"/>
      <c r="I169" s="483"/>
      <c r="J169" s="609"/>
      <c r="K169" s="483"/>
      <c r="L169" s="583"/>
    </row>
    <row r="170">
      <c r="A170" s="457"/>
      <c r="B170" s="23"/>
      <c r="C170" s="495"/>
      <c r="D170" s="485"/>
      <c r="E170" s="484"/>
      <c r="F170" s="484"/>
      <c r="G170" s="530"/>
      <c r="H170" s="617"/>
      <c r="I170" s="483"/>
      <c r="J170" s="609"/>
      <c r="K170" s="515"/>
      <c r="L170" s="648"/>
    </row>
    <row r="171">
      <c r="A171" s="457"/>
      <c r="B171" s="23"/>
      <c r="C171" s="495"/>
      <c r="D171" s="485"/>
      <c r="E171" s="484"/>
      <c r="F171" s="484"/>
      <c r="G171" s="530"/>
      <c r="H171" s="617"/>
      <c r="I171" s="483"/>
      <c r="J171" s="609"/>
      <c r="K171" s="515"/>
      <c r="L171" s="430"/>
    </row>
    <row r="172">
      <c r="A172" s="457"/>
      <c r="B172" s="23"/>
      <c r="C172" s="495"/>
      <c r="D172" s="485"/>
      <c r="E172" s="484"/>
      <c r="F172" s="484"/>
      <c r="G172" s="474"/>
      <c r="H172" s="166"/>
      <c r="I172" s="499"/>
      <c r="J172" s="609"/>
      <c r="K172" s="515"/>
      <c r="L172" s="649"/>
    </row>
    <row r="173">
      <c r="A173" s="457"/>
      <c r="B173" s="23"/>
      <c r="C173" s="495"/>
      <c r="D173" s="485"/>
      <c r="E173" s="484"/>
      <c r="F173" s="484"/>
      <c r="G173" s="474"/>
      <c r="H173" s="166"/>
      <c r="I173" s="499"/>
      <c r="J173" s="609"/>
      <c r="K173" s="515"/>
      <c r="L173" s="583"/>
    </row>
    <row r="174">
      <c r="A174" s="430"/>
      <c r="B174" s="23"/>
      <c r="C174" s="484"/>
      <c r="D174" s="485"/>
      <c r="E174" s="484"/>
      <c r="F174" s="484"/>
      <c r="G174" s="439"/>
      <c r="H174" s="233"/>
      <c r="I174" s="594"/>
      <c r="J174" s="633"/>
      <c r="K174" s="515"/>
      <c r="L174" s="609"/>
    </row>
    <row r="175">
      <c r="A175" s="155"/>
      <c r="B175" s="155"/>
      <c r="C175" s="196"/>
      <c r="D175" s="155"/>
      <c r="E175" s="196"/>
      <c r="F175" s="196"/>
      <c r="G175" s="155"/>
      <c r="H175" s="155"/>
      <c r="I175" s="155"/>
      <c r="J175" s="644"/>
      <c r="K175" s="155"/>
      <c r="L175" s="155"/>
    </row>
    <row r="176">
      <c r="A176" s="155"/>
      <c r="B176" s="155"/>
      <c r="C176" s="196"/>
      <c r="D176" s="155"/>
      <c r="E176" s="196"/>
      <c r="F176" s="196"/>
      <c r="G176" s="155"/>
      <c r="H176" s="155"/>
      <c r="I176" s="155"/>
      <c r="J176" s="644"/>
      <c r="K176" s="155"/>
      <c r="L176" s="155"/>
    </row>
    <row r="177">
      <c r="A177" s="607"/>
      <c r="B177" s="18"/>
      <c r="C177" s="608"/>
      <c r="D177" s="548"/>
      <c r="E177" s="549"/>
      <c r="F177" s="608"/>
      <c r="G177" s="632"/>
      <c r="H177" s="637"/>
      <c r="I177" s="578"/>
      <c r="J177" s="633"/>
      <c r="K177" s="578"/>
      <c r="L177" s="650"/>
    </row>
    <row r="178">
      <c r="A178" s="457"/>
      <c r="B178" s="19"/>
      <c r="C178" s="495"/>
      <c r="D178" s="485"/>
      <c r="E178" s="484"/>
      <c r="F178" s="484"/>
      <c r="G178" s="534"/>
      <c r="H178" s="621"/>
      <c r="I178" s="578"/>
      <c r="J178" s="633"/>
      <c r="K178" s="578"/>
      <c r="L178" s="650"/>
    </row>
    <row r="179">
      <c r="A179" s="457"/>
      <c r="B179" s="18"/>
      <c r="C179" s="495"/>
      <c r="D179" s="485"/>
      <c r="E179" s="484"/>
      <c r="F179" s="484"/>
      <c r="G179" s="632"/>
      <c r="H179" s="637"/>
      <c r="I179" s="578"/>
      <c r="J179" s="633"/>
      <c r="K179" s="578"/>
      <c r="L179" s="650"/>
    </row>
    <row r="180">
      <c r="A180" s="457"/>
      <c r="B180" s="19"/>
      <c r="C180" s="495"/>
      <c r="D180" s="485"/>
      <c r="E180" s="484"/>
      <c r="F180" s="484"/>
      <c r="G180" s="632"/>
      <c r="H180" s="637"/>
      <c r="I180" s="578"/>
      <c r="J180" s="633"/>
      <c r="K180" s="578"/>
      <c r="L180" s="650"/>
    </row>
    <row r="181">
      <c r="A181" s="457"/>
      <c r="B181" s="18"/>
      <c r="C181" s="119"/>
      <c r="D181" s="485"/>
      <c r="E181" s="484"/>
      <c r="F181" s="484"/>
      <c r="G181" s="552"/>
      <c r="H181" s="531"/>
      <c r="I181" s="483"/>
      <c r="J181" s="492"/>
      <c r="K181" s="515"/>
      <c r="L181" s="650"/>
    </row>
    <row r="182">
      <c r="A182" s="457"/>
      <c r="B182" s="18"/>
      <c r="C182" s="41"/>
      <c r="D182" s="548"/>
      <c r="E182" s="549"/>
      <c r="F182" s="549"/>
      <c r="G182" s="534"/>
      <c r="H182" s="621"/>
      <c r="I182" s="651"/>
      <c r="J182" s="634"/>
      <c r="K182" s="578"/>
      <c r="L182" s="583"/>
    </row>
    <row r="183">
      <c r="A183" s="457"/>
      <c r="B183" s="18"/>
      <c r="C183" s="495"/>
      <c r="D183" s="485"/>
      <c r="E183" s="608"/>
      <c r="F183" s="484"/>
      <c r="G183" s="632"/>
      <c r="H183" s="636"/>
      <c r="I183" s="651"/>
      <c r="J183" s="633"/>
      <c r="K183" s="483"/>
      <c r="L183" s="583"/>
    </row>
    <row r="184">
      <c r="A184" s="430"/>
      <c r="B184" s="18"/>
      <c r="C184" s="41"/>
      <c r="D184" s="548"/>
      <c r="E184" s="549"/>
      <c r="F184" s="549"/>
      <c r="G184" s="552"/>
      <c r="H184" s="552"/>
      <c r="I184" s="651"/>
      <c r="J184" s="633"/>
      <c r="K184" s="578"/>
      <c r="L184" s="515"/>
    </row>
    <row r="185">
      <c r="C185" s="198"/>
      <c r="E185" s="198"/>
      <c r="F185" s="198"/>
      <c r="J185" s="652"/>
    </row>
    <row r="186">
      <c r="A186" s="160" t="s">
        <v>196</v>
      </c>
      <c r="B186" s="653">
        <f>IFERROR(__xludf.DUMMYFUNCTION("COUNTUNIQUE(B8:B184)"),92.0)</f>
        <v>92</v>
      </c>
      <c r="C186" s="198"/>
      <c r="E186" s="198"/>
      <c r="F186" s="198"/>
      <c r="J186" s="652"/>
    </row>
    <row r="187">
      <c r="C187" s="198"/>
      <c r="E187" s="198"/>
      <c r="F187" s="198"/>
      <c r="J187" s="652"/>
    </row>
    <row r="188">
      <c r="C188" s="198"/>
      <c r="E188" s="198"/>
      <c r="F188" s="198"/>
      <c r="J188" s="652"/>
    </row>
    <row r="189">
      <c r="C189" s="198"/>
      <c r="E189" s="198"/>
      <c r="F189" s="198"/>
      <c r="J189" s="652"/>
    </row>
    <row r="190">
      <c r="C190" s="198"/>
      <c r="E190" s="198"/>
      <c r="F190" s="198"/>
      <c r="J190" s="652"/>
    </row>
    <row r="191">
      <c r="C191" s="198"/>
      <c r="D191" s="5" t="s">
        <v>1074</v>
      </c>
      <c r="E191" s="198"/>
      <c r="F191" s="198"/>
      <c r="G191" s="5" t="s">
        <v>1075</v>
      </c>
      <c r="H191" s="5" t="s">
        <v>1076</v>
      </c>
      <c r="I191" s="5" t="s">
        <v>1077</v>
      </c>
      <c r="J191" s="5" t="s">
        <v>1078</v>
      </c>
      <c r="K191" s="5" t="s">
        <v>1079</v>
      </c>
      <c r="L191" s="5" t="s">
        <v>1080</v>
      </c>
    </row>
    <row r="192">
      <c r="C192" s="198"/>
      <c r="D192" s="11" t="s">
        <v>21</v>
      </c>
      <c r="E192" s="198"/>
      <c r="F192" s="198"/>
      <c r="G192" s="11" t="s">
        <v>21</v>
      </c>
      <c r="H192" s="11" t="s">
        <v>21</v>
      </c>
      <c r="I192" s="11" t="s">
        <v>22</v>
      </c>
      <c r="J192" s="11" t="s">
        <v>1081</v>
      </c>
      <c r="K192" s="11" t="s">
        <v>1081</v>
      </c>
      <c r="L192" s="11" t="s">
        <v>1081</v>
      </c>
    </row>
    <row r="193">
      <c r="C193" s="654" t="s">
        <v>203</v>
      </c>
      <c r="D193" s="15" t="s">
        <v>32</v>
      </c>
      <c r="E193" s="198"/>
      <c r="F193" s="198"/>
      <c r="G193" s="15" t="s">
        <v>33</v>
      </c>
      <c r="H193" s="15" t="s">
        <v>34</v>
      </c>
      <c r="I193" s="15" t="s">
        <v>35</v>
      </c>
      <c r="J193" s="15" t="s">
        <v>36</v>
      </c>
      <c r="K193" s="15" t="s">
        <v>1082</v>
      </c>
      <c r="L193" s="15" t="s">
        <v>38</v>
      </c>
    </row>
    <row r="194">
      <c r="C194" s="198"/>
      <c r="E194" s="198"/>
      <c r="F194" s="198"/>
      <c r="J194" s="652"/>
    </row>
    <row r="195">
      <c r="C195" s="198"/>
      <c r="D195" s="5" t="s">
        <v>1083</v>
      </c>
      <c r="E195" s="198"/>
      <c r="F195" s="198"/>
      <c r="G195" s="5" t="s">
        <v>1084</v>
      </c>
      <c r="J195" s="652"/>
    </row>
    <row r="196">
      <c r="C196" s="198"/>
      <c r="D196" s="5" t="s">
        <v>358</v>
      </c>
      <c r="E196" s="198"/>
      <c r="F196" s="198"/>
      <c r="G196" s="5" t="s">
        <v>358</v>
      </c>
      <c r="J196" s="652"/>
    </row>
    <row r="197">
      <c r="C197" s="198"/>
      <c r="D197" s="222" t="s">
        <v>369</v>
      </c>
      <c r="E197" s="198"/>
      <c r="F197" s="198"/>
      <c r="G197" s="222" t="s">
        <v>371</v>
      </c>
      <c r="J197" s="652"/>
    </row>
    <row r="198">
      <c r="C198" s="198"/>
      <c r="E198" s="198"/>
      <c r="F198" s="198"/>
      <c r="J198" s="652"/>
    </row>
    <row r="199">
      <c r="C199" s="198"/>
      <c r="E199" s="198"/>
      <c r="F199" s="198"/>
      <c r="J199" s="652"/>
    </row>
    <row r="200">
      <c r="C200" s="198"/>
      <c r="E200" s="198"/>
      <c r="F200" s="198"/>
      <c r="J200" s="652"/>
    </row>
    <row r="201">
      <c r="C201" s="198"/>
      <c r="E201" s="198"/>
      <c r="F201" s="198"/>
      <c r="J201" s="652"/>
    </row>
    <row r="202">
      <c r="C202" s="198"/>
      <c r="E202" s="198"/>
      <c r="F202" s="198"/>
      <c r="J202" s="652"/>
    </row>
    <row r="203">
      <c r="C203" s="198"/>
      <c r="E203" s="198"/>
      <c r="F203" s="198"/>
      <c r="J203" s="652"/>
    </row>
    <row r="204">
      <c r="C204" s="198"/>
      <c r="E204" s="198"/>
      <c r="F204" s="198"/>
      <c r="J204" s="652"/>
    </row>
    <row r="205">
      <c r="C205" s="198"/>
      <c r="E205" s="198"/>
      <c r="F205" s="198"/>
      <c r="J205" s="652"/>
    </row>
    <row r="206">
      <c r="C206" s="198"/>
      <c r="E206" s="198"/>
      <c r="F206" s="198"/>
      <c r="J206" s="652"/>
    </row>
    <row r="207">
      <c r="C207" s="198"/>
      <c r="E207" s="198"/>
      <c r="F207" s="198"/>
      <c r="J207" s="652"/>
    </row>
    <row r="208">
      <c r="C208" s="198"/>
      <c r="E208" s="198"/>
      <c r="F208" s="198"/>
      <c r="J208" s="652"/>
    </row>
    <row r="209">
      <c r="C209" s="198"/>
      <c r="E209" s="198"/>
      <c r="F209" s="198"/>
      <c r="J209" s="652"/>
    </row>
    <row r="210">
      <c r="C210" s="198"/>
      <c r="E210" s="198"/>
      <c r="F210" s="198"/>
      <c r="J210" s="652"/>
    </row>
    <row r="211">
      <c r="C211" s="198"/>
      <c r="E211" s="198"/>
      <c r="F211" s="198"/>
      <c r="J211" s="652"/>
    </row>
    <row r="212">
      <c r="C212" s="198"/>
      <c r="E212" s="198"/>
      <c r="F212" s="198"/>
      <c r="J212" s="652"/>
    </row>
    <row r="213">
      <c r="C213" s="198"/>
      <c r="E213" s="198"/>
      <c r="F213" s="198"/>
      <c r="J213" s="652"/>
    </row>
    <row r="214">
      <c r="C214" s="198"/>
      <c r="E214" s="198"/>
      <c r="F214" s="198"/>
      <c r="J214" s="652"/>
    </row>
    <row r="215">
      <c r="C215" s="198"/>
      <c r="E215" s="198"/>
      <c r="F215" s="198"/>
      <c r="J215" s="652"/>
    </row>
    <row r="216">
      <c r="C216" s="198"/>
      <c r="E216" s="198"/>
      <c r="F216" s="198"/>
      <c r="J216" s="652"/>
    </row>
    <row r="217">
      <c r="C217" s="198"/>
      <c r="E217" s="198"/>
      <c r="F217" s="198"/>
      <c r="J217" s="652"/>
    </row>
    <row r="218">
      <c r="C218" s="198"/>
      <c r="E218" s="198"/>
      <c r="F218" s="198"/>
      <c r="J218" s="652"/>
    </row>
    <row r="219">
      <c r="C219" s="198"/>
      <c r="E219" s="198"/>
      <c r="F219" s="198"/>
      <c r="J219" s="652"/>
    </row>
    <row r="220">
      <c r="C220" s="198"/>
      <c r="E220" s="198"/>
      <c r="F220" s="198"/>
      <c r="J220" s="652"/>
    </row>
    <row r="221">
      <c r="C221" s="198"/>
      <c r="E221" s="198"/>
      <c r="F221" s="198"/>
      <c r="J221" s="652"/>
    </row>
    <row r="222">
      <c r="C222" s="198"/>
      <c r="E222" s="198"/>
      <c r="F222" s="198"/>
      <c r="J222" s="652"/>
    </row>
    <row r="223">
      <c r="C223" s="198"/>
      <c r="E223" s="198"/>
      <c r="F223" s="198"/>
      <c r="J223" s="652"/>
    </row>
    <row r="224">
      <c r="C224" s="198"/>
      <c r="E224" s="198"/>
      <c r="F224" s="198"/>
      <c r="J224" s="652"/>
    </row>
    <row r="225">
      <c r="C225" s="198"/>
      <c r="E225" s="198"/>
      <c r="F225" s="198"/>
      <c r="J225" s="652"/>
    </row>
    <row r="226">
      <c r="C226" s="198"/>
      <c r="E226" s="198"/>
      <c r="F226" s="198"/>
      <c r="J226" s="652"/>
    </row>
    <row r="227">
      <c r="C227" s="198"/>
      <c r="E227" s="198"/>
      <c r="F227" s="198"/>
      <c r="J227" s="652"/>
    </row>
    <row r="228">
      <c r="C228" s="198"/>
      <c r="E228" s="198"/>
      <c r="F228" s="198"/>
      <c r="J228" s="652"/>
    </row>
    <row r="229">
      <c r="C229" s="198"/>
      <c r="E229" s="198"/>
      <c r="F229" s="198"/>
      <c r="J229" s="652"/>
    </row>
    <row r="230">
      <c r="C230" s="198"/>
      <c r="E230" s="198"/>
      <c r="F230" s="198"/>
      <c r="J230" s="652"/>
    </row>
    <row r="231">
      <c r="C231" s="198"/>
      <c r="E231" s="198"/>
      <c r="F231" s="198"/>
      <c r="J231" s="652"/>
    </row>
    <row r="232">
      <c r="C232" s="198"/>
      <c r="E232" s="198"/>
      <c r="F232" s="198"/>
      <c r="J232" s="652"/>
    </row>
    <row r="233">
      <c r="C233" s="198"/>
      <c r="E233" s="198"/>
      <c r="F233" s="198"/>
      <c r="J233" s="652"/>
    </row>
    <row r="234">
      <c r="C234" s="198"/>
      <c r="E234" s="198"/>
      <c r="F234" s="198"/>
      <c r="J234" s="652"/>
    </row>
    <row r="235">
      <c r="C235" s="198"/>
      <c r="E235" s="198"/>
      <c r="F235" s="198"/>
      <c r="J235" s="652"/>
    </row>
    <row r="236">
      <c r="C236" s="198"/>
      <c r="E236" s="198"/>
      <c r="F236" s="198"/>
      <c r="J236" s="652"/>
    </row>
    <row r="237">
      <c r="C237" s="198"/>
      <c r="E237" s="198"/>
      <c r="F237" s="198"/>
      <c r="J237" s="652"/>
    </row>
    <row r="238">
      <c r="C238" s="198"/>
      <c r="E238" s="198"/>
      <c r="F238" s="198"/>
      <c r="J238" s="652"/>
    </row>
    <row r="239">
      <c r="C239" s="198"/>
      <c r="E239" s="198"/>
      <c r="F239" s="198"/>
      <c r="J239" s="652"/>
    </row>
    <row r="240">
      <c r="C240" s="198"/>
      <c r="E240" s="198"/>
      <c r="F240" s="198"/>
      <c r="J240" s="652"/>
    </row>
    <row r="241">
      <c r="C241" s="198"/>
      <c r="E241" s="198"/>
      <c r="F241" s="198"/>
      <c r="J241" s="652"/>
    </row>
    <row r="242">
      <c r="C242" s="198"/>
      <c r="E242" s="198"/>
      <c r="F242" s="198"/>
      <c r="J242" s="652"/>
    </row>
    <row r="243">
      <c r="C243" s="198"/>
      <c r="E243" s="198"/>
      <c r="F243" s="198"/>
      <c r="J243" s="652"/>
    </row>
    <row r="244">
      <c r="C244" s="198"/>
      <c r="E244" s="198"/>
      <c r="F244" s="198"/>
      <c r="J244" s="652"/>
    </row>
    <row r="245">
      <c r="C245" s="198"/>
      <c r="E245" s="198"/>
      <c r="F245" s="198"/>
      <c r="J245" s="652"/>
    </row>
    <row r="246">
      <c r="C246" s="198"/>
      <c r="E246" s="198"/>
      <c r="F246" s="198"/>
      <c r="J246" s="652"/>
    </row>
    <row r="247">
      <c r="C247" s="198"/>
      <c r="E247" s="198"/>
      <c r="F247" s="198"/>
      <c r="J247" s="652"/>
    </row>
    <row r="248">
      <c r="C248" s="198"/>
      <c r="E248" s="198"/>
      <c r="F248" s="198"/>
      <c r="J248" s="652"/>
    </row>
    <row r="249">
      <c r="C249" s="198"/>
      <c r="E249" s="198"/>
      <c r="F249" s="198"/>
      <c r="J249" s="652"/>
    </row>
    <row r="250">
      <c r="C250" s="198"/>
      <c r="E250" s="198"/>
      <c r="F250" s="198"/>
      <c r="J250" s="652"/>
    </row>
    <row r="251">
      <c r="C251" s="198"/>
      <c r="E251" s="198"/>
      <c r="F251" s="198"/>
      <c r="J251" s="652"/>
    </row>
    <row r="252">
      <c r="C252" s="198"/>
      <c r="E252" s="198"/>
      <c r="F252" s="198"/>
      <c r="J252" s="652"/>
    </row>
    <row r="253">
      <c r="C253" s="198"/>
      <c r="E253" s="198"/>
      <c r="F253" s="198"/>
      <c r="J253" s="652"/>
    </row>
    <row r="254">
      <c r="C254" s="198"/>
      <c r="E254" s="198"/>
      <c r="F254" s="198"/>
      <c r="J254" s="652"/>
    </row>
    <row r="255">
      <c r="C255" s="198"/>
      <c r="E255" s="198"/>
      <c r="F255" s="198"/>
      <c r="J255" s="652"/>
    </row>
    <row r="256">
      <c r="C256" s="198"/>
      <c r="E256" s="198"/>
      <c r="F256" s="198"/>
      <c r="J256" s="652"/>
    </row>
    <row r="257">
      <c r="C257" s="198"/>
      <c r="E257" s="198"/>
      <c r="F257" s="198"/>
      <c r="J257" s="652"/>
    </row>
    <row r="258">
      <c r="C258" s="198"/>
      <c r="E258" s="198"/>
      <c r="F258" s="198"/>
      <c r="J258" s="652"/>
    </row>
    <row r="259">
      <c r="C259" s="198"/>
      <c r="E259" s="198"/>
      <c r="F259" s="198"/>
      <c r="J259" s="652"/>
    </row>
    <row r="260">
      <c r="C260" s="198"/>
      <c r="E260" s="198"/>
      <c r="F260" s="198"/>
      <c r="J260" s="652"/>
    </row>
    <row r="261">
      <c r="C261" s="198"/>
      <c r="E261" s="198"/>
      <c r="F261" s="198"/>
      <c r="J261" s="652"/>
    </row>
    <row r="262">
      <c r="C262" s="198"/>
      <c r="E262" s="198"/>
      <c r="F262" s="198"/>
      <c r="J262" s="652"/>
    </row>
    <row r="263">
      <c r="C263" s="198"/>
      <c r="E263" s="198"/>
      <c r="F263" s="198"/>
      <c r="J263" s="652"/>
    </row>
    <row r="264">
      <c r="C264" s="198"/>
      <c r="E264" s="198"/>
      <c r="F264" s="198"/>
      <c r="J264" s="652"/>
    </row>
    <row r="265">
      <c r="C265" s="198"/>
      <c r="E265" s="198"/>
      <c r="F265" s="198"/>
      <c r="J265" s="652"/>
    </row>
    <row r="266">
      <c r="C266" s="198"/>
      <c r="E266" s="198"/>
      <c r="F266" s="198"/>
      <c r="J266" s="652"/>
    </row>
    <row r="267">
      <c r="C267" s="198"/>
      <c r="E267" s="198"/>
      <c r="F267" s="198"/>
      <c r="J267" s="652"/>
    </row>
    <row r="268">
      <c r="C268" s="198"/>
      <c r="E268" s="198"/>
      <c r="F268" s="198"/>
      <c r="J268" s="652"/>
    </row>
    <row r="269">
      <c r="C269" s="198"/>
      <c r="E269" s="198"/>
      <c r="F269" s="198"/>
      <c r="J269" s="652"/>
    </row>
    <row r="270">
      <c r="C270" s="198"/>
      <c r="E270" s="198"/>
      <c r="F270" s="198"/>
      <c r="J270" s="652"/>
    </row>
    <row r="271">
      <c r="C271" s="198"/>
      <c r="E271" s="198"/>
      <c r="F271" s="198"/>
      <c r="J271" s="652"/>
    </row>
    <row r="272">
      <c r="C272" s="198"/>
      <c r="E272" s="198"/>
      <c r="F272" s="198"/>
      <c r="J272" s="652"/>
    </row>
    <row r="273">
      <c r="C273" s="198"/>
      <c r="E273" s="198"/>
      <c r="F273" s="198"/>
      <c r="J273" s="652"/>
    </row>
    <row r="274">
      <c r="C274" s="198"/>
      <c r="E274" s="198"/>
      <c r="F274" s="198"/>
      <c r="J274" s="652"/>
    </row>
    <row r="275">
      <c r="C275" s="198"/>
      <c r="E275" s="198"/>
      <c r="F275" s="198"/>
      <c r="J275" s="652"/>
    </row>
    <row r="276">
      <c r="C276" s="198"/>
      <c r="E276" s="198"/>
      <c r="F276" s="198"/>
      <c r="J276" s="652"/>
    </row>
    <row r="277">
      <c r="C277" s="198"/>
      <c r="E277" s="198"/>
      <c r="F277" s="198"/>
      <c r="J277" s="652"/>
    </row>
    <row r="278">
      <c r="C278" s="198"/>
      <c r="E278" s="198"/>
      <c r="F278" s="198"/>
      <c r="J278" s="652"/>
    </row>
    <row r="279">
      <c r="C279" s="198"/>
      <c r="E279" s="198"/>
      <c r="F279" s="198"/>
      <c r="J279" s="652"/>
    </row>
    <row r="280">
      <c r="C280" s="198"/>
      <c r="E280" s="198"/>
      <c r="F280" s="198"/>
      <c r="J280" s="652"/>
    </row>
    <row r="281">
      <c r="C281" s="198"/>
      <c r="E281" s="198"/>
      <c r="F281" s="198"/>
      <c r="J281" s="652"/>
    </row>
    <row r="282">
      <c r="C282" s="198"/>
      <c r="E282" s="198"/>
      <c r="F282" s="198"/>
      <c r="J282" s="652"/>
    </row>
    <row r="283">
      <c r="C283" s="198"/>
      <c r="E283" s="198"/>
      <c r="F283" s="198"/>
      <c r="J283" s="652"/>
    </row>
    <row r="284">
      <c r="C284" s="198"/>
      <c r="E284" s="198"/>
      <c r="F284" s="198"/>
      <c r="J284" s="652"/>
    </row>
    <row r="285">
      <c r="C285" s="198"/>
      <c r="E285" s="198"/>
      <c r="F285" s="198"/>
      <c r="J285" s="652"/>
    </row>
    <row r="286">
      <c r="C286" s="198"/>
      <c r="E286" s="198"/>
      <c r="F286" s="198"/>
      <c r="J286" s="652"/>
    </row>
    <row r="287">
      <c r="C287" s="198"/>
      <c r="E287" s="198"/>
      <c r="F287" s="198"/>
      <c r="J287" s="652"/>
    </row>
    <row r="288">
      <c r="C288" s="198"/>
      <c r="E288" s="198"/>
      <c r="F288" s="198"/>
      <c r="J288" s="652"/>
    </row>
    <row r="289">
      <c r="C289" s="198"/>
      <c r="E289" s="198"/>
      <c r="F289" s="198"/>
      <c r="J289" s="652"/>
    </row>
    <row r="290">
      <c r="C290" s="198"/>
      <c r="E290" s="198"/>
      <c r="F290" s="198"/>
      <c r="J290" s="652"/>
    </row>
    <row r="291">
      <c r="C291" s="198"/>
      <c r="E291" s="198"/>
      <c r="F291" s="198"/>
      <c r="J291" s="652"/>
    </row>
    <row r="292">
      <c r="C292" s="198"/>
      <c r="E292" s="198"/>
      <c r="F292" s="198"/>
      <c r="J292" s="652"/>
    </row>
    <row r="293">
      <c r="C293" s="198"/>
      <c r="E293" s="198"/>
      <c r="F293" s="198"/>
      <c r="J293" s="652"/>
    </row>
    <row r="294">
      <c r="C294" s="198"/>
      <c r="E294" s="198"/>
      <c r="F294" s="198"/>
      <c r="J294" s="652"/>
    </row>
    <row r="295">
      <c r="C295" s="198"/>
      <c r="E295" s="198"/>
      <c r="F295" s="198"/>
      <c r="J295" s="652"/>
    </row>
    <row r="296">
      <c r="C296" s="198"/>
      <c r="E296" s="198"/>
      <c r="F296" s="198"/>
      <c r="J296" s="652"/>
    </row>
    <row r="297">
      <c r="C297" s="198"/>
      <c r="E297" s="198"/>
      <c r="F297" s="198"/>
      <c r="J297" s="652"/>
    </row>
    <row r="298">
      <c r="C298" s="198"/>
      <c r="E298" s="198"/>
      <c r="F298" s="198"/>
      <c r="J298" s="652"/>
    </row>
    <row r="299">
      <c r="C299" s="198"/>
      <c r="E299" s="198"/>
      <c r="F299" s="198"/>
      <c r="J299" s="652"/>
    </row>
    <row r="300">
      <c r="C300" s="198"/>
      <c r="E300" s="198"/>
      <c r="F300" s="198"/>
      <c r="J300" s="652"/>
    </row>
    <row r="301">
      <c r="C301" s="198"/>
      <c r="E301" s="198"/>
      <c r="F301" s="198"/>
      <c r="J301" s="652"/>
    </row>
    <row r="302">
      <c r="C302" s="198"/>
      <c r="E302" s="198"/>
      <c r="F302" s="198"/>
      <c r="J302" s="652"/>
    </row>
    <row r="303">
      <c r="C303" s="198"/>
      <c r="E303" s="198"/>
      <c r="F303" s="198"/>
      <c r="J303" s="652"/>
    </row>
    <row r="304">
      <c r="C304" s="198"/>
      <c r="E304" s="198"/>
      <c r="F304" s="198"/>
      <c r="J304" s="652"/>
    </row>
    <row r="305">
      <c r="C305" s="198"/>
      <c r="E305" s="198"/>
      <c r="F305" s="198"/>
      <c r="J305" s="652"/>
    </row>
    <row r="306">
      <c r="C306" s="198"/>
      <c r="E306" s="198"/>
      <c r="F306" s="198"/>
      <c r="J306" s="652"/>
    </row>
    <row r="307">
      <c r="C307" s="198"/>
      <c r="E307" s="198"/>
      <c r="F307" s="198"/>
      <c r="J307" s="652"/>
    </row>
    <row r="308">
      <c r="C308" s="198"/>
      <c r="E308" s="198"/>
      <c r="F308" s="198"/>
      <c r="J308" s="652"/>
    </row>
    <row r="309">
      <c r="C309" s="198"/>
      <c r="E309" s="198"/>
      <c r="F309" s="198"/>
      <c r="J309" s="652"/>
    </row>
    <row r="310">
      <c r="C310" s="198"/>
      <c r="E310" s="198"/>
      <c r="F310" s="198"/>
      <c r="J310" s="652"/>
    </row>
    <row r="311">
      <c r="C311" s="198"/>
      <c r="E311" s="198"/>
      <c r="F311" s="198"/>
      <c r="J311" s="652"/>
    </row>
    <row r="312">
      <c r="C312" s="198"/>
      <c r="E312" s="198"/>
      <c r="F312" s="198"/>
      <c r="J312" s="652"/>
    </row>
    <row r="313">
      <c r="C313" s="198"/>
      <c r="E313" s="198"/>
      <c r="F313" s="198"/>
      <c r="J313" s="652"/>
    </row>
    <row r="314">
      <c r="C314" s="198"/>
      <c r="E314" s="198"/>
      <c r="F314" s="198"/>
      <c r="J314" s="652"/>
    </row>
    <row r="315">
      <c r="C315" s="198"/>
      <c r="E315" s="198"/>
      <c r="F315" s="198"/>
      <c r="J315" s="652"/>
    </row>
    <row r="316">
      <c r="C316" s="198"/>
      <c r="E316" s="198"/>
      <c r="F316" s="198"/>
      <c r="J316" s="652"/>
    </row>
    <row r="317">
      <c r="C317" s="198"/>
      <c r="E317" s="198"/>
      <c r="F317" s="198"/>
      <c r="J317" s="652"/>
    </row>
    <row r="318">
      <c r="C318" s="198"/>
      <c r="E318" s="198"/>
      <c r="F318" s="198"/>
      <c r="J318" s="652"/>
    </row>
    <row r="319">
      <c r="C319" s="198"/>
      <c r="E319" s="198"/>
      <c r="F319" s="198"/>
      <c r="J319" s="652"/>
    </row>
    <row r="320">
      <c r="C320" s="198"/>
      <c r="E320" s="198"/>
      <c r="F320" s="198"/>
      <c r="J320" s="652"/>
    </row>
    <row r="321">
      <c r="C321" s="198"/>
      <c r="E321" s="198"/>
      <c r="F321" s="198"/>
      <c r="J321" s="652"/>
    </row>
    <row r="322">
      <c r="C322" s="198"/>
      <c r="E322" s="198"/>
      <c r="F322" s="198"/>
      <c r="J322" s="652"/>
    </row>
    <row r="323">
      <c r="C323" s="198"/>
      <c r="E323" s="198"/>
      <c r="F323" s="198"/>
      <c r="J323" s="652"/>
    </row>
    <row r="324">
      <c r="C324" s="198"/>
      <c r="E324" s="198"/>
      <c r="F324" s="198"/>
      <c r="J324" s="652"/>
    </row>
    <row r="325">
      <c r="C325" s="198"/>
      <c r="E325" s="198"/>
      <c r="F325" s="198"/>
      <c r="J325" s="652"/>
    </row>
    <row r="326">
      <c r="C326" s="198"/>
      <c r="E326" s="198"/>
      <c r="F326" s="198"/>
      <c r="J326" s="652"/>
    </row>
    <row r="327">
      <c r="C327" s="198"/>
      <c r="E327" s="198"/>
      <c r="F327" s="198"/>
      <c r="J327" s="652"/>
    </row>
    <row r="328">
      <c r="C328" s="198"/>
      <c r="E328" s="198"/>
      <c r="F328" s="198"/>
      <c r="J328" s="652"/>
    </row>
    <row r="329">
      <c r="C329" s="198"/>
      <c r="E329" s="198"/>
      <c r="F329" s="198"/>
      <c r="J329" s="652"/>
    </row>
    <row r="330">
      <c r="C330" s="198"/>
      <c r="E330" s="198"/>
      <c r="F330" s="198"/>
      <c r="J330" s="652"/>
    </row>
    <row r="331">
      <c r="C331" s="198"/>
      <c r="E331" s="198"/>
      <c r="F331" s="198"/>
      <c r="J331" s="652"/>
    </row>
    <row r="332">
      <c r="C332" s="198"/>
      <c r="E332" s="198"/>
      <c r="F332" s="198"/>
      <c r="J332" s="652"/>
    </row>
    <row r="333">
      <c r="C333" s="198"/>
      <c r="E333" s="198"/>
      <c r="F333" s="198"/>
      <c r="J333" s="652"/>
    </row>
    <row r="334">
      <c r="C334" s="198"/>
      <c r="E334" s="198"/>
      <c r="F334" s="198"/>
      <c r="J334" s="652"/>
    </row>
    <row r="335">
      <c r="C335" s="198"/>
      <c r="E335" s="198"/>
      <c r="F335" s="198"/>
      <c r="J335" s="652"/>
    </row>
    <row r="336">
      <c r="C336" s="198"/>
      <c r="E336" s="198"/>
      <c r="F336" s="198"/>
      <c r="J336" s="652"/>
    </row>
    <row r="337">
      <c r="C337" s="198"/>
      <c r="E337" s="198"/>
      <c r="F337" s="198"/>
      <c r="J337" s="652"/>
    </row>
    <row r="338">
      <c r="C338" s="198"/>
      <c r="E338" s="198"/>
      <c r="F338" s="198"/>
      <c r="J338" s="652"/>
    </row>
    <row r="339">
      <c r="C339" s="198"/>
      <c r="E339" s="198"/>
      <c r="F339" s="198"/>
      <c r="J339" s="652"/>
    </row>
    <row r="340">
      <c r="C340" s="198"/>
      <c r="E340" s="198"/>
      <c r="F340" s="198"/>
      <c r="J340" s="652"/>
    </row>
    <row r="341">
      <c r="C341" s="198"/>
      <c r="E341" s="198"/>
      <c r="F341" s="198"/>
      <c r="J341" s="652"/>
    </row>
    <row r="342">
      <c r="C342" s="198"/>
      <c r="E342" s="198"/>
      <c r="F342" s="198"/>
      <c r="J342" s="652"/>
    </row>
    <row r="343">
      <c r="C343" s="198"/>
      <c r="E343" s="198"/>
      <c r="F343" s="198"/>
      <c r="J343" s="652"/>
    </row>
    <row r="344">
      <c r="C344" s="198"/>
      <c r="E344" s="198"/>
      <c r="F344" s="198"/>
      <c r="J344" s="652"/>
    </row>
    <row r="345">
      <c r="C345" s="198"/>
      <c r="E345" s="198"/>
      <c r="F345" s="198"/>
      <c r="J345" s="652"/>
    </row>
    <row r="346">
      <c r="C346" s="198"/>
      <c r="E346" s="198"/>
      <c r="F346" s="198"/>
      <c r="J346" s="652"/>
    </row>
    <row r="347">
      <c r="C347" s="198"/>
      <c r="E347" s="198"/>
      <c r="F347" s="198"/>
      <c r="J347" s="652"/>
    </row>
    <row r="348">
      <c r="C348" s="198"/>
      <c r="E348" s="198"/>
      <c r="F348" s="198"/>
      <c r="J348" s="652"/>
    </row>
    <row r="349">
      <c r="C349" s="198"/>
      <c r="E349" s="198"/>
      <c r="F349" s="198"/>
      <c r="J349" s="652"/>
    </row>
    <row r="350">
      <c r="C350" s="198"/>
      <c r="E350" s="198"/>
      <c r="F350" s="198"/>
      <c r="J350" s="652"/>
    </row>
    <row r="351">
      <c r="C351" s="198"/>
      <c r="E351" s="198"/>
      <c r="F351" s="198"/>
      <c r="J351" s="652"/>
    </row>
    <row r="352">
      <c r="C352" s="198"/>
      <c r="E352" s="198"/>
      <c r="F352" s="198"/>
      <c r="J352" s="652"/>
    </row>
    <row r="353">
      <c r="C353" s="198"/>
      <c r="E353" s="198"/>
      <c r="F353" s="198"/>
      <c r="J353" s="652"/>
    </row>
    <row r="354">
      <c r="C354" s="198"/>
      <c r="E354" s="198"/>
      <c r="F354" s="198"/>
      <c r="J354" s="652"/>
    </row>
    <row r="355">
      <c r="C355" s="198"/>
      <c r="E355" s="198"/>
      <c r="F355" s="198"/>
      <c r="J355" s="652"/>
    </row>
    <row r="356">
      <c r="C356" s="198"/>
      <c r="E356" s="198"/>
      <c r="F356" s="198"/>
      <c r="J356" s="652"/>
    </row>
    <row r="357">
      <c r="C357" s="198"/>
      <c r="E357" s="198"/>
      <c r="F357" s="198"/>
      <c r="J357" s="652"/>
    </row>
    <row r="358">
      <c r="C358" s="198"/>
      <c r="E358" s="198"/>
      <c r="F358" s="198"/>
      <c r="J358" s="652"/>
    </row>
    <row r="359">
      <c r="C359" s="198"/>
      <c r="E359" s="198"/>
      <c r="F359" s="198"/>
      <c r="J359" s="652"/>
    </row>
    <row r="360">
      <c r="C360" s="198"/>
      <c r="E360" s="198"/>
      <c r="F360" s="198"/>
      <c r="J360" s="652"/>
    </row>
    <row r="361">
      <c r="C361" s="198"/>
      <c r="E361" s="198"/>
      <c r="F361" s="198"/>
      <c r="J361" s="652"/>
    </row>
    <row r="362">
      <c r="C362" s="198"/>
      <c r="E362" s="198"/>
      <c r="F362" s="198"/>
      <c r="J362" s="652"/>
    </row>
    <row r="363">
      <c r="C363" s="198"/>
      <c r="E363" s="198"/>
      <c r="F363" s="198"/>
      <c r="J363" s="652"/>
    </row>
    <row r="364">
      <c r="C364" s="198"/>
      <c r="E364" s="198"/>
      <c r="F364" s="198"/>
      <c r="J364" s="652"/>
    </row>
    <row r="365">
      <c r="C365" s="198"/>
      <c r="E365" s="198"/>
      <c r="F365" s="198"/>
      <c r="J365" s="652"/>
    </row>
    <row r="366">
      <c r="C366" s="198"/>
      <c r="E366" s="198"/>
      <c r="F366" s="198"/>
      <c r="J366" s="652"/>
    </row>
    <row r="367">
      <c r="C367" s="198"/>
      <c r="E367" s="198"/>
      <c r="F367" s="198"/>
      <c r="J367" s="652"/>
    </row>
    <row r="368">
      <c r="C368" s="198"/>
      <c r="E368" s="198"/>
      <c r="F368" s="198"/>
      <c r="J368" s="652"/>
    </row>
    <row r="369">
      <c r="C369" s="198"/>
      <c r="E369" s="198"/>
      <c r="F369" s="198"/>
      <c r="J369" s="652"/>
    </row>
    <row r="370">
      <c r="C370" s="198"/>
      <c r="E370" s="198"/>
      <c r="F370" s="198"/>
      <c r="J370" s="652"/>
    </row>
    <row r="371">
      <c r="C371" s="198"/>
      <c r="E371" s="198"/>
      <c r="F371" s="198"/>
      <c r="J371" s="652"/>
    </row>
    <row r="372">
      <c r="C372" s="198"/>
      <c r="E372" s="198"/>
      <c r="F372" s="198"/>
      <c r="J372" s="652"/>
    </row>
    <row r="373">
      <c r="C373" s="198"/>
      <c r="E373" s="198"/>
      <c r="F373" s="198"/>
      <c r="J373" s="652"/>
    </row>
    <row r="374">
      <c r="C374" s="198"/>
      <c r="E374" s="198"/>
      <c r="F374" s="198"/>
      <c r="J374" s="652"/>
    </row>
    <row r="375">
      <c r="C375" s="198"/>
      <c r="E375" s="198"/>
      <c r="F375" s="198"/>
      <c r="J375" s="652"/>
    </row>
    <row r="376">
      <c r="C376" s="198"/>
      <c r="E376" s="198"/>
      <c r="F376" s="198"/>
      <c r="J376" s="652"/>
    </row>
    <row r="377">
      <c r="C377" s="198"/>
      <c r="E377" s="198"/>
      <c r="F377" s="198"/>
      <c r="J377" s="652"/>
    </row>
    <row r="378">
      <c r="C378" s="198"/>
      <c r="E378" s="198"/>
      <c r="F378" s="198"/>
      <c r="J378" s="652"/>
    </row>
    <row r="379">
      <c r="C379" s="198"/>
      <c r="E379" s="198"/>
      <c r="F379" s="198"/>
      <c r="J379" s="652"/>
    </row>
    <row r="380">
      <c r="C380" s="198"/>
      <c r="E380" s="198"/>
      <c r="F380" s="198"/>
      <c r="J380" s="652"/>
    </row>
    <row r="381">
      <c r="C381" s="198"/>
      <c r="E381" s="198"/>
      <c r="F381" s="198"/>
      <c r="J381" s="652"/>
    </row>
    <row r="382">
      <c r="C382" s="198"/>
      <c r="E382" s="198"/>
      <c r="F382" s="198"/>
      <c r="J382" s="652"/>
    </row>
    <row r="383">
      <c r="C383" s="198"/>
      <c r="E383" s="198"/>
      <c r="F383" s="198"/>
      <c r="J383" s="652"/>
    </row>
    <row r="384">
      <c r="C384" s="198"/>
      <c r="E384" s="198"/>
      <c r="F384" s="198"/>
      <c r="J384" s="652"/>
    </row>
    <row r="385">
      <c r="C385" s="198"/>
      <c r="E385" s="198"/>
      <c r="F385" s="198"/>
      <c r="J385" s="652"/>
    </row>
    <row r="386">
      <c r="C386" s="198"/>
      <c r="E386" s="198"/>
      <c r="F386" s="198"/>
      <c r="J386" s="652"/>
    </row>
    <row r="387">
      <c r="C387" s="198"/>
      <c r="E387" s="198"/>
      <c r="F387" s="198"/>
      <c r="J387" s="652"/>
    </row>
    <row r="388">
      <c r="C388" s="198"/>
      <c r="E388" s="198"/>
      <c r="F388" s="198"/>
      <c r="J388" s="652"/>
    </row>
    <row r="389">
      <c r="C389" s="198"/>
      <c r="E389" s="198"/>
      <c r="F389" s="198"/>
      <c r="J389" s="652"/>
    </row>
    <row r="390">
      <c r="C390" s="198"/>
      <c r="E390" s="198"/>
      <c r="F390" s="198"/>
      <c r="J390" s="652"/>
    </row>
    <row r="391">
      <c r="C391" s="198"/>
      <c r="E391" s="198"/>
      <c r="F391" s="198"/>
      <c r="J391" s="652"/>
    </row>
    <row r="392">
      <c r="C392" s="198"/>
      <c r="E392" s="198"/>
      <c r="F392" s="198"/>
      <c r="J392" s="652"/>
    </row>
    <row r="393">
      <c r="C393" s="198"/>
      <c r="E393" s="198"/>
      <c r="F393" s="198"/>
      <c r="J393" s="652"/>
    </row>
    <row r="394">
      <c r="C394" s="198"/>
      <c r="E394" s="198"/>
      <c r="F394" s="198"/>
      <c r="J394" s="652"/>
    </row>
    <row r="395">
      <c r="C395" s="198"/>
      <c r="E395" s="198"/>
      <c r="F395" s="198"/>
      <c r="J395" s="652"/>
    </row>
    <row r="396">
      <c r="C396" s="198"/>
      <c r="E396" s="198"/>
      <c r="F396" s="198"/>
      <c r="J396" s="652"/>
    </row>
    <row r="397">
      <c r="C397" s="198"/>
      <c r="E397" s="198"/>
      <c r="F397" s="198"/>
      <c r="J397" s="652"/>
    </row>
    <row r="398">
      <c r="C398" s="198"/>
      <c r="E398" s="198"/>
      <c r="F398" s="198"/>
      <c r="J398" s="652"/>
    </row>
    <row r="399">
      <c r="C399" s="198"/>
      <c r="E399" s="198"/>
      <c r="F399" s="198"/>
      <c r="J399" s="652"/>
    </row>
    <row r="400">
      <c r="C400" s="198"/>
      <c r="E400" s="198"/>
      <c r="F400" s="198"/>
      <c r="J400" s="652"/>
    </row>
    <row r="401">
      <c r="C401" s="198"/>
      <c r="E401" s="198"/>
      <c r="F401" s="198"/>
      <c r="J401" s="652"/>
    </row>
    <row r="402">
      <c r="C402" s="198"/>
      <c r="E402" s="198"/>
      <c r="F402" s="198"/>
      <c r="J402" s="652"/>
    </row>
    <row r="403">
      <c r="C403" s="198"/>
      <c r="E403" s="198"/>
      <c r="F403" s="198"/>
      <c r="J403" s="652"/>
    </row>
    <row r="404">
      <c r="C404" s="198"/>
      <c r="E404" s="198"/>
      <c r="F404" s="198"/>
      <c r="J404" s="652"/>
    </row>
    <row r="405">
      <c r="C405" s="198"/>
      <c r="E405" s="198"/>
      <c r="F405" s="198"/>
      <c r="J405" s="652"/>
    </row>
    <row r="406">
      <c r="C406" s="198"/>
      <c r="E406" s="198"/>
      <c r="F406" s="198"/>
      <c r="J406" s="652"/>
    </row>
    <row r="407">
      <c r="C407" s="198"/>
      <c r="E407" s="198"/>
      <c r="F407" s="198"/>
      <c r="J407" s="652"/>
    </row>
    <row r="408">
      <c r="C408" s="198"/>
      <c r="E408" s="198"/>
      <c r="F408" s="198"/>
      <c r="J408" s="652"/>
    </row>
    <row r="409">
      <c r="C409" s="198"/>
      <c r="E409" s="198"/>
      <c r="F409" s="198"/>
      <c r="J409" s="652"/>
    </row>
    <row r="410">
      <c r="C410" s="198"/>
      <c r="E410" s="198"/>
      <c r="F410" s="198"/>
      <c r="J410" s="652"/>
    </row>
    <row r="411">
      <c r="C411" s="198"/>
      <c r="E411" s="198"/>
      <c r="F411" s="198"/>
      <c r="J411" s="652"/>
    </row>
    <row r="412">
      <c r="C412" s="198"/>
      <c r="E412" s="198"/>
      <c r="F412" s="198"/>
      <c r="J412" s="652"/>
    </row>
    <row r="413">
      <c r="C413" s="198"/>
      <c r="E413" s="198"/>
      <c r="F413" s="198"/>
      <c r="J413" s="652"/>
    </row>
    <row r="414">
      <c r="C414" s="198"/>
      <c r="E414" s="198"/>
      <c r="F414" s="198"/>
      <c r="J414" s="652"/>
    </row>
    <row r="415">
      <c r="C415" s="198"/>
      <c r="E415" s="198"/>
      <c r="F415" s="198"/>
      <c r="J415" s="652"/>
    </row>
    <row r="416">
      <c r="C416" s="198"/>
      <c r="E416" s="198"/>
      <c r="F416" s="198"/>
      <c r="J416" s="652"/>
    </row>
    <row r="417">
      <c r="C417" s="198"/>
      <c r="E417" s="198"/>
      <c r="F417" s="198"/>
      <c r="J417" s="652"/>
    </row>
    <row r="418">
      <c r="C418" s="198"/>
      <c r="E418" s="198"/>
      <c r="F418" s="198"/>
      <c r="J418" s="652"/>
    </row>
    <row r="419">
      <c r="C419" s="198"/>
      <c r="E419" s="198"/>
      <c r="F419" s="198"/>
      <c r="J419" s="652"/>
    </row>
    <row r="420">
      <c r="C420" s="198"/>
      <c r="E420" s="198"/>
      <c r="F420" s="198"/>
      <c r="J420" s="652"/>
    </row>
    <row r="421">
      <c r="C421" s="198"/>
      <c r="E421" s="198"/>
      <c r="F421" s="198"/>
      <c r="J421" s="652"/>
    </row>
    <row r="422">
      <c r="C422" s="198"/>
      <c r="E422" s="198"/>
      <c r="F422" s="198"/>
      <c r="J422" s="652"/>
    </row>
    <row r="423">
      <c r="C423" s="198"/>
      <c r="E423" s="198"/>
      <c r="F423" s="198"/>
      <c r="J423" s="652"/>
    </row>
    <row r="424">
      <c r="C424" s="198"/>
      <c r="E424" s="198"/>
      <c r="F424" s="198"/>
      <c r="J424" s="652"/>
    </row>
    <row r="425">
      <c r="C425" s="198"/>
      <c r="E425" s="198"/>
      <c r="F425" s="198"/>
      <c r="J425" s="652"/>
    </row>
    <row r="426">
      <c r="C426" s="198"/>
      <c r="E426" s="198"/>
      <c r="F426" s="198"/>
      <c r="J426" s="652"/>
    </row>
    <row r="427">
      <c r="C427" s="198"/>
      <c r="E427" s="198"/>
      <c r="F427" s="198"/>
      <c r="J427" s="652"/>
    </row>
    <row r="428">
      <c r="C428" s="198"/>
      <c r="E428" s="198"/>
      <c r="F428" s="198"/>
      <c r="J428" s="652"/>
    </row>
    <row r="429">
      <c r="C429" s="198"/>
      <c r="E429" s="198"/>
      <c r="F429" s="198"/>
      <c r="J429" s="652"/>
    </row>
    <row r="430">
      <c r="C430" s="198"/>
      <c r="E430" s="198"/>
      <c r="F430" s="198"/>
      <c r="J430" s="652"/>
    </row>
    <row r="431">
      <c r="C431" s="198"/>
      <c r="E431" s="198"/>
      <c r="F431" s="198"/>
      <c r="J431" s="652"/>
    </row>
    <row r="432">
      <c r="C432" s="198"/>
      <c r="E432" s="198"/>
      <c r="F432" s="198"/>
      <c r="J432" s="652"/>
    </row>
    <row r="433">
      <c r="C433" s="198"/>
      <c r="E433" s="198"/>
      <c r="F433" s="198"/>
      <c r="J433" s="652"/>
    </row>
    <row r="434">
      <c r="C434" s="198"/>
      <c r="E434" s="198"/>
      <c r="F434" s="198"/>
      <c r="J434" s="652"/>
    </row>
    <row r="435">
      <c r="C435" s="198"/>
      <c r="E435" s="198"/>
      <c r="F435" s="198"/>
      <c r="J435" s="652"/>
    </row>
    <row r="436">
      <c r="C436" s="198"/>
      <c r="E436" s="198"/>
      <c r="F436" s="198"/>
      <c r="J436" s="652"/>
    </row>
    <row r="437">
      <c r="C437" s="198"/>
      <c r="E437" s="198"/>
      <c r="F437" s="198"/>
      <c r="J437" s="652"/>
    </row>
    <row r="438">
      <c r="C438" s="198"/>
      <c r="E438" s="198"/>
      <c r="F438" s="198"/>
      <c r="J438" s="652"/>
    </row>
    <row r="439">
      <c r="C439" s="198"/>
      <c r="E439" s="198"/>
      <c r="F439" s="198"/>
      <c r="J439" s="652"/>
    </row>
    <row r="440">
      <c r="C440" s="198"/>
      <c r="E440" s="198"/>
      <c r="F440" s="198"/>
      <c r="J440" s="652"/>
    </row>
    <row r="441">
      <c r="C441" s="198"/>
      <c r="E441" s="198"/>
      <c r="F441" s="198"/>
      <c r="J441" s="652"/>
    </row>
    <row r="442">
      <c r="C442" s="198"/>
      <c r="E442" s="198"/>
      <c r="F442" s="198"/>
      <c r="J442" s="652"/>
    </row>
    <row r="443">
      <c r="C443" s="198"/>
      <c r="E443" s="198"/>
      <c r="F443" s="198"/>
      <c r="J443" s="652"/>
    </row>
    <row r="444">
      <c r="C444" s="198"/>
      <c r="E444" s="198"/>
      <c r="F444" s="198"/>
      <c r="J444" s="652"/>
    </row>
    <row r="445">
      <c r="C445" s="198"/>
      <c r="E445" s="198"/>
      <c r="F445" s="198"/>
      <c r="J445" s="652"/>
    </row>
    <row r="446">
      <c r="C446" s="198"/>
      <c r="E446" s="198"/>
      <c r="F446" s="198"/>
      <c r="J446" s="652"/>
    </row>
    <row r="447">
      <c r="C447" s="198"/>
      <c r="E447" s="198"/>
      <c r="F447" s="198"/>
      <c r="J447" s="652"/>
    </row>
    <row r="448">
      <c r="C448" s="198"/>
      <c r="E448" s="198"/>
      <c r="F448" s="198"/>
      <c r="J448" s="652"/>
    </row>
    <row r="449">
      <c r="C449" s="198"/>
      <c r="E449" s="198"/>
      <c r="F449" s="198"/>
      <c r="J449" s="652"/>
    </row>
    <row r="450">
      <c r="C450" s="198"/>
      <c r="E450" s="198"/>
      <c r="F450" s="198"/>
      <c r="J450" s="652"/>
    </row>
    <row r="451">
      <c r="C451" s="198"/>
      <c r="E451" s="198"/>
      <c r="F451" s="198"/>
      <c r="J451" s="652"/>
    </row>
    <row r="452">
      <c r="C452" s="198"/>
      <c r="E452" s="198"/>
      <c r="F452" s="198"/>
      <c r="J452" s="652"/>
    </row>
    <row r="453">
      <c r="C453" s="198"/>
      <c r="E453" s="198"/>
      <c r="F453" s="198"/>
      <c r="J453" s="652"/>
    </row>
    <row r="454">
      <c r="C454" s="198"/>
      <c r="E454" s="198"/>
      <c r="F454" s="198"/>
      <c r="J454" s="652"/>
    </row>
    <row r="455">
      <c r="C455" s="198"/>
      <c r="E455" s="198"/>
      <c r="F455" s="198"/>
      <c r="J455" s="652"/>
    </row>
    <row r="456">
      <c r="C456" s="198"/>
      <c r="E456" s="198"/>
      <c r="F456" s="198"/>
      <c r="J456" s="652"/>
    </row>
    <row r="457">
      <c r="C457" s="198"/>
      <c r="E457" s="198"/>
      <c r="F457" s="198"/>
      <c r="J457" s="652"/>
    </row>
    <row r="458">
      <c r="C458" s="198"/>
      <c r="E458" s="198"/>
      <c r="F458" s="198"/>
      <c r="J458" s="652"/>
    </row>
    <row r="459">
      <c r="C459" s="198"/>
      <c r="E459" s="198"/>
      <c r="F459" s="198"/>
      <c r="J459" s="652"/>
    </row>
    <row r="460">
      <c r="C460" s="198"/>
      <c r="E460" s="198"/>
      <c r="F460" s="198"/>
      <c r="J460" s="652"/>
    </row>
    <row r="461">
      <c r="C461" s="198"/>
      <c r="E461" s="198"/>
      <c r="F461" s="198"/>
      <c r="J461" s="652"/>
    </row>
    <row r="462">
      <c r="C462" s="198"/>
      <c r="E462" s="198"/>
      <c r="F462" s="198"/>
      <c r="J462" s="652"/>
    </row>
    <row r="463">
      <c r="C463" s="198"/>
      <c r="E463" s="198"/>
      <c r="F463" s="198"/>
      <c r="J463" s="652"/>
    </row>
    <row r="464">
      <c r="C464" s="198"/>
      <c r="E464" s="198"/>
      <c r="F464" s="198"/>
      <c r="J464" s="652"/>
    </row>
    <row r="465">
      <c r="C465" s="198"/>
      <c r="E465" s="198"/>
      <c r="F465" s="198"/>
      <c r="J465" s="652"/>
    </row>
    <row r="466">
      <c r="C466" s="198"/>
      <c r="E466" s="198"/>
      <c r="F466" s="198"/>
      <c r="J466" s="652"/>
    </row>
    <row r="467">
      <c r="C467" s="198"/>
      <c r="E467" s="198"/>
      <c r="F467" s="198"/>
      <c r="J467" s="652"/>
    </row>
    <row r="468">
      <c r="C468" s="198"/>
      <c r="E468" s="198"/>
      <c r="F468" s="198"/>
      <c r="J468" s="652"/>
    </row>
    <row r="469">
      <c r="C469" s="198"/>
      <c r="E469" s="198"/>
      <c r="F469" s="198"/>
      <c r="J469" s="652"/>
    </row>
    <row r="470">
      <c r="C470" s="198"/>
      <c r="E470" s="198"/>
      <c r="F470" s="198"/>
      <c r="J470" s="652"/>
    </row>
    <row r="471">
      <c r="C471" s="198"/>
      <c r="E471" s="198"/>
      <c r="F471" s="198"/>
      <c r="J471" s="652"/>
    </row>
    <row r="472">
      <c r="C472" s="198"/>
      <c r="E472" s="198"/>
      <c r="F472" s="198"/>
      <c r="J472" s="652"/>
    </row>
    <row r="473">
      <c r="C473" s="198"/>
      <c r="E473" s="198"/>
      <c r="F473" s="198"/>
      <c r="J473" s="652"/>
    </row>
    <row r="474">
      <c r="C474" s="198"/>
      <c r="E474" s="198"/>
      <c r="F474" s="198"/>
      <c r="J474" s="652"/>
    </row>
    <row r="475">
      <c r="C475" s="198"/>
      <c r="E475" s="198"/>
      <c r="F475" s="198"/>
      <c r="J475" s="652"/>
    </row>
    <row r="476">
      <c r="C476" s="198"/>
      <c r="E476" s="198"/>
      <c r="F476" s="198"/>
      <c r="J476" s="652"/>
    </row>
    <row r="477">
      <c r="C477" s="198"/>
      <c r="E477" s="198"/>
      <c r="F477" s="198"/>
      <c r="J477" s="652"/>
    </row>
    <row r="478">
      <c r="C478" s="198"/>
      <c r="E478" s="198"/>
      <c r="F478" s="198"/>
      <c r="J478" s="652"/>
    </row>
    <row r="479">
      <c r="C479" s="198"/>
      <c r="E479" s="198"/>
      <c r="F479" s="198"/>
      <c r="J479" s="652"/>
    </row>
    <row r="480">
      <c r="C480" s="198"/>
      <c r="E480" s="198"/>
      <c r="F480" s="198"/>
      <c r="J480" s="652"/>
    </row>
    <row r="481">
      <c r="C481" s="198"/>
      <c r="E481" s="198"/>
      <c r="F481" s="198"/>
      <c r="J481" s="652"/>
    </row>
    <row r="482">
      <c r="C482" s="198"/>
      <c r="E482" s="198"/>
      <c r="F482" s="198"/>
      <c r="J482" s="652"/>
    </row>
    <row r="483">
      <c r="C483" s="198"/>
      <c r="E483" s="198"/>
      <c r="F483" s="198"/>
      <c r="J483" s="652"/>
    </row>
    <row r="484">
      <c r="C484" s="198"/>
      <c r="E484" s="198"/>
      <c r="F484" s="198"/>
      <c r="J484" s="652"/>
    </row>
    <row r="485">
      <c r="C485" s="198"/>
      <c r="E485" s="198"/>
      <c r="F485" s="198"/>
      <c r="J485" s="652"/>
    </row>
    <row r="486">
      <c r="C486" s="198"/>
      <c r="E486" s="198"/>
      <c r="F486" s="198"/>
      <c r="J486" s="652"/>
    </row>
    <row r="487">
      <c r="C487" s="198"/>
      <c r="E487" s="198"/>
      <c r="F487" s="198"/>
      <c r="J487" s="652"/>
    </row>
    <row r="488">
      <c r="C488" s="198"/>
      <c r="E488" s="198"/>
      <c r="F488" s="198"/>
      <c r="J488" s="652"/>
    </row>
    <row r="489">
      <c r="C489" s="198"/>
      <c r="E489" s="198"/>
      <c r="F489" s="198"/>
      <c r="J489" s="652"/>
    </row>
    <row r="490">
      <c r="C490" s="198"/>
      <c r="E490" s="198"/>
      <c r="F490" s="198"/>
      <c r="J490" s="652"/>
    </row>
    <row r="491">
      <c r="C491" s="198"/>
      <c r="E491" s="198"/>
      <c r="F491" s="198"/>
      <c r="J491" s="652"/>
    </row>
    <row r="492">
      <c r="C492" s="198"/>
      <c r="E492" s="198"/>
      <c r="F492" s="198"/>
      <c r="J492" s="652"/>
    </row>
    <row r="493">
      <c r="C493" s="198"/>
      <c r="E493" s="198"/>
      <c r="F493" s="198"/>
      <c r="J493" s="652"/>
    </row>
    <row r="494">
      <c r="C494" s="198"/>
      <c r="E494" s="198"/>
      <c r="F494" s="198"/>
      <c r="J494" s="652"/>
    </row>
    <row r="495">
      <c r="C495" s="198"/>
      <c r="E495" s="198"/>
      <c r="F495" s="198"/>
      <c r="J495" s="652"/>
    </row>
    <row r="496">
      <c r="C496" s="198"/>
      <c r="E496" s="198"/>
      <c r="F496" s="198"/>
      <c r="J496" s="652"/>
    </row>
    <row r="497">
      <c r="C497" s="198"/>
      <c r="E497" s="198"/>
      <c r="F497" s="198"/>
      <c r="J497" s="652"/>
    </row>
    <row r="498">
      <c r="C498" s="198"/>
      <c r="E498" s="198"/>
      <c r="F498" s="198"/>
      <c r="J498" s="652"/>
    </row>
    <row r="499">
      <c r="C499" s="198"/>
      <c r="E499" s="198"/>
      <c r="F499" s="198"/>
      <c r="J499" s="652"/>
    </row>
    <row r="500">
      <c r="C500" s="198"/>
      <c r="E500" s="198"/>
      <c r="F500" s="198"/>
      <c r="J500" s="652"/>
    </row>
    <row r="501">
      <c r="C501" s="198"/>
      <c r="E501" s="198"/>
      <c r="F501" s="198"/>
      <c r="J501" s="652"/>
    </row>
    <row r="502">
      <c r="C502" s="198"/>
      <c r="E502" s="198"/>
      <c r="F502" s="198"/>
      <c r="J502" s="652"/>
    </row>
    <row r="503">
      <c r="C503" s="198"/>
      <c r="E503" s="198"/>
      <c r="F503" s="198"/>
      <c r="J503" s="652"/>
    </row>
    <row r="504">
      <c r="C504" s="198"/>
      <c r="E504" s="198"/>
      <c r="F504" s="198"/>
      <c r="J504" s="652"/>
    </row>
    <row r="505">
      <c r="C505" s="198"/>
      <c r="E505" s="198"/>
      <c r="F505" s="198"/>
      <c r="J505" s="652"/>
    </row>
    <row r="506">
      <c r="C506" s="198"/>
      <c r="E506" s="198"/>
      <c r="F506" s="198"/>
      <c r="J506" s="652"/>
    </row>
    <row r="507">
      <c r="C507" s="198"/>
      <c r="E507" s="198"/>
      <c r="F507" s="198"/>
      <c r="J507" s="652"/>
    </row>
    <row r="508">
      <c r="C508" s="198"/>
      <c r="E508" s="198"/>
      <c r="F508" s="198"/>
      <c r="J508" s="652"/>
    </row>
    <row r="509">
      <c r="C509" s="198"/>
      <c r="E509" s="198"/>
      <c r="F509" s="198"/>
      <c r="J509" s="652"/>
    </row>
    <row r="510">
      <c r="C510" s="198"/>
      <c r="E510" s="198"/>
      <c r="F510" s="198"/>
      <c r="J510" s="652"/>
    </row>
    <row r="511">
      <c r="C511" s="198"/>
      <c r="E511" s="198"/>
      <c r="F511" s="198"/>
      <c r="J511" s="652"/>
    </row>
    <row r="512">
      <c r="C512" s="198"/>
      <c r="E512" s="198"/>
      <c r="F512" s="198"/>
      <c r="J512" s="652"/>
    </row>
    <row r="513">
      <c r="C513" s="198"/>
      <c r="E513" s="198"/>
      <c r="F513" s="198"/>
      <c r="J513" s="652"/>
    </row>
    <row r="514">
      <c r="C514" s="198"/>
      <c r="E514" s="198"/>
      <c r="F514" s="198"/>
      <c r="J514" s="652"/>
    </row>
    <row r="515">
      <c r="C515" s="198"/>
      <c r="E515" s="198"/>
      <c r="F515" s="198"/>
      <c r="J515" s="652"/>
    </row>
    <row r="516">
      <c r="C516" s="198"/>
      <c r="E516" s="198"/>
      <c r="F516" s="198"/>
      <c r="J516" s="652"/>
    </row>
    <row r="517">
      <c r="C517" s="198"/>
      <c r="E517" s="198"/>
      <c r="F517" s="198"/>
      <c r="J517" s="652"/>
    </row>
    <row r="518">
      <c r="C518" s="198"/>
      <c r="E518" s="198"/>
      <c r="F518" s="198"/>
      <c r="J518" s="652"/>
    </row>
    <row r="519">
      <c r="C519" s="198"/>
      <c r="E519" s="198"/>
      <c r="F519" s="198"/>
      <c r="J519" s="652"/>
    </row>
    <row r="520">
      <c r="C520" s="198"/>
      <c r="E520" s="198"/>
      <c r="F520" s="198"/>
      <c r="J520" s="652"/>
    </row>
    <row r="521">
      <c r="C521" s="198"/>
      <c r="E521" s="198"/>
      <c r="F521" s="198"/>
      <c r="J521" s="652"/>
    </row>
    <row r="522">
      <c r="C522" s="198"/>
      <c r="E522" s="198"/>
      <c r="F522" s="198"/>
      <c r="J522" s="652"/>
    </row>
    <row r="523">
      <c r="C523" s="198"/>
      <c r="E523" s="198"/>
      <c r="F523" s="198"/>
      <c r="J523" s="652"/>
    </row>
    <row r="524">
      <c r="C524" s="198"/>
      <c r="E524" s="198"/>
      <c r="F524" s="198"/>
      <c r="J524" s="652"/>
    </row>
    <row r="525">
      <c r="C525" s="198"/>
      <c r="E525" s="198"/>
      <c r="F525" s="198"/>
      <c r="J525" s="652"/>
    </row>
    <row r="526">
      <c r="C526" s="198"/>
      <c r="E526" s="198"/>
      <c r="F526" s="198"/>
      <c r="J526" s="652"/>
    </row>
    <row r="527">
      <c r="C527" s="198"/>
      <c r="E527" s="198"/>
      <c r="F527" s="198"/>
      <c r="J527" s="652"/>
    </row>
    <row r="528">
      <c r="C528" s="198"/>
      <c r="E528" s="198"/>
      <c r="F528" s="198"/>
      <c r="J528" s="652"/>
    </row>
    <row r="529">
      <c r="C529" s="198"/>
      <c r="E529" s="198"/>
      <c r="F529" s="198"/>
      <c r="J529" s="652"/>
    </row>
    <row r="530">
      <c r="C530" s="198"/>
      <c r="E530" s="198"/>
      <c r="F530" s="198"/>
      <c r="J530" s="652"/>
    </row>
    <row r="531">
      <c r="C531" s="198"/>
      <c r="E531" s="198"/>
      <c r="F531" s="198"/>
      <c r="J531" s="652"/>
    </row>
    <row r="532">
      <c r="C532" s="198"/>
      <c r="E532" s="198"/>
      <c r="F532" s="198"/>
      <c r="J532" s="652"/>
    </row>
    <row r="533">
      <c r="C533" s="198"/>
      <c r="E533" s="198"/>
      <c r="F533" s="198"/>
      <c r="J533" s="652"/>
    </row>
    <row r="534">
      <c r="C534" s="198"/>
      <c r="E534" s="198"/>
      <c r="F534" s="198"/>
      <c r="J534" s="652"/>
    </row>
    <row r="535">
      <c r="C535" s="198"/>
      <c r="E535" s="198"/>
      <c r="F535" s="198"/>
      <c r="J535" s="652"/>
    </row>
    <row r="536">
      <c r="C536" s="198"/>
      <c r="E536" s="198"/>
      <c r="F536" s="198"/>
      <c r="J536" s="652"/>
    </row>
    <row r="537">
      <c r="C537" s="198"/>
      <c r="E537" s="198"/>
      <c r="F537" s="198"/>
      <c r="J537" s="652"/>
    </row>
    <row r="538">
      <c r="C538" s="198"/>
      <c r="E538" s="198"/>
      <c r="F538" s="198"/>
      <c r="J538" s="652"/>
    </row>
    <row r="539">
      <c r="C539" s="198"/>
      <c r="E539" s="198"/>
      <c r="F539" s="198"/>
      <c r="J539" s="652"/>
    </row>
    <row r="540">
      <c r="C540" s="198"/>
      <c r="E540" s="198"/>
      <c r="F540" s="198"/>
      <c r="J540" s="652"/>
    </row>
    <row r="541">
      <c r="C541" s="198"/>
      <c r="E541" s="198"/>
      <c r="F541" s="198"/>
      <c r="J541" s="652"/>
    </row>
    <row r="542">
      <c r="C542" s="198"/>
      <c r="E542" s="198"/>
      <c r="F542" s="198"/>
      <c r="J542" s="652"/>
    </row>
    <row r="543">
      <c r="C543" s="198"/>
      <c r="E543" s="198"/>
      <c r="F543" s="198"/>
      <c r="J543" s="652"/>
    </row>
    <row r="544">
      <c r="C544" s="198"/>
      <c r="E544" s="198"/>
      <c r="F544" s="198"/>
      <c r="J544" s="652"/>
    </row>
    <row r="545">
      <c r="C545" s="198"/>
      <c r="E545" s="198"/>
      <c r="F545" s="198"/>
      <c r="J545" s="652"/>
    </row>
    <row r="546">
      <c r="C546" s="198"/>
      <c r="E546" s="198"/>
      <c r="F546" s="198"/>
      <c r="J546" s="652"/>
    </row>
    <row r="547">
      <c r="C547" s="198"/>
      <c r="E547" s="198"/>
      <c r="F547" s="198"/>
      <c r="J547" s="652"/>
    </row>
    <row r="548">
      <c r="C548" s="198"/>
      <c r="E548" s="198"/>
      <c r="F548" s="198"/>
      <c r="J548" s="652"/>
    </row>
    <row r="549">
      <c r="C549" s="198"/>
      <c r="E549" s="198"/>
      <c r="F549" s="198"/>
      <c r="J549" s="652"/>
    </row>
    <row r="550">
      <c r="C550" s="198"/>
      <c r="E550" s="198"/>
      <c r="F550" s="198"/>
      <c r="J550" s="652"/>
    </row>
    <row r="551">
      <c r="C551" s="198"/>
      <c r="E551" s="198"/>
      <c r="F551" s="198"/>
      <c r="J551" s="652"/>
    </row>
    <row r="552">
      <c r="C552" s="198"/>
      <c r="E552" s="198"/>
      <c r="F552" s="198"/>
      <c r="J552" s="652"/>
    </row>
    <row r="553">
      <c r="C553" s="198"/>
      <c r="E553" s="198"/>
      <c r="F553" s="198"/>
      <c r="J553" s="652"/>
    </row>
    <row r="554">
      <c r="C554" s="198"/>
      <c r="E554" s="198"/>
      <c r="F554" s="198"/>
      <c r="J554" s="652"/>
    </row>
    <row r="555">
      <c r="C555" s="198"/>
      <c r="E555" s="198"/>
      <c r="F555" s="198"/>
      <c r="J555" s="652"/>
    </row>
    <row r="556">
      <c r="C556" s="198"/>
      <c r="E556" s="198"/>
      <c r="F556" s="198"/>
      <c r="J556" s="652"/>
    </row>
    <row r="557">
      <c r="C557" s="198"/>
      <c r="E557" s="198"/>
      <c r="F557" s="198"/>
      <c r="J557" s="652"/>
    </row>
    <row r="558">
      <c r="C558" s="198"/>
      <c r="E558" s="198"/>
      <c r="F558" s="198"/>
      <c r="J558" s="652"/>
    </row>
    <row r="559">
      <c r="C559" s="198"/>
      <c r="E559" s="198"/>
      <c r="F559" s="198"/>
      <c r="J559" s="652"/>
    </row>
    <row r="560">
      <c r="C560" s="198"/>
      <c r="E560" s="198"/>
      <c r="F560" s="198"/>
      <c r="J560" s="652"/>
    </row>
    <row r="561">
      <c r="C561" s="198"/>
      <c r="E561" s="198"/>
      <c r="F561" s="198"/>
      <c r="J561" s="652"/>
    </row>
    <row r="562">
      <c r="C562" s="198"/>
      <c r="E562" s="198"/>
      <c r="F562" s="198"/>
      <c r="J562" s="652"/>
    </row>
    <row r="563">
      <c r="C563" s="198"/>
      <c r="E563" s="198"/>
      <c r="F563" s="198"/>
      <c r="J563" s="652"/>
    </row>
    <row r="564">
      <c r="C564" s="198"/>
      <c r="E564" s="198"/>
      <c r="F564" s="198"/>
      <c r="J564" s="652"/>
    </row>
    <row r="565">
      <c r="C565" s="198"/>
      <c r="E565" s="198"/>
      <c r="F565" s="198"/>
      <c r="J565" s="652"/>
    </row>
    <row r="566">
      <c r="C566" s="198"/>
      <c r="E566" s="198"/>
      <c r="F566" s="198"/>
      <c r="J566" s="652"/>
    </row>
    <row r="567">
      <c r="C567" s="198"/>
      <c r="E567" s="198"/>
      <c r="F567" s="198"/>
      <c r="J567" s="652"/>
    </row>
    <row r="568">
      <c r="C568" s="198"/>
      <c r="E568" s="198"/>
      <c r="F568" s="198"/>
      <c r="J568" s="652"/>
    </row>
    <row r="569">
      <c r="C569" s="198"/>
      <c r="E569" s="198"/>
      <c r="F569" s="198"/>
      <c r="J569" s="652"/>
    </row>
    <row r="570">
      <c r="C570" s="198"/>
      <c r="E570" s="198"/>
      <c r="F570" s="198"/>
      <c r="J570" s="652"/>
    </row>
    <row r="571">
      <c r="C571" s="198"/>
      <c r="E571" s="198"/>
      <c r="F571" s="198"/>
      <c r="J571" s="652"/>
    </row>
    <row r="572">
      <c r="C572" s="198"/>
      <c r="E572" s="198"/>
      <c r="F572" s="198"/>
      <c r="J572" s="652"/>
    </row>
    <row r="573">
      <c r="C573" s="198"/>
      <c r="E573" s="198"/>
      <c r="F573" s="198"/>
      <c r="J573" s="652"/>
    </row>
    <row r="574">
      <c r="C574" s="198"/>
      <c r="E574" s="198"/>
      <c r="F574" s="198"/>
      <c r="J574" s="652"/>
    </row>
    <row r="575">
      <c r="C575" s="198"/>
      <c r="E575" s="198"/>
      <c r="F575" s="198"/>
      <c r="J575" s="652"/>
    </row>
    <row r="576">
      <c r="C576" s="198"/>
      <c r="E576" s="198"/>
      <c r="F576" s="198"/>
      <c r="J576" s="652"/>
    </row>
    <row r="577">
      <c r="C577" s="198"/>
      <c r="E577" s="198"/>
      <c r="F577" s="198"/>
      <c r="J577" s="652"/>
    </row>
    <row r="578">
      <c r="C578" s="198"/>
      <c r="E578" s="198"/>
      <c r="F578" s="198"/>
      <c r="J578" s="652"/>
    </row>
    <row r="579">
      <c r="C579" s="198"/>
      <c r="E579" s="198"/>
      <c r="F579" s="198"/>
      <c r="J579" s="652"/>
    </row>
    <row r="580">
      <c r="C580" s="198"/>
      <c r="E580" s="198"/>
      <c r="F580" s="198"/>
      <c r="J580" s="652"/>
    </row>
    <row r="581">
      <c r="C581" s="198"/>
      <c r="E581" s="198"/>
      <c r="F581" s="198"/>
      <c r="J581" s="652"/>
    </row>
    <row r="582">
      <c r="C582" s="198"/>
      <c r="E582" s="198"/>
      <c r="F582" s="198"/>
      <c r="J582" s="652"/>
    </row>
    <row r="583">
      <c r="C583" s="198"/>
      <c r="E583" s="198"/>
      <c r="F583" s="198"/>
      <c r="J583" s="652"/>
    </row>
    <row r="584">
      <c r="C584" s="198"/>
      <c r="E584" s="198"/>
      <c r="F584" s="198"/>
      <c r="J584" s="652"/>
    </row>
    <row r="585">
      <c r="C585" s="198"/>
      <c r="E585" s="198"/>
      <c r="F585" s="198"/>
      <c r="J585" s="652"/>
    </row>
    <row r="586">
      <c r="C586" s="198"/>
      <c r="E586" s="198"/>
      <c r="F586" s="198"/>
      <c r="J586" s="652"/>
    </row>
    <row r="587">
      <c r="C587" s="198"/>
      <c r="E587" s="198"/>
      <c r="F587" s="198"/>
      <c r="J587" s="652"/>
    </row>
    <row r="588">
      <c r="C588" s="198"/>
      <c r="E588" s="198"/>
      <c r="F588" s="198"/>
      <c r="J588" s="652"/>
    </row>
    <row r="589">
      <c r="C589" s="198"/>
      <c r="E589" s="198"/>
      <c r="F589" s="198"/>
      <c r="J589" s="652"/>
    </row>
    <row r="590">
      <c r="C590" s="198"/>
      <c r="E590" s="198"/>
      <c r="F590" s="198"/>
      <c r="J590" s="652"/>
    </row>
    <row r="591">
      <c r="C591" s="198"/>
      <c r="E591" s="198"/>
      <c r="F591" s="198"/>
      <c r="J591" s="652"/>
    </row>
    <row r="592">
      <c r="C592" s="198"/>
      <c r="E592" s="198"/>
      <c r="F592" s="198"/>
      <c r="J592" s="652"/>
    </row>
    <row r="593">
      <c r="C593" s="198"/>
      <c r="E593" s="198"/>
      <c r="F593" s="198"/>
      <c r="J593" s="652"/>
    </row>
    <row r="594">
      <c r="C594" s="198"/>
      <c r="E594" s="198"/>
      <c r="F594" s="198"/>
      <c r="J594" s="652"/>
    </row>
    <row r="595">
      <c r="C595" s="198"/>
      <c r="E595" s="198"/>
      <c r="F595" s="198"/>
      <c r="J595" s="652"/>
    </row>
    <row r="596">
      <c r="C596" s="198"/>
      <c r="E596" s="198"/>
      <c r="F596" s="198"/>
      <c r="J596" s="652"/>
    </row>
    <row r="597">
      <c r="C597" s="198"/>
      <c r="E597" s="198"/>
      <c r="F597" s="198"/>
      <c r="J597" s="652"/>
    </row>
    <row r="598">
      <c r="C598" s="198"/>
      <c r="E598" s="198"/>
      <c r="F598" s="198"/>
      <c r="J598" s="652"/>
    </row>
    <row r="599">
      <c r="C599" s="198"/>
      <c r="E599" s="198"/>
      <c r="F599" s="198"/>
      <c r="J599" s="652"/>
    </row>
    <row r="600">
      <c r="C600" s="198"/>
      <c r="E600" s="198"/>
      <c r="F600" s="198"/>
      <c r="J600" s="652"/>
    </row>
    <row r="601">
      <c r="C601" s="198"/>
      <c r="E601" s="198"/>
      <c r="F601" s="198"/>
      <c r="J601" s="652"/>
    </row>
    <row r="602">
      <c r="C602" s="198"/>
      <c r="E602" s="198"/>
      <c r="F602" s="198"/>
      <c r="J602" s="652"/>
    </row>
    <row r="603">
      <c r="C603" s="198"/>
      <c r="E603" s="198"/>
      <c r="F603" s="198"/>
      <c r="J603" s="652"/>
    </row>
    <row r="604">
      <c r="C604" s="198"/>
      <c r="E604" s="198"/>
      <c r="F604" s="198"/>
      <c r="J604" s="652"/>
    </row>
    <row r="605">
      <c r="C605" s="198"/>
      <c r="E605" s="198"/>
      <c r="F605" s="198"/>
      <c r="J605" s="652"/>
    </row>
    <row r="606">
      <c r="C606" s="198"/>
      <c r="E606" s="198"/>
      <c r="F606" s="198"/>
      <c r="J606" s="652"/>
    </row>
    <row r="607">
      <c r="C607" s="198"/>
      <c r="E607" s="198"/>
      <c r="F607" s="198"/>
      <c r="J607" s="652"/>
    </row>
    <row r="608">
      <c r="C608" s="198"/>
      <c r="E608" s="198"/>
      <c r="F608" s="198"/>
      <c r="J608" s="652"/>
    </row>
    <row r="609">
      <c r="C609" s="198"/>
      <c r="E609" s="198"/>
      <c r="F609" s="198"/>
      <c r="J609" s="652"/>
    </row>
    <row r="610">
      <c r="C610" s="198"/>
      <c r="E610" s="198"/>
      <c r="F610" s="198"/>
      <c r="J610" s="652"/>
    </row>
    <row r="611">
      <c r="C611" s="198"/>
      <c r="E611" s="198"/>
      <c r="F611" s="198"/>
      <c r="J611" s="652"/>
    </row>
    <row r="612">
      <c r="C612" s="198"/>
      <c r="E612" s="198"/>
      <c r="F612" s="198"/>
      <c r="J612" s="652"/>
    </row>
    <row r="613">
      <c r="C613" s="198"/>
      <c r="E613" s="198"/>
      <c r="F613" s="198"/>
      <c r="J613" s="652"/>
    </row>
    <row r="614">
      <c r="C614" s="198"/>
      <c r="E614" s="198"/>
      <c r="F614" s="198"/>
      <c r="J614" s="652"/>
    </row>
    <row r="615">
      <c r="C615" s="198"/>
      <c r="E615" s="198"/>
      <c r="F615" s="198"/>
      <c r="J615" s="652"/>
    </row>
    <row r="616">
      <c r="C616" s="198"/>
      <c r="E616" s="198"/>
      <c r="F616" s="198"/>
      <c r="J616" s="652"/>
    </row>
    <row r="617">
      <c r="C617" s="198"/>
      <c r="E617" s="198"/>
      <c r="F617" s="198"/>
      <c r="J617" s="652"/>
    </row>
    <row r="618">
      <c r="C618" s="198"/>
      <c r="E618" s="198"/>
      <c r="F618" s="198"/>
      <c r="J618" s="652"/>
    </row>
    <row r="619">
      <c r="C619" s="198"/>
      <c r="E619" s="198"/>
      <c r="F619" s="198"/>
      <c r="J619" s="652"/>
    </row>
    <row r="620">
      <c r="C620" s="198"/>
      <c r="E620" s="198"/>
      <c r="F620" s="198"/>
      <c r="J620" s="652"/>
    </row>
    <row r="621">
      <c r="C621" s="198"/>
      <c r="E621" s="198"/>
      <c r="F621" s="198"/>
      <c r="J621" s="652"/>
    </row>
    <row r="622">
      <c r="C622" s="198"/>
      <c r="E622" s="198"/>
      <c r="F622" s="198"/>
      <c r="J622" s="652"/>
    </row>
    <row r="623">
      <c r="C623" s="198"/>
      <c r="E623" s="198"/>
      <c r="F623" s="198"/>
      <c r="J623" s="652"/>
    </row>
    <row r="624">
      <c r="C624" s="198"/>
      <c r="E624" s="198"/>
      <c r="F624" s="198"/>
      <c r="J624" s="652"/>
    </row>
    <row r="625">
      <c r="C625" s="198"/>
      <c r="E625" s="198"/>
      <c r="F625" s="198"/>
      <c r="J625" s="652"/>
    </row>
    <row r="626">
      <c r="C626" s="198"/>
      <c r="E626" s="198"/>
      <c r="F626" s="198"/>
      <c r="J626" s="652"/>
    </row>
    <row r="627">
      <c r="C627" s="198"/>
      <c r="E627" s="198"/>
      <c r="F627" s="198"/>
      <c r="J627" s="652"/>
    </row>
    <row r="628">
      <c r="C628" s="198"/>
      <c r="E628" s="198"/>
      <c r="F628" s="198"/>
      <c r="J628" s="652"/>
    </row>
    <row r="629">
      <c r="C629" s="198"/>
      <c r="E629" s="198"/>
      <c r="F629" s="198"/>
      <c r="J629" s="652"/>
    </row>
    <row r="630">
      <c r="C630" s="198"/>
      <c r="E630" s="198"/>
      <c r="F630" s="198"/>
      <c r="J630" s="652"/>
    </row>
    <row r="631">
      <c r="C631" s="198"/>
      <c r="E631" s="198"/>
      <c r="F631" s="198"/>
      <c r="J631" s="652"/>
    </row>
    <row r="632">
      <c r="C632" s="198"/>
      <c r="E632" s="198"/>
      <c r="F632" s="198"/>
      <c r="J632" s="652"/>
    </row>
    <row r="633">
      <c r="C633" s="198"/>
      <c r="E633" s="198"/>
      <c r="F633" s="198"/>
      <c r="J633" s="652"/>
    </row>
    <row r="634">
      <c r="C634" s="198"/>
      <c r="E634" s="198"/>
      <c r="F634" s="198"/>
      <c r="J634" s="652"/>
    </row>
    <row r="635">
      <c r="C635" s="198"/>
      <c r="E635" s="198"/>
      <c r="F635" s="198"/>
      <c r="J635" s="652"/>
    </row>
    <row r="636">
      <c r="C636" s="198"/>
      <c r="E636" s="198"/>
      <c r="F636" s="198"/>
      <c r="J636" s="652"/>
    </row>
    <row r="637">
      <c r="C637" s="198"/>
      <c r="E637" s="198"/>
      <c r="F637" s="198"/>
      <c r="J637" s="652"/>
    </row>
    <row r="638">
      <c r="C638" s="198"/>
      <c r="E638" s="198"/>
      <c r="F638" s="198"/>
      <c r="J638" s="652"/>
    </row>
    <row r="639">
      <c r="C639" s="198"/>
      <c r="E639" s="198"/>
      <c r="F639" s="198"/>
      <c r="J639" s="652"/>
    </row>
    <row r="640">
      <c r="C640" s="198"/>
      <c r="E640" s="198"/>
      <c r="F640" s="198"/>
      <c r="J640" s="652"/>
    </row>
    <row r="641">
      <c r="C641" s="198"/>
      <c r="E641" s="198"/>
      <c r="F641" s="198"/>
      <c r="J641" s="652"/>
    </row>
    <row r="642">
      <c r="C642" s="198"/>
      <c r="E642" s="198"/>
      <c r="F642" s="198"/>
      <c r="J642" s="652"/>
    </row>
    <row r="643">
      <c r="C643" s="198"/>
      <c r="E643" s="198"/>
      <c r="F643" s="198"/>
      <c r="J643" s="652"/>
    </row>
    <row r="644">
      <c r="C644" s="198"/>
      <c r="E644" s="198"/>
      <c r="F644" s="198"/>
      <c r="J644" s="652"/>
    </row>
    <row r="645">
      <c r="C645" s="198"/>
      <c r="E645" s="198"/>
      <c r="F645" s="198"/>
      <c r="J645" s="652"/>
    </row>
    <row r="646">
      <c r="C646" s="198"/>
      <c r="E646" s="198"/>
      <c r="F646" s="198"/>
      <c r="J646" s="652"/>
    </row>
    <row r="647">
      <c r="C647" s="198"/>
      <c r="E647" s="198"/>
      <c r="F647" s="198"/>
      <c r="J647" s="652"/>
    </row>
    <row r="648">
      <c r="C648" s="198"/>
      <c r="E648" s="198"/>
      <c r="F648" s="198"/>
      <c r="J648" s="652"/>
    </row>
    <row r="649">
      <c r="C649" s="198"/>
      <c r="E649" s="198"/>
      <c r="F649" s="198"/>
      <c r="J649" s="652"/>
    </row>
    <row r="650">
      <c r="C650" s="198"/>
      <c r="E650" s="198"/>
      <c r="F650" s="198"/>
      <c r="J650" s="652"/>
    </row>
    <row r="651">
      <c r="C651" s="198"/>
      <c r="E651" s="198"/>
      <c r="F651" s="198"/>
      <c r="J651" s="652"/>
    </row>
    <row r="652">
      <c r="C652" s="198"/>
      <c r="E652" s="198"/>
      <c r="F652" s="198"/>
      <c r="J652" s="652"/>
    </row>
    <row r="653">
      <c r="C653" s="198"/>
      <c r="E653" s="198"/>
      <c r="F653" s="198"/>
      <c r="J653" s="652"/>
    </row>
    <row r="654">
      <c r="C654" s="198"/>
      <c r="E654" s="198"/>
      <c r="F654" s="198"/>
      <c r="J654" s="652"/>
    </row>
    <row r="655">
      <c r="C655" s="198"/>
      <c r="E655" s="198"/>
      <c r="F655" s="198"/>
      <c r="J655" s="652"/>
    </row>
    <row r="656">
      <c r="C656" s="198"/>
      <c r="E656" s="198"/>
      <c r="F656" s="198"/>
      <c r="J656" s="652"/>
    </row>
    <row r="657">
      <c r="C657" s="198"/>
      <c r="E657" s="198"/>
      <c r="F657" s="198"/>
      <c r="J657" s="652"/>
    </row>
    <row r="658">
      <c r="C658" s="198"/>
      <c r="E658" s="198"/>
      <c r="F658" s="198"/>
      <c r="J658" s="652"/>
    </row>
    <row r="659">
      <c r="C659" s="198"/>
      <c r="E659" s="198"/>
      <c r="F659" s="198"/>
      <c r="J659" s="652"/>
    </row>
    <row r="660">
      <c r="C660" s="198"/>
      <c r="E660" s="198"/>
      <c r="F660" s="198"/>
      <c r="J660" s="652"/>
    </row>
    <row r="661">
      <c r="C661" s="198"/>
      <c r="E661" s="198"/>
      <c r="F661" s="198"/>
      <c r="J661" s="652"/>
    </row>
    <row r="662">
      <c r="C662" s="198"/>
      <c r="E662" s="198"/>
      <c r="F662" s="198"/>
      <c r="J662" s="652"/>
    </row>
    <row r="663">
      <c r="C663" s="198"/>
      <c r="E663" s="198"/>
      <c r="F663" s="198"/>
      <c r="J663" s="652"/>
    </row>
    <row r="664">
      <c r="C664" s="198"/>
      <c r="E664" s="198"/>
      <c r="F664" s="198"/>
      <c r="J664" s="652"/>
    </row>
    <row r="665">
      <c r="C665" s="198"/>
      <c r="E665" s="198"/>
      <c r="F665" s="198"/>
      <c r="J665" s="652"/>
    </row>
    <row r="666">
      <c r="C666" s="198"/>
      <c r="E666" s="198"/>
      <c r="F666" s="198"/>
      <c r="J666" s="652"/>
    </row>
    <row r="667">
      <c r="C667" s="198"/>
      <c r="E667" s="198"/>
      <c r="F667" s="198"/>
      <c r="J667" s="652"/>
    </row>
    <row r="668">
      <c r="C668" s="198"/>
      <c r="E668" s="198"/>
      <c r="F668" s="198"/>
      <c r="J668" s="652"/>
    </row>
    <row r="669">
      <c r="C669" s="198"/>
      <c r="E669" s="198"/>
      <c r="F669" s="198"/>
      <c r="J669" s="652"/>
    </row>
    <row r="670">
      <c r="C670" s="198"/>
      <c r="E670" s="198"/>
      <c r="F670" s="198"/>
      <c r="J670" s="652"/>
    </row>
    <row r="671">
      <c r="C671" s="198"/>
      <c r="E671" s="198"/>
      <c r="F671" s="198"/>
      <c r="J671" s="652"/>
    </row>
    <row r="672">
      <c r="C672" s="198"/>
      <c r="E672" s="198"/>
      <c r="F672" s="198"/>
      <c r="J672" s="652"/>
    </row>
    <row r="673">
      <c r="C673" s="198"/>
      <c r="E673" s="198"/>
      <c r="F673" s="198"/>
      <c r="J673" s="652"/>
    </row>
    <row r="674">
      <c r="C674" s="198"/>
      <c r="E674" s="198"/>
      <c r="F674" s="198"/>
      <c r="J674" s="652"/>
    </row>
    <row r="675">
      <c r="C675" s="198"/>
      <c r="E675" s="198"/>
      <c r="F675" s="198"/>
      <c r="J675" s="652"/>
    </row>
    <row r="676">
      <c r="C676" s="198"/>
      <c r="E676" s="198"/>
      <c r="F676" s="198"/>
      <c r="J676" s="652"/>
    </row>
    <row r="677">
      <c r="C677" s="198"/>
      <c r="E677" s="198"/>
      <c r="F677" s="198"/>
      <c r="J677" s="652"/>
    </row>
    <row r="678">
      <c r="C678" s="198"/>
      <c r="E678" s="198"/>
      <c r="F678" s="198"/>
      <c r="J678" s="652"/>
    </row>
    <row r="679">
      <c r="C679" s="198"/>
      <c r="E679" s="198"/>
      <c r="F679" s="198"/>
      <c r="J679" s="652"/>
    </row>
    <row r="680">
      <c r="C680" s="198"/>
      <c r="E680" s="198"/>
      <c r="F680" s="198"/>
      <c r="J680" s="652"/>
    </row>
    <row r="681">
      <c r="C681" s="198"/>
      <c r="E681" s="198"/>
      <c r="F681" s="198"/>
      <c r="J681" s="652"/>
    </row>
    <row r="682">
      <c r="C682" s="198"/>
      <c r="E682" s="198"/>
      <c r="F682" s="198"/>
      <c r="J682" s="652"/>
    </row>
    <row r="683">
      <c r="C683" s="198"/>
      <c r="E683" s="198"/>
      <c r="F683" s="198"/>
      <c r="J683" s="652"/>
    </row>
    <row r="684">
      <c r="C684" s="198"/>
      <c r="E684" s="198"/>
      <c r="F684" s="198"/>
      <c r="J684" s="652"/>
    </row>
    <row r="685">
      <c r="C685" s="198"/>
      <c r="E685" s="198"/>
      <c r="F685" s="198"/>
      <c r="J685" s="652"/>
    </row>
    <row r="686">
      <c r="C686" s="198"/>
      <c r="E686" s="198"/>
      <c r="F686" s="198"/>
      <c r="J686" s="652"/>
    </row>
    <row r="687">
      <c r="C687" s="198"/>
      <c r="E687" s="198"/>
      <c r="F687" s="198"/>
      <c r="J687" s="652"/>
    </row>
    <row r="688">
      <c r="C688" s="198"/>
      <c r="E688" s="198"/>
      <c r="F688" s="198"/>
      <c r="J688" s="652"/>
    </row>
    <row r="689">
      <c r="C689" s="198"/>
      <c r="E689" s="198"/>
      <c r="F689" s="198"/>
      <c r="J689" s="652"/>
    </row>
    <row r="690">
      <c r="C690" s="198"/>
      <c r="E690" s="198"/>
      <c r="F690" s="198"/>
      <c r="J690" s="652"/>
    </row>
    <row r="691">
      <c r="C691" s="198"/>
      <c r="E691" s="198"/>
      <c r="F691" s="198"/>
      <c r="J691" s="652"/>
    </row>
    <row r="692">
      <c r="C692" s="198"/>
      <c r="E692" s="198"/>
      <c r="F692" s="198"/>
      <c r="J692" s="652"/>
    </row>
    <row r="693">
      <c r="C693" s="198"/>
      <c r="E693" s="198"/>
      <c r="F693" s="198"/>
      <c r="J693" s="652"/>
    </row>
    <row r="694">
      <c r="C694" s="198"/>
      <c r="E694" s="198"/>
      <c r="F694" s="198"/>
      <c r="J694" s="652"/>
    </row>
    <row r="695">
      <c r="C695" s="198"/>
      <c r="E695" s="198"/>
      <c r="F695" s="198"/>
      <c r="J695" s="652"/>
    </row>
    <row r="696">
      <c r="C696" s="198"/>
      <c r="E696" s="198"/>
      <c r="F696" s="198"/>
      <c r="J696" s="652"/>
    </row>
    <row r="697">
      <c r="C697" s="198"/>
      <c r="E697" s="198"/>
      <c r="F697" s="198"/>
      <c r="J697" s="652"/>
    </row>
    <row r="698">
      <c r="C698" s="198"/>
      <c r="E698" s="198"/>
      <c r="F698" s="198"/>
      <c r="J698" s="652"/>
    </row>
    <row r="699">
      <c r="C699" s="198"/>
      <c r="E699" s="198"/>
      <c r="F699" s="198"/>
      <c r="J699" s="652"/>
    </row>
    <row r="700">
      <c r="C700" s="198"/>
      <c r="E700" s="198"/>
      <c r="F700" s="198"/>
      <c r="J700" s="652"/>
    </row>
    <row r="701">
      <c r="C701" s="198"/>
      <c r="E701" s="198"/>
      <c r="F701" s="198"/>
      <c r="J701" s="652"/>
    </row>
    <row r="702">
      <c r="C702" s="198"/>
      <c r="E702" s="198"/>
      <c r="F702" s="198"/>
      <c r="J702" s="652"/>
    </row>
    <row r="703">
      <c r="C703" s="198"/>
      <c r="E703" s="198"/>
      <c r="F703" s="198"/>
      <c r="J703" s="652"/>
    </row>
    <row r="704">
      <c r="C704" s="198"/>
      <c r="E704" s="198"/>
      <c r="F704" s="198"/>
      <c r="J704" s="652"/>
    </row>
    <row r="705">
      <c r="C705" s="198"/>
      <c r="E705" s="198"/>
      <c r="F705" s="198"/>
      <c r="J705" s="652"/>
    </row>
    <row r="706">
      <c r="C706" s="198"/>
      <c r="E706" s="198"/>
      <c r="F706" s="198"/>
      <c r="J706" s="652"/>
    </row>
    <row r="707">
      <c r="C707" s="198"/>
      <c r="E707" s="198"/>
      <c r="F707" s="198"/>
      <c r="J707" s="652"/>
    </row>
    <row r="708">
      <c r="C708" s="198"/>
      <c r="E708" s="198"/>
      <c r="F708" s="198"/>
      <c r="J708" s="652"/>
    </row>
    <row r="709">
      <c r="C709" s="198"/>
      <c r="E709" s="198"/>
      <c r="F709" s="198"/>
      <c r="J709" s="652"/>
    </row>
    <row r="710">
      <c r="C710" s="198"/>
      <c r="E710" s="198"/>
      <c r="F710" s="198"/>
      <c r="J710" s="652"/>
    </row>
    <row r="711">
      <c r="C711" s="198"/>
      <c r="E711" s="198"/>
      <c r="F711" s="198"/>
      <c r="J711" s="652"/>
    </row>
    <row r="712">
      <c r="C712" s="198"/>
      <c r="E712" s="198"/>
      <c r="F712" s="198"/>
      <c r="J712" s="652"/>
    </row>
    <row r="713">
      <c r="C713" s="198"/>
      <c r="E713" s="198"/>
      <c r="F713" s="198"/>
      <c r="J713" s="652"/>
    </row>
    <row r="714">
      <c r="C714" s="198"/>
      <c r="E714" s="198"/>
      <c r="F714" s="198"/>
      <c r="J714" s="652"/>
    </row>
    <row r="715">
      <c r="C715" s="198"/>
      <c r="E715" s="198"/>
      <c r="F715" s="198"/>
      <c r="J715" s="652"/>
    </row>
    <row r="716">
      <c r="C716" s="198"/>
      <c r="E716" s="198"/>
      <c r="F716" s="198"/>
      <c r="J716" s="652"/>
    </row>
    <row r="717">
      <c r="C717" s="198"/>
      <c r="E717" s="198"/>
      <c r="F717" s="198"/>
      <c r="J717" s="652"/>
    </row>
    <row r="718">
      <c r="C718" s="198"/>
      <c r="E718" s="198"/>
      <c r="F718" s="198"/>
      <c r="J718" s="652"/>
    </row>
    <row r="719">
      <c r="C719" s="198"/>
      <c r="E719" s="198"/>
      <c r="F719" s="198"/>
      <c r="J719" s="652"/>
    </row>
    <row r="720">
      <c r="C720" s="198"/>
      <c r="E720" s="198"/>
      <c r="F720" s="198"/>
      <c r="J720" s="652"/>
    </row>
    <row r="721">
      <c r="C721" s="198"/>
      <c r="E721" s="198"/>
      <c r="F721" s="198"/>
      <c r="J721" s="652"/>
    </row>
    <row r="722">
      <c r="C722" s="198"/>
      <c r="E722" s="198"/>
      <c r="F722" s="198"/>
      <c r="J722" s="652"/>
    </row>
    <row r="723">
      <c r="C723" s="198"/>
      <c r="E723" s="198"/>
      <c r="F723" s="198"/>
      <c r="J723" s="652"/>
    </row>
    <row r="724">
      <c r="C724" s="198"/>
      <c r="E724" s="198"/>
      <c r="F724" s="198"/>
      <c r="J724" s="652"/>
    </row>
    <row r="725">
      <c r="C725" s="198"/>
      <c r="E725" s="198"/>
      <c r="F725" s="198"/>
      <c r="J725" s="652"/>
    </row>
    <row r="726">
      <c r="C726" s="198"/>
      <c r="E726" s="198"/>
      <c r="F726" s="198"/>
      <c r="J726" s="652"/>
    </row>
    <row r="727">
      <c r="C727" s="198"/>
      <c r="E727" s="198"/>
      <c r="F727" s="198"/>
      <c r="J727" s="652"/>
    </row>
    <row r="728">
      <c r="C728" s="198"/>
      <c r="E728" s="198"/>
      <c r="F728" s="198"/>
      <c r="J728" s="652"/>
    </row>
    <row r="729">
      <c r="C729" s="198"/>
      <c r="E729" s="198"/>
      <c r="F729" s="198"/>
      <c r="J729" s="652"/>
    </row>
    <row r="730">
      <c r="C730" s="198"/>
      <c r="E730" s="198"/>
      <c r="F730" s="198"/>
      <c r="J730" s="652"/>
    </row>
    <row r="731">
      <c r="C731" s="198"/>
      <c r="E731" s="198"/>
      <c r="F731" s="198"/>
      <c r="J731" s="652"/>
    </row>
    <row r="732">
      <c r="C732" s="198"/>
      <c r="E732" s="198"/>
      <c r="F732" s="198"/>
      <c r="J732" s="652"/>
    </row>
    <row r="733">
      <c r="C733" s="198"/>
      <c r="E733" s="198"/>
      <c r="F733" s="198"/>
      <c r="J733" s="652"/>
    </row>
    <row r="734">
      <c r="C734" s="198"/>
      <c r="E734" s="198"/>
      <c r="F734" s="198"/>
      <c r="J734" s="652"/>
    </row>
    <row r="735">
      <c r="C735" s="198"/>
      <c r="E735" s="198"/>
      <c r="F735" s="198"/>
      <c r="J735" s="652"/>
    </row>
    <row r="736">
      <c r="C736" s="198"/>
      <c r="E736" s="198"/>
      <c r="F736" s="198"/>
      <c r="J736" s="652"/>
    </row>
    <row r="737">
      <c r="C737" s="198"/>
      <c r="E737" s="198"/>
      <c r="F737" s="198"/>
      <c r="J737" s="652"/>
    </row>
    <row r="738">
      <c r="C738" s="198"/>
      <c r="E738" s="198"/>
      <c r="F738" s="198"/>
      <c r="J738" s="652"/>
    </row>
    <row r="739">
      <c r="C739" s="198"/>
      <c r="E739" s="198"/>
      <c r="F739" s="198"/>
      <c r="J739" s="652"/>
    </row>
    <row r="740">
      <c r="C740" s="198"/>
      <c r="E740" s="198"/>
      <c r="F740" s="198"/>
      <c r="J740" s="652"/>
    </row>
    <row r="741">
      <c r="C741" s="198"/>
      <c r="E741" s="198"/>
      <c r="F741" s="198"/>
      <c r="J741" s="652"/>
    </row>
    <row r="742">
      <c r="C742" s="198"/>
      <c r="E742" s="198"/>
      <c r="F742" s="198"/>
      <c r="J742" s="652"/>
    </row>
    <row r="743">
      <c r="C743" s="198"/>
      <c r="E743" s="198"/>
      <c r="F743" s="198"/>
      <c r="J743" s="652"/>
    </row>
    <row r="744">
      <c r="C744" s="198"/>
      <c r="E744" s="198"/>
      <c r="F744" s="198"/>
      <c r="J744" s="652"/>
    </row>
    <row r="745">
      <c r="C745" s="198"/>
      <c r="E745" s="198"/>
      <c r="F745" s="198"/>
      <c r="J745" s="652"/>
    </row>
    <row r="746">
      <c r="C746" s="198"/>
      <c r="E746" s="198"/>
      <c r="F746" s="198"/>
      <c r="J746" s="652"/>
    </row>
    <row r="747">
      <c r="C747" s="198"/>
      <c r="E747" s="198"/>
      <c r="F747" s="198"/>
      <c r="J747" s="652"/>
    </row>
    <row r="748">
      <c r="C748" s="198"/>
      <c r="E748" s="198"/>
      <c r="F748" s="198"/>
      <c r="J748" s="652"/>
    </row>
    <row r="749">
      <c r="C749" s="198"/>
      <c r="E749" s="198"/>
      <c r="F749" s="198"/>
      <c r="J749" s="652"/>
    </row>
    <row r="750">
      <c r="C750" s="198"/>
      <c r="E750" s="198"/>
      <c r="F750" s="198"/>
      <c r="J750" s="652"/>
    </row>
    <row r="751">
      <c r="C751" s="198"/>
      <c r="E751" s="198"/>
      <c r="F751" s="198"/>
      <c r="J751" s="652"/>
    </row>
    <row r="752">
      <c r="C752" s="198"/>
      <c r="E752" s="198"/>
      <c r="F752" s="198"/>
      <c r="J752" s="652"/>
    </row>
    <row r="753">
      <c r="C753" s="198"/>
      <c r="E753" s="198"/>
      <c r="F753" s="198"/>
      <c r="J753" s="652"/>
    </row>
    <row r="754">
      <c r="C754" s="198"/>
      <c r="E754" s="198"/>
      <c r="F754" s="198"/>
      <c r="J754" s="652"/>
    </row>
    <row r="755">
      <c r="C755" s="198"/>
      <c r="E755" s="198"/>
      <c r="F755" s="198"/>
      <c r="J755" s="652"/>
    </row>
    <row r="756">
      <c r="C756" s="198"/>
      <c r="E756" s="198"/>
      <c r="F756" s="198"/>
      <c r="J756" s="652"/>
    </row>
    <row r="757">
      <c r="C757" s="198"/>
      <c r="E757" s="198"/>
      <c r="F757" s="198"/>
      <c r="J757" s="652"/>
    </row>
    <row r="758">
      <c r="C758" s="198"/>
      <c r="E758" s="198"/>
      <c r="F758" s="198"/>
      <c r="J758" s="652"/>
    </row>
    <row r="759">
      <c r="C759" s="198"/>
      <c r="E759" s="198"/>
      <c r="F759" s="198"/>
      <c r="J759" s="652"/>
    </row>
    <row r="760">
      <c r="C760" s="198"/>
      <c r="E760" s="198"/>
      <c r="F760" s="198"/>
      <c r="J760" s="652"/>
    </row>
    <row r="761">
      <c r="C761" s="198"/>
      <c r="E761" s="198"/>
      <c r="F761" s="198"/>
      <c r="J761" s="652"/>
    </row>
    <row r="762">
      <c r="C762" s="198"/>
      <c r="E762" s="198"/>
      <c r="F762" s="198"/>
      <c r="J762" s="652"/>
    </row>
    <row r="763">
      <c r="C763" s="198"/>
      <c r="E763" s="198"/>
      <c r="F763" s="198"/>
      <c r="J763" s="652"/>
    </row>
    <row r="764">
      <c r="C764" s="198"/>
      <c r="E764" s="198"/>
      <c r="F764" s="198"/>
      <c r="J764" s="652"/>
    </row>
    <row r="765">
      <c r="C765" s="198"/>
      <c r="E765" s="198"/>
      <c r="F765" s="198"/>
      <c r="J765" s="652"/>
    </row>
    <row r="766">
      <c r="C766" s="198"/>
      <c r="E766" s="198"/>
      <c r="F766" s="198"/>
      <c r="J766" s="652"/>
    </row>
    <row r="767">
      <c r="C767" s="198"/>
      <c r="E767" s="198"/>
      <c r="F767" s="198"/>
      <c r="J767" s="652"/>
    </row>
    <row r="768">
      <c r="C768" s="198"/>
      <c r="E768" s="198"/>
      <c r="F768" s="198"/>
      <c r="J768" s="652"/>
    </row>
    <row r="769">
      <c r="C769" s="198"/>
      <c r="E769" s="198"/>
      <c r="F769" s="198"/>
      <c r="J769" s="652"/>
    </row>
    <row r="770">
      <c r="C770" s="198"/>
      <c r="E770" s="198"/>
      <c r="F770" s="198"/>
      <c r="J770" s="652"/>
    </row>
    <row r="771">
      <c r="C771" s="198"/>
      <c r="E771" s="198"/>
      <c r="F771" s="198"/>
      <c r="J771" s="652"/>
    </row>
    <row r="772">
      <c r="C772" s="198"/>
      <c r="E772" s="198"/>
      <c r="F772" s="198"/>
      <c r="J772" s="652"/>
    </row>
    <row r="773">
      <c r="C773" s="198"/>
      <c r="E773" s="198"/>
      <c r="F773" s="198"/>
      <c r="J773" s="652"/>
    </row>
    <row r="774">
      <c r="C774" s="198"/>
      <c r="E774" s="198"/>
      <c r="F774" s="198"/>
      <c r="J774" s="652"/>
    </row>
    <row r="775">
      <c r="C775" s="198"/>
      <c r="E775" s="198"/>
      <c r="F775" s="198"/>
      <c r="J775" s="652"/>
    </row>
    <row r="776">
      <c r="C776" s="198"/>
      <c r="E776" s="198"/>
      <c r="F776" s="198"/>
      <c r="J776" s="652"/>
    </row>
    <row r="777">
      <c r="C777" s="198"/>
      <c r="E777" s="198"/>
      <c r="F777" s="198"/>
      <c r="J777" s="652"/>
    </row>
    <row r="778">
      <c r="C778" s="198"/>
      <c r="E778" s="198"/>
      <c r="F778" s="198"/>
      <c r="J778" s="652"/>
    </row>
    <row r="779">
      <c r="C779" s="198"/>
      <c r="E779" s="198"/>
      <c r="F779" s="198"/>
      <c r="J779" s="652"/>
    </row>
    <row r="780">
      <c r="C780" s="198"/>
      <c r="E780" s="198"/>
      <c r="F780" s="198"/>
      <c r="J780" s="652"/>
    </row>
    <row r="781">
      <c r="C781" s="198"/>
      <c r="E781" s="198"/>
      <c r="F781" s="198"/>
      <c r="J781" s="652"/>
    </row>
    <row r="782">
      <c r="C782" s="198"/>
      <c r="E782" s="198"/>
      <c r="F782" s="198"/>
      <c r="J782" s="652"/>
    </row>
    <row r="783">
      <c r="C783" s="198"/>
      <c r="E783" s="198"/>
      <c r="F783" s="198"/>
      <c r="J783" s="652"/>
    </row>
    <row r="784">
      <c r="C784" s="198"/>
      <c r="E784" s="198"/>
      <c r="F784" s="198"/>
      <c r="J784" s="652"/>
    </row>
    <row r="785">
      <c r="C785" s="198"/>
      <c r="E785" s="198"/>
      <c r="F785" s="198"/>
      <c r="J785" s="652"/>
    </row>
    <row r="786">
      <c r="C786" s="198"/>
      <c r="E786" s="198"/>
      <c r="F786" s="198"/>
      <c r="J786" s="652"/>
    </row>
    <row r="787">
      <c r="C787" s="198"/>
      <c r="E787" s="198"/>
      <c r="F787" s="198"/>
      <c r="J787" s="652"/>
    </row>
    <row r="788">
      <c r="C788" s="198"/>
      <c r="E788" s="198"/>
      <c r="F788" s="198"/>
      <c r="J788" s="652"/>
    </row>
    <row r="789">
      <c r="C789" s="198"/>
      <c r="E789" s="198"/>
      <c r="F789" s="198"/>
      <c r="J789" s="652"/>
    </row>
    <row r="790">
      <c r="C790" s="198"/>
      <c r="E790" s="198"/>
      <c r="F790" s="198"/>
      <c r="J790" s="652"/>
    </row>
    <row r="791">
      <c r="C791" s="198"/>
      <c r="E791" s="198"/>
      <c r="F791" s="198"/>
      <c r="J791" s="652"/>
    </row>
    <row r="792">
      <c r="C792" s="198"/>
      <c r="E792" s="198"/>
      <c r="F792" s="198"/>
      <c r="J792" s="652"/>
    </row>
    <row r="793">
      <c r="C793" s="198"/>
      <c r="E793" s="198"/>
      <c r="F793" s="198"/>
      <c r="J793" s="652"/>
    </row>
    <row r="794">
      <c r="C794" s="198"/>
      <c r="E794" s="198"/>
      <c r="F794" s="198"/>
      <c r="J794" s="652"/>
    </row>
    <row r="795">
      <c r="C795" s="198"/>
      <c r="E795" s="198"/>
      <c r="F795" s="198"/>
      <c r="J795" s="652"/>
    </row>
    <row r="796">
      <c r="C796" s="198"/>
      <c r="E796" s="198"/>
      <c r="F796" s="198"/>
      <c r="J796" s="652"/>
    </row>
    <row r="797">
      <c r="C797" s="198"/>
      <c r="E797" s="198"/>
      <c r="F797" s="198"/>
      <c r="J797" s="652"/>
    </row>
    <row r="798">
      <c r="C798" s="198"/>
      <c r="E798" s="198"/>
      <c r="F798" s="198"/>
      <c r="J798" s="652"/>
    </row>
    <row r="799">
      <c r="C799" s="198"/>
      <c r="E799" s="198"/>
      <c r="F799" s="198"/>
      <c r="J799" s="652"/>
    </row>
    <row r="800">
      <c r="C800" s="198"/>
      <c r="E800" s="198"/>
      <c r="F800" s="198"/>
      <c r="J800" s="652"/>
    </row>
    <row r="801">
      <c r="C801" s="198"/>
      <c r="E801" s="198"/>
      <c r="F801" s="198"/>
      <c r="J801" s="652"/>
    </row>
    <row r="802">
      <c r="C802" s="198"/>
      <c r="E802" s="198"/>
      <c r="F802" s="198"/>
      <c r="J802" s="652"/>
    </row>
    <row r="803">
      <c r="C803" s="198"/>
      <c r="E803" s="198"/>
      <c r="F803" s="198"/>
      <c r="J803" s="652"/>
    </row>
    <row r="804">
      <c r="C804" s="198"/>
      <c r="E804" s="198"/>
      <c r="F804" s="198"/>
      <c r="J804" s="652"/>
    </row>
    <row r="805">
      <c r="C805" s="198"/>
      <c r="E805" s="198"/>
      <c r="F805" s="198"/>
      <c r="J805" s="652"/>
    </row>
    <row r="806">
      <c r="C806" s="198"/>
      <c r="E806" s="198"/>
      <c r="F806" s="198"/>
      <c r="J806" s="652"/>
    </row>
    <row r="807">
      <c r="C807" s="198"/>
      <c r="E807" s="198"/>
      <c r="F807" s="198"/>
      <c r="J807" s="652"/>
    </row>
    <row r="808">
      <c r="C808" s="198"/>
      <c r="E808" s="198"/>
      <c r="F808" s="198"/>
      <c r="J808" s="652"/>
    </row>
    <row r="809">
      <c r="C809" s="198"/>
      <c r="E809" s="198"/>
      <c r="F809" s="198"/>
      <c r="J809" s="652"/>
    </row>
    <row r="810">
      <c r="C810" s="198"/>
      <c r="E810" s="198"/>
      <c r="F810" s="198"/>
      <c r="J810" s="652"/>
    </row>
    <row r="811">
      <c r="C811" s="198"/>
      <c r="E811" s="198"/>
      <c r="F811" s="198"/>
      <c r="J811" s="652"/>
    </row>
    <row r="812">
      <c r="C812" s="198"/>
      <c r="E812" s="198"/>
      <c r="F812" s="198"/>
      <c r="J812" s="652"/>
    </row>
    <row r="813">
      <c r="C813" s="198"/>
      <c r="E813" s="198"/>
      <c r="F813" s="198"/>
      <c r="J813" s="652"/>
    </row>
    <row r="814">
      <c r="C814" s="198"/>
      <c r="E814" s="198"/>
      <c r="F814" s="198"/>
      <c r="J814" s="652"/>
    </row>
    <row r="815">
      <c r="C815" s="198"/>
      <c r="E815" s="198"/>
      <c r="F815" s="198"/>
      <c r="J815" s="652"/>
    </row>
    <row r="816">
      <c r="C816" s="198"/>
      <c r="E816" s="198"/>
      <c r="F816" s="198"/>
      <c r="J816" s="652"/>
    </row>
    <row r="817">
      <c r="C817" s="198"/>
      <c r="E817" s="198"/>
      <c r="F817" s="198"/>
      <c r="J817" s="652"/>
    </row>
    <row r="818">
      <c r="C818" s="198"/>
      <c r="E818" s="198"/>
      <c r="F818" s="198"/>
      <c r="J818" s="652"/>
    </row>
    <row r="819">
      <c r="C819" s="198"/>
      <c r="E819" s="198"/>
      <c r="F819" s="198"/>
      <c r="J819" s="652"/>
    </row>
    <row r="820">
      <c r="C820" s="198"/>
      <c r="E820" s="198"/>
      <c r="F820" s="198"/>
      <c r="J820" s="652"/>
    </row>
    <row r="821">
      <c r="C821" s="198"/>
      <c r="E821" s="198"/>
      <c r="F821" s="198"/>
      <c r="J821" s="652"/>
    </row>
    <row r="822">
      <c r="C822" s="198"/>
      <c r="E822" s="198"/>
      <c r="F822" s="198"/>
      <c r="J822" s="652"/>
    </row>
    <row r="823">
      <c r="C823" s="198"/>
      <c r="E823" s="198"/>
      <c r="F823" s="198"/>
      <c r="J823" s="652"/>
    </row>
    <row r="824">
      <c r="C824" s="198"/>
      <c r="E824" s="198"/>
      <c r="F824" s="198"/>
      <c r="J824" s="652"/>
    </row>
    <row r="825">
      <c r="C825" s="198"/>
      <c r="E825" s="198"/>
      <c r="F825" s="198"/>
      <c r="J825" s="652"/>
    </row>
    <row r="826">
      <c r="C826" s="198"/>
      <c r="E826" s="198"/>
      <c r="F826" s="198"/>
      <c r="J826" s="652"/>
    </row>
    <row r="827">
      <c r="C827" s="198"/>
      <c r="E827" s="198"/>
      <c r="F827" s="198"/>
      <c r="J827" s="652"/>
    </row>
    <row r="828">
      <c r="C828" s="198"/>
      <c r="E828" s="198"/>
      <c r="F828" s="198"/>
      <c r="J828" s="652"/>
    </row>
    <row r="829">
      <c r="C829" s="198"/>
      <c r="E829" s="198"/>
      <c r="F829" s="198"/>
      <c r="J829" s="652"/>
    </row>
    <row r="830">
      <c r="C830" s="198"/>
      <c r="E830" s="198"/>
      <c r="F830" s="198"/>
      <c r="J830" s="652"/>
    </row>
    <row r="831">
      <c r="C831" s="198"/>
      <c r="E831" s="198"/>
      <c r="F831" s="198"/>
      <c r="J831" s="652"/>
    </row>
    <row r="832">
      <c r="C832" s="198"/>
      <c r="E832" s="198"/>
      <c r="F832" s="198"/>
      <c r="J832" s="652"/>
    </row>
    <row r="833">
      <c r="C833" s="198"/>
      <c r="E833" s="198"/>
      <c r="F833" s="198"/>
      <c r="J833" s="652"/>
    </row>
    <row r="834">
      <c r="C834" s="198"/>
      <c r="E834" s="198"/>
      <c r="F834" s="198"/>
      <c r="J834" s="652"/>
    </row>
    <row r="835">
      <c r="C835" s="198"/>
      <c r="E835" s="198"/>
      <c r="F835" s="198"/>
      <c r="J835" s="652"/>
    </row>
    <row r="836">
      <c r="C836" s="198"/>
      <c r="E836" s="198"/>
      <c r="F836" s="198"/>
      <c r="J836" s="652"/>
    </row>
    <row r="837">
      <c r="C837" s="198"/>
      <c r="E837" s="198"/>
      <c r="F837" s="198"/>
      <c r="J837" s="652"/>
    </row>
    <row r="838">
      <c r="C838" s="198"/>
      <c r="E838" s="198"/>
      <c r="F838" s="198"/>
      <c r="J838" s="652"/>
    </row>
    <row r="839">
      <c r="C839" s="198"/>
      <c r="E839" s="198"/>
      <c r="F839" s="198"/>
      <c r="J839" s="652"/>
    </row>
    <row r="840">
      <c r="C840" s="198"/>
      <c r="E840" s="198"/>
      <c r="F840" s="198"/>
      <c r="J840" s="652"/>
    </row>
    <row r="841">
      <c r="C841" s="198"/>
      <c r="E841" s="198"/>
      <c r="F841" s="198"/>
      <c r="J841" s="652"/>
    </row>
    <row r="842">
      <c r="C842" s="198"/>
      <c r="E842" s="198"/>
      <c r="F842" s="198"/>
      <c r="J842" s="652"/>
    </row>
    <row r="843">
      <c r="C843" s="198"/>
      <c r="E843" s="198"/>
      <c r="F843" s="198"/>
      <c r="J843" s="652"/>
    </row>
    <row r="844">
      <c r="C844" s="198"/>
      <c r="E844" s="198"/>
      <c r="F844" s="198"/>
      <c r="J844" s="652"/>
    </row>
    <row r="845">
      <c r="C845" s="198"/>
      <c r="E845" s="198"/>
      <c r="F845" s="198"/>
      <c r="J845" s="652"/>
    </row>
    <row r="846">
      <c r="C846" s="198"/>
      <c r="E846" s="198"/>
      <c r="F846" s="198"/>
      <c r="J846" s="652"/>
    </row>
    <row r="847">
      <c r="C847" s="198"/>
      <c r="E847" s="198"/>
      <c r="F847" s="198"/>
      <c r="J847" s="652"/>
    </row>
    <row r="848">
      <c r="C848" s="198"/>
      <c r="E848" s="198"/>
      <c r="F848" s="198"/>
      <c r="J848" s="652"/>
    </row>
    <row r="849">
      <c r="C849" s="198"/>
      <c r="E849" s="198"/>
      <c r="F849" s="198"/>
      <c r="J849" s="652"/>
    </row>
    <row r="850">
      <c r="C850" s="198"/>
      <c r="E850" s="198"/>
      <c r="F850" s="198"/>
      <c r="J850" s="652"/>
    </row>
    <row r="851">
      <c r="C851" s="198"/>
      <c r="E851" s="198"/>
      <c r="F851" s="198"/>
      <c r="J851" s="652"/>
    </row>
    <row r="852">
      <c r="C852" s="198"/>
      <c r="E852" s="198"/>
      <c r="F852" s="198"/>
      <c r="J852" s="652"/>
    </row>
    <row r="853">
      <c r="C853" s="198"/>
      <c r="E853" s="198"/>
      <c r="F853" s="198"/>
      <c r="J853" s="652"/>
    </row>
    <row r="854">
      <c r="C854" s="198"/>
      <c r="E854" s="198"/>
      <c r="F854" s="198"/>
      <c r="J854" s="652"/>
    </row>
    <row r="855">
      <c r="C855" s="198"/>
      <c r="E855" s="198"/>
      <c r="F855" s="198"/>
      <c r="J855" s="652"/>
    </row>
    <row r="856">
      <c r="C856" s="198"/>
      <c r="E856" s="198"/>
      <c r="F856" s="198"/>
      <c r="J856" s="652"/>
    </row>
    <row r="857">
      <c r="C857" s="198"/>
      <c r="E857" s="198"/>
      <c r="F857" s="198"/>
      <c r="J857" s="652"/>
    </row>
    <row r="858">
      <c r="C858" s="198"/>
      <c r="E858" s="198"/>
      <c r="F858" s="198"/>
      <c r="J858" s="652"/>
    </row>
    <row r="859">
      <c r="C859" s="198"/>
      <c r="E859" s="198"/>
      <c r="F859" s="198"/>
      <c r="J859" s="652"/>
    </row>
    <row r="860">
      <c r="C860" s="198"/>
      <c r="E860" s="198"/>
      <c r="F860" s="198"/>
      <c r="J860" s="652"/>
    </row>
    <row r="861">
      <c r="C861" s="198"/>
      <c r="E861" s="198"/>
      <c r="F861" s="198"/>
      <c r="J861" s="652"/>
    </row>
    <row r="862">
      <c r="C862" s="198"/>
      <c r="E862" s="198"/>
      <c r="F862" s="198"/>
      <c r="J862" s="652"/>
    </row>
    <row r="863">
      <c r="C863" s="198"/>
      <c r="E863" s="198"/>
      <c r="F863" s="198"/>
      <c r="J863" s="652"/>
    </row>
    <row r="864">
      <c r="C864" s="198"/>
      <c r="E864" s="198"/>
      <c r="F864" s="198"/>
      <c r="J864" s="652"/>
    </row>
    <row r="865">
      <c r="C865" s="198"/>
      <c r="E865" s="198"/>
      <c r="F865" s="198"/>
      <c r="J865" s="652"/>
    </row>
    <row r="866">
      <c r="C866" s="198"/>
      <c r="E866" s="198"/>
      <c r="F866" s="198"/>
      <c r="J866" s="652"/>
    </row>
    <row r="867">
      <c r="C867" s="198"/>
      <c r="E867" s="198"/>
      <c r="F867" s="198"/>
      <c r="J867" s="652"/>
    </row>
    <row r="868">
      <c r="C868" s="198"/>
      <c r="E868" s="198"/>
      <c r="F868" s="198"/>
      <c r="J868" s="652"/>
    </row>
    <row r="869">
      <c r="C869" s="198"/>
      <c r="E869" s="198"/>
      <c r="F869" s="198"/>
      <c r="J869" s="652"/>
    </row>
    <row r="870">
      <c r="C870" s="198"/>
      <c r="E870" s="198"/>
      <c r="F870" s="198"/>
      <c r="J870" s="652"/>
    </row>
    <row r="871">
      <c r="C871" s="198"/>
      <c r="E871" s="198"/>
      <c r="F871" s="198"/>
      <c r="J871" s="652"/>
    </row>
    <row r="872">
      <c r="C872" s="198"/>
      <c r="E872" s="198"/>
      <c r="F872" s="198"/>
      <c r="J872" s="652"/>
    </row>
    <row r="873">
      <c r="C873" s="198"/>
      <c r="E873" s="198"/>
      <c r="F873" s="198"/>
      <c r="J873" s="652"/>
    </row>
    <row r="874">
      <c r="C874" s="198"/>
      <c r="E874" s="198"/>
      <c r="F874" s="198"/>
      <c r="J874" s="652"/>
    </row>
    <row r="875">
      <c r="C875" s="198"/>
      <c r="E875" s="198"/>
      <c r="F875" s="198"/>
      <c r="J875" s="652"/>
    </row>
    <row r="876">
      <c r="C876" s="198"/>
      <c r="E876" s="198"/>
      <c r="F876" s="198"/>
      <c r="J876" s="652"/>
    </row>
    <row r="877">
      <c r="C877" s="198"/>
      <c r="E877" s="198"/>
      <c r="F877" s="198"/>
      <c r="J877" s="652"/>
    </row>
    <row r="878">
      <c r="C878" s="198"/>
      <c r="E878" s="198"/>
      <c r="F878" s="198"/>
      <c r="J878" s="652"/>
    </row>
    <row r="879">
      <c r="C879" s="198"/>
      <c r="E879" s="198"/>
      <c r="F879" s="198"/>
      <c r="J879" s="652"/>
    </row>
    <row r="880">
      <c r="C880" s="198"/>
      <c r="E880" s="198"/>
      <c r="F880" s="198"/>
      <c r="J880" s="652"/>
    </row>
    <row r="881">
      <c r="C881" s="198"/>
      <c r="E881" s="198"/>
      <c r="F881" s="198"/>
      <c r="J881" s="652"/>
    </row>
    <row r="882">
      <c r="C882" s="198"/>
      <c r="E882" s="198"/>
      <c r="F882" s="198"/>
      <c r="J882" s="652"/>
    </row>
    <row r="883">
      <c r="C883" s="198"/>
      <c r="E883" s="198"/>
      <c r="F883" s="198"/>
      <c r="J883" s="652"/>
    </row>
    <row r="884">
      <c r="C884" s="198"/>
      <c r="E884" s="198"/>
      <c r="F884" s="198"/>
      <c r="J884" s="652"/>
    </row>
    <row r="885">
      <c r="C885" s="198"/>
      <c r="E885" s="198"/>
      <c r="F885" s="198"/>
      <c r="J885" s="652"/>
    </row>
    <row r="886">
      <c r="C886" s="198"/>
      <c r="E886" s="198"/>
      <c r="F886" s="198"/>
      <c r="J886" s="652"/>
    </row>
    <row r="887">
      <c r="C887" s="198"/>
      <c r="E887" s="198"/>
      <c r="F887" s="198"/>
      <c r="J887" s="652"/>
    </row>
    <row r="888">
      <c r="C888" s="198"/>
      <c r="E888" s="198"/>
      <c r="F888" s="198"/>
      <c r="J888" s="652"/>
    </row>
    <row r="889">
      <c r="C889" s="198"/>
      <c r="E889" s="198"/>
      <c r="F889" s="198"/>
      <c r="J889" s="652"/>
    </row>
    <row r="890">
      <c r="C890" s="198"/>
      <c r="E890" s="198"/>
      <c r="F890" s="198"/>
      <c r="J890" s="652"/>
    </row>
    <row r="891">
      <c r="C891" s="198"/>
      <c r="E891" s="198"/>
      <c r="F891" s="198"/>
      <c r="J891" s="652"/>
    </row>
    <row r="892">
      <c r="C892" s="198"/>
      <c r="E892" s="198"/>
      <c r="F892" s="198"/>
      <c r="J892" s="652"/>
    </row>
    <row r="893">
      <c r="C893" s="198"/>
      <c r="E893" s="198"/>
      <c r="F893" s="198"/>
      <c r="J893" s="652"/>
    </row>
    <row r="894">
      <c r="C894" s="198"/>
      <c r="E894" s="198"/>
      <c r="F894" s="198"/>
      <c r="J894" s="652"/>
    </row>
    <row r="895">
      <c r="C895" s="198"/>
      <c r="E895" s="198"/>
      <c r="F895" s="198"/>
      <c r="J895" s="652"/>
    </row>
    <row r="896">
      <c r="C896" s="198"/>
      <c r="E896" s="198"/>
      <c r="F896" s="198"/>
      <c r="J896" s="652"/>
    </row>
    <row r="897">
      <c r="C897" s="198"/>
      <c r="E897" s="198"/>
      <c r="F897" s="198"/>
      <c r="J897" s="652"/>
    </row>
    <row r="898">
      <c r="C898" s="198"/>
      <c r="E898" s="198"/>
      <c r="F898" s="198"/>
      <c r="J898" s="652"/>
    </row>
    <row r="899">
      <c r="C899" s="198"/>
      <c r="E899" s="198"/>
      <c r="F899" s="198"/>
      <c r="J899" s="652"/>
    </row>
    <row r="900">
      <c r="C900" s="198"/>
      <c r="E900" s="198"/>
      <c r="F900" s="198"/>
      <c r="J900" s="652"/>
    </row>
    <row r="901">
      <c r="C901" s="198"/>
      <c r="E901" s="198"/>
      <c r="F901" s="198"/>
      <c r="J901" s="652"/>
    </row>
    <row r="902">
      <c r="C902" s="198"/>
      <c r="E902" s="198"/>
      <c r="F902" s="198"/>
      <c r="J902" s="652"/>
    </row>
    <row r="903">
      <c r="C903" s="198"/>
      <c r="E903" s="198"/>
      <c r="F903" s="198"/>
      <c r="J903" s="652"/>
    </row>
    <row r="904">
      <c r="C904" s="198"/>
      <c r="E904" s="198"/>
      <c r="F904" s="198"/>
      <c r="J904" s="652"/>
    </row>
    <row r="905">
      <c r="C905" s="198"/>
      <c r="E905" s="198"/>
      <c r="F905" s="198"/>
      <c r="J905" s="652"/>
    </row>
    <row r="906">
      <c r="C906" s="198"/>
      <c r="E906" s="198"/>
      <c r="F906" s="198"/>
      <c r="J906" s="652"/>
    </row>
    <row r="907">
      <c r="C907" s="198"/>
      <c r="E907" s="198"/>
      <c r="F907" s="198"/>
      <c r="J907" s="652"/>
    </row>
    <row r="908">
      <c r="C908" s="198"/>
      <c r="E908" s="198"/>
      <c r="F908" s="198"/>
      <c r="J908" s="652"/>
    </row>
    <row r="909">
      <c r="C909" s="198"/>
      <c r="E909" s="198"/>
      <c r="F909" s="198"/>
      <c r="J909" s="652"/>
    </row>
    <row r="910">
      <c r="C910" s="198"/>
      <c r="E910" s="198"/>
      <c r="F910" s="198"/>
      <c r="J910" s="652"/>
    </row>
    <row r="911">
      <c r="C911" s="198"/>
      <c r="E911" s="198"/>
      <c r="F911" s="198"/>
      <c r="J911" s="652"/>
    </row>
    <row r="912">
      <c r="C912" s="198"/>
      <c r="E912" s="198"/>
      <c r="F912" s="198"/>
      <c r="J912" s="652"/>
    </row>
    <row r="913">
      <c r="C913" s="198"/>
      <c r="E913" s="198"/>
      <c r="F913" s="198"/>
      <c r="J913" s="652"/>
    </row>
    <row r="914">
      <c r="C914" s="198"/>
      <c r="E914" s="198"/>
      <c r="F914" s="198"/>
      <c r="J914" s="652"/>
    </row>
    <row r="915">
      <c r="C915" s="198"/>
      <c r="E915" s="198"/>
      <c r="F915" s="198"/>
      <c r="J915" s="652"/>
    </row>
    <row r="916">
      <c r="C916" s="198"/>
      <c r="E916" s="198"/>
      <c r="F916" s="198"/>
      <c r="J916" s="652"/>
    </row>
    <row r="917">
      <c r="C917" s="198"/>
      <c r="E917" s="198"/>
      <c r="F917" s="198"/>
      <c r="J917" s="652"/>
    </row>
    <row r="918">
      <c r="C918" s="198"/>
      <c r="E918" s="198"/>
      <c r="F918" s="198"/>
      <c r="J918" s="652"/>
    </row>
    <row r="919">
      <c r="C919" s="198"/>
      <c r="E919" s="198"/>
      <c r="F919" s="198"/>
      <c r="J919" s="652"/>
    </row>
    <row r="920">
      <c r="C920" s="198"/>
      <c r="E920" s="198"/>
      <c r="F920" s="198"/>
      <c r="J920" s="652"/>
    </row>
    <row r="921">
      <c r="C921" s="198"/>
      <c r="E921" s="198"/>
      <c r="F921" s="198"/>
      <c r="J921" s="652"/>
    </row>
    <row r="922">
      <c r="C922" s="198"/>
      <c r="E922" s="198"/>
      <c r="F922" s="198"/>
      <c r="J922" s="652"/>
    </row>
    <row r="923">
      <c r="C923" s="198"/>
      <c r="E923" s="198"/>
      <c r="F923" s="198"/>
      <c r="J923" s="652"/>
    </row>
    <row r="924">
      <c r="C924" s="198"/>
      <c r="E924" s="198"/>
      <c r="F924" s="198"/>
      <c r="J924" s="652"/>
    </row>
    <row r="925">
      <c r="C925" s="198"/>
      <c r="E925" s="198"/>
      <c r="F925" s="198"/>
      <c r="J925" s="652"/>
    </row>
    <row r="926">
      <c r="C926" s="198"/>
      <c r="E926" s="198"/>
      <c r="F926" s="198"/>
      <c r="J926" s="652"/>
    </row>
    <row r="927">
      <c r="C927" s="198"/>
      <c r="E927" s="198"/>
      <c r="F927" s="198"/>
      <c r="J927" s="652"/>
    </row>
    <row r="928">
      <c r="C928" s="198"/>
      <c r="E928" s="198"/>
      <c r="F928" s="198"/>
      <c r="J928" s="652"/>
    </row>
    <row r="929">
      <c r="C929" s="198"/>
      <c r="E929" s="198"/>
      <c r="F929" s="198"/>
      <c r="J929" s="652"/>
    </row>
    <row r="930">
      <c r="C930" s="198"/>
      <c r="E930" s="198"/>
      <c r="F930" s="198"/>
      <c r="J930" s="652"/>
    </row>
    <row r="931">
      <c r="C931" s="198"/>
      <c r="E931" s="198"/>
      <c r="F931" s="198"/>
      <c r="J931" s="652"/>
    </row>
    <row r="932">
      <c r="C932" s="198"/>
      <c r="E932" s="198"/>
      <c r="F932" s="198"/>
      <c r="J932" s="652"/>
    </row>
    <row r="933">
      <c r="C933" s="198"/>
      <c r="E933" s="198"/>
      <c r="F933" s="198"/>
      <c r="J933" s="652"/>
    </row>
    <row r="934">
      <c r="C934" s="198"/>
      <c r="E934" s="198"/>
      <c r="F934" s="198"/>
      <c r="J934" s="652"/>
    </row>
    <row r="935">
      <c r="C935" s="198"/>
      <c r="E935" s="198"/>
      <c r="F935" s="198"/>
      <c r="J935" s="652"/>
    </row>
    <row r="936">
      <c r="C936" s="198"/>
      <c r="E936" s="198"/>
      <c r="F936" s="198"/>
      <c r="J936" s="652"/>
    </row>
    <row r="937">
      <c r="C937" s="198"/>
      <c r="E937" s="198"/>
      <c r="F937" s="198"/>
      <c r="J937" s="652"/>
    </row>
    <row r="938">
      <c r="C938" s="198"/>
      <c r="E938" s="198"/>
      <c r="F938" s="198"/>
      <c r="J938" s="652"/>
    </row>
    <row r="939">
      <c r="C939" s="198"/>
      <c r="E939" s="198"/>
      <c r="F939" s="198"/>
      <c r="J939" s="652"/>
    </row>
    <row r="940">
      <c r="C940" s="198"/>
      <c r="E940" s="198"/>
      <c r="F940" s="198"/>
      <c r="J940" s="652"/>
    </row>
    <row r="941">
      <c r="C941" s="198"/>
      <c r="E941" s="198"/>
      <c r="F941" s="198"/>
      <c r="J941" s="652"/>
    </row>
    <row r="942">
      <c r="C942" s="198"/>
      <c r="E942" s="198"/>
      <c r="F942" s="198"/>
      <c r="J942" s="652"/>
    </row>
    <row r="943">
      <c r="C943" s="198"/>
      <c r="E943" s="198"/>
      <c r="F943" s="198"/>
      <c r="J943" s="652"/>
    </row>
    <row r="944">
      <c r="C944" s="198"/>
      <c r="E944" s="198"/>
      <c r="F944" s="198"/>
      <c r="J944" s="652"/>
    </row>
    <row r="945">
      <c r="C945" s="198"/>
      <c r="E945" s="198"/>
      <c r="F945" s="198"/>
      <c r="J945" s="652"/>
    </row>
    <row r="946">
      <c r="C946" s="198"/>
      <c r="E946" s="198"/>
      <c r="F946" s="198"/>
      <c r="J946" s="652"/>
    </row>
    <row r="947">
      <c r="C947" s="198"/>
      <c r="E947" s="198"/>
      <c r="F947" s="198"/>
      <c r="J947" s="652"/>
    </row>
    <row r="948">
      <c r="C948" s="198"/>
      <c r="E948" s="198"/>
      <c r="F948" s="198"/>
      <c r="J948" s="652"/>
    </row>
    <row r="949">
      <c r="C949" s="198"/>
      <c r="E949" s="198"/>
      <c r="F949" s="198"/>
      <c r="J949" s="652"/>
    </row>
    <row r="950">
      <c r="C950" s="198"/>
      <c r="E950" s="198"/>
      <c r="F950" s="198"/>
      <c r="J950" s="652"/>
    </row>
    <row r="951">
      <c r="C951" s="198"/>
      <c r="E951" s="198"/>
      <c r="F951" s="198"/>
      <c r="J951" s="652"/>
    </row>
    <row r="952">
      <c r="C952" s="198"/>
      <c r="E952" s="198"/>
      <c r="F952" s="198"/>
      <c r="J952" s="652"/>
    </row>
    <row r="953">
      <c r="C953" s="198"/>
      <c r="E953" s="198"/>
      <c r="F953" s="198"/>
      <c r="J953" s="652"/>
    </row>
    <row r="954">
      <c r="C954" s="198"/>
      <c r="E954" s="198"/>
      <c r="F954" s="198"/>
      <c r="J954" s="652"/>
    </row>
    <row r="955">
      <c r="C955" s="198"/>
      <c r="E955" s="198"/>
      <c r="F955" s="198"/>
      <c r="J955" s="652"/>
    </row>
    <row r="956">
      <c r="C956" s="198"/>
      <c r="E956" s="198"/>
      <c r="F956" s="198"/>
      <c r="J956" s="652"/>
    </row>
    <row r="957">
      <c r="C957" s="198"/>
      <c r="E957" s="198"/>
      <c r="F957" s="198"/>
      <c r="J957" s="652"/>
    </row>
    <row r="958">
      <c r="C958" s="198"/>
      <c r="E958" s="198"/>
      <c r="F958" s="198"/>
      <c r="J958" s="652"/>
    </row>
    <row r="959">
      <c r="C959" s="198"/>
      <c r="E959" s="198"/>
      <c r="F959" s="198"/>
      <c r="J959" s="652"/>
    </row>
    <row r="960">
      <c r="C960" s="198"/>
      <c r="E960" s="198"/>
      <c r="F960" s="198"/>
      <c r="J960" s="652"/>
    </row>
    <row r="961">
      <c r="C961" s="198"/>
      <c r="E961" s="198"/>
      <c r="F961" s="198"/>
      <c r="J961" s="652"/>
    </row>
    <row r="962">
      <c r="C962" s="198"/>
      <c r="E962" s="198"/>
      <c r="F962" s="198"/>
      <c r="J962" s="652"/>
    </row>
    <row r="963">
      <c r="C963" s="198"/>
      <c r="E963" s="198"/>
      <c r="F963" s="198"/>
      <c r="J963" s="652"/>
    </row>
    <row r="964">
      <c r="C964" s="198"/>
      <c r="E964" s="198"/>
      <c r="F964" s="198"/>
      <c r="J964" s="652"/>
    </row>
    <row r="965">
      <c r="C965" s="198"/>
      <c r="E965" s="198"/>
      <c r="F965" s="198"/>
      <c r="J965" s="652"/>
    </row>
    <row r="966">
      <c r="C966" s="198"/>
      <c r="E966" s="198"/>
      <c r="F966" s="198"/>
      <c r="J966" s="652"/>
    </row>
    <row r="967">
      <c r="C967" s="198"/>
      <c r="E967" s="198"/>
      <c r="F967" s="198"/>
      <c r="J967" s="652"/>
    </row>
  </sheetData>
  <mergeCells count="20">
    <mergeCell ref="A2:A7"/>
    <mergeCell ref="A8:A15"/>
    <mergeCell ref="A18:A25"/>
    <mergeCell ref="A28:A35"/>
    <mergeCell ref="A38:A45"/>
    <mergeCell ref="A48:A55"/>
    <mergeCell ref="A58:A65"/>
    <mergeCell ref="A137:A144"/>
    <mergeCell ref="A147:A154"/>
    <mergeCell ref="A157:A164"/>
    <mergeCell ref="A167:A174"/>
    <mergeCell ref="L170:L171"/>
    <mergeCell ref="A68:A75"/>
    <mergeCell ref="A78:A85"/>
    <mergeCell ref="A88:A95"/>
    <mergeCell ref="A98:A105"/>
    <mergeCell ref="A108:A115"/>
    <mergeCell ref="A118:A125"/>
    <mergeCell ref="A128:A135"/>
    <mergeCell ref="A177:A184"/>
  </mergeCells>
  <drawing r:id="rId2"/>
  <legacyDrawing r:id="rId3"/>
  <tableParts count="41">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0"/>
  <cols>
    <col customWidth="1" min="1" max="1" width="20.25"/>
    <col customWidth="1" min="2" max="2" width="17.75"/>
    <col customWidth="1" min="3" max="6" width="8.88"/>
    <col customWidth="1" min="7" max="7" width="22.0"/>
    <col customWidth="1" min="8" max="8" width="25.63"/>
    <col customWidth="1" min="9" max="9" width="10.75"/>
    <col customWidth="1" min="10" max="10" width="20.63"/>
    <col customWidth="1" min="11" max="11" width="20.25"/>
    <col customWidth="1" min="12" max="12" width="27.25"/>
    <col customWidth="1" min="13" max="13" width="13.38"/>
  </cols>
  <sheetData>
    <row r="1" ht="82.5" customHeight="1">
      <c r="A1" s="475" t="s">
        <v>832</v>
      </c>
      <c r="B1" s="476" t="s">
        <v>833</v>
      </c>
      <c r="C1" s="477" t="s">
        <v>834</v>
      </c>
      <c r="D1" s="478" t="s">
        <v>835</v>
      </c>
      <c r="E1" s="478" t="s">
        <v>836</v>
      </c>
      <c r="F1" s="478" t="s">
        <v>837</v>
      </c>
      <c r="G1" s="476" t="s">
        <v>838</v>
      </c>
      <c r="H1" s="479" t="s">
        <v>724</v>
      </c>
      <c r="I1" s="480"/>
      <c r="J1" s="481" t="s">
        <v>839</v>
      </c>
      <c r="K1" s="479" t="s">
        <v>840</v>
      </c>
      <c r="L1" s="479" t="s">
        <v>841</v>
      </c>
      <c r="M1" s="164"/>
      <c r="N1" s="164"/>
      <c r="O1" s="164"/>
      <c r="P1" s="164"/>
      <c r="Q1" s="164"/>
      <c r="R1" s="164"/>
      <c r="S1" s="164"/>
      <c r="T1" s="164"/>
      <c r="U1" s="164"/>
      <c r="V1" s="164"/>
      <c r="W1" s="164"/>
      <c r="X1" s="164"/>
      <c r="Y1" s="164"/>
      <c r="Z1" s="164"/>
      <c r="AA1" s="164"/>
      <c r="AB1" s="164"/>
    </row>
    <row r="2">
      <c r="A2" s="482" t="s">
        <v>842</v>
      </c>
      <c r="B2" s="499"/>
      <c r="C2" s="486"/>
      <c r="D2" s="486"/>
      <c r="E2" s="486"/>
      <c r="F2" s="486"/>
      <c r="G2" s="499"/>
      <c r="H2" s="499"/>
      <c r="I2" s="499"/>
      <c r="J2" s="486"/>
      <c r="K2" s="655"/>
      <c r="L2" s="488" t="s">
        <v>843</v>
      </c>
      <c r="M2" s="164"/>
      <c r="N2" s="164"/>
      <c r="O2" s="164"/>
      <c r="P2" s="164"/>
      <c r="Q2" s="164"/>
      <c r="R2" s="164"/>
      <c r="S2" s="164"/>
      <c r="T2" s="164"/>
      <c r="U2" s="164"/>
      <c r="V2" s="164"/>
      <c r="W2" s="164"/>
      <c r="X2" s="164"/>
      <c r="Y2" s="164"/>
      <c r="Z2" s="164"/>
      <c r="AA2" s="164"/>
      <c r="AB2" s="164"/>
    </row>
    <row r="3">
      <c r="A3" s="457"/>
      <c r="B3" s="499"/>
      <c r="C3" s="486"/>
      <c r="D3" s="486"/>
      <c r="E3" s="486"/>
      <c r="F3" s="486"/>
      <c r="G3" s="499"/>
      <c r="H3" s="499"/>
      <c r="I3" s="499"/>
      <c r="J3" s="486"/>
      <c r="K3" s="655"/>
      <c r="L3" s="489" t="s">
        <v>844</v>
      </c>
      <c r="M3" s="164"/>
      <c r="N3" s="164"/>
      <c r="O3" s="164"/>
      <c r="P3" s="164"/>
      <c r="Q3" s="164"/>
      <c r="R3" s="164"/>
      <c r="S3" s="164"/>
      <c r="T3" s="164"/>
      <c r="U3" s="164"/>
      <c r="V3" s="164"/>
      <c r="W3" s="164"/>
      <c r="X3" s="164"/>
      <c r="Y3" s="164"/>
      <c r="Z3" s="164"/>
      <c r="AA3" s="164"/>
      <c r="AB3" s="164"/>
    </row>
    <row r="4">
      <c r="A4" s="457"/>
      <c r="B4" s="499"/>
      <c r="C4" s="486"/>
      <c r="D4" s="486"/>
      <c r="E4" s="486"/>
      <c r="F4" s="486"/>
      <c r="G4" s="499"/>
      <c r="H4" s="499"/>
      <c r="I4" s="499"/>
      <c r="J4" s="486"/>
      <c r="K4" s="655"/>
      <c r="L4" s="490" t="s">
        <v>845</v>
      </c>
      <c r="M4" s="164"/>
      <c r="N4" s="164"/>
      <c r="O4" s="164"/>
      <c r="P4" s="164"/>
      <c r="Q4" s="164"/>
      <c r="R4" s="164"/>
      <c r="S4" s="164"/>
      <c r="T4" s="164"/>
      <c r="U4" s="164"/>
      <c r="V4" s="164"/>
      <c r="W4" s="164"/>
      <c r="X4" s="164"/>
      <c r="Y4" s="164"/>
      <c r="Z4" s="164"/>
      <c r="AA4" s="164"/>
      <c r="AB4" s="164"/>
    </row>
    <row r="5">
      <c r="A5" s="457"/>
      <c r="B5" s="499"/>
      <c r="C5" s="486"/>
      <c r="D5" s="486"/>
      <c r="E5" s="486"/>
      <c r="F5" s="486"/>
      <c r="G5" s="499"/>
      <c r="H5" s="499"/>
      <c r="I5" s="499"/>
      <c r="J5" s="486"/>
      <c r="K5" s="655"/>
      <c r="L5" s="491" t="s">
        <v>846</v>
      </c>
      <c r="M5" s="164"/>
      <c r="N5" s="164"/>
      <c r="O5" s="164"/>
      <c r="P5" s="164"/>
      <c r="Q5" s="164"/>
      <c r="R5" s="164"/>
      <c r="S5" s="164"/>
      <c r="T5" s="164"/>
      <c r="U5" s="164"/>
      <c r="V5" s="164"/>
      <c r="W5" s="164"/>
      <c r="X5" s="164"/>
      <c r="Y5" s="164"/>
      <c r="Z5" s="164"/>
      <c r="AA5" s="164"/>
      <c r="AB5" s="164"/>
    </row>
    <row r="6">
      <c r="A6" s="457"/>
      <c r="B6" s="499"/>
      <c r="C6" s="486"/>
      <c r="D6" s="486"/>
      <c r="E6" s="486"/>
      <c r="F6" s="486"/>
      <c r="G6" s="499"/>
      <c r="H6" s="499"/>
      <c r="I6" s="499"/>
      <c r="J6" s="492"/>
      <c r="K6" s="655"/>
      <c r="L6" s="493" t="s">
        <v>847</v>
      </c>
      <c r="M6" s="164"/>
      <c r="N6" s="164"/>
      <c r="O6" s="164"/>
      <c r="P6" s="164"/>
      <c r="Q6" s="164"/>
      <c r="R6" s="164"/>
      <c r="S6" s="164"/>
      <c r="T6" s="164"/>
      <c r="U6" s="164"/>
      <c r="V6" s="164"/>
      <c r="W6" s="164"/>
      <c r="X6" s="164"/>
      <c r="Y6" s="164"/>
      <c r="Z6" s="164"/>
      <c r="AA6" s="164"/>
      <c r="AB6" s="164"/>
    </row>
    <row r="7">
      <c r="A7" s="430"/>
      <c r="B7" s="656"/>
      <c r="C7" s="119"/>
      <c r="D7" s="486"/>
      <c r="E7" s="486"/>
      <c r="F7" s="486"/>
      <c r="G7" s="499"/>
      <c r="H7" s="499"/>
      <c r="I7" s="499"/>
      <c r="J7" s="486"/>
      <c r="K7" s="655"/>
      <c r="L7" s="496" t="s">
        <v>848</v>
      </c>
      <c r="M7" s="164"/>
      <c r="N7" s="164"/>
      <c r="O7" s="164"/>
      <c r="P7" s="164"/>
      <c r="Q7" s="164"/>
      <c r="R7" s="164"/>
      <c r="S7" s="164"/>
      <c r="T7" s="164"/>
      <c r="U7" s="164"/>
      <c r="V7" s="164"/>
      <c r="W7" s="164"/>
      <c r="X7" s="164"/>
      <c r="Y7" s="164"/>
      <c r="Z7" s="164"/>
      <c r="AA7" s="164"/>
      <c r="AB7" s="164"/>
    </row>
    <row r="8">
      <c r="A8" s="657" t="s">
        <v>1085</v>
      </c>
      <c r="B8" s="18" t="s">
        <v>57</v>
      </c>
      <c r="C8" s="119" t="s">
        <v>851</v>
      </c>
      <c r="D8" s="486"/>
      <c r="E8" s="119"/>
      <c r="F8" s="119"/>
      <c r="G8" s="439" t="s">
        <v>1086</v>
      </c>
      <c r="H8" s="498" t="s">
        <v>1087</v>
      </c>
      <c r="I8" s="499"/>
      <c r="J8" s="492">
        <v>45296.0</v>
      </c>
      <c r="K8" s="655"/>
      <c r="L8" s="489" t="s">
        <v>1088</v>
      </c>
      <c r="M8" s="164"/>
      <c r="N8" s="164"/>
      <c r="O8" s="164"/>
      <c r="P8" s="164"/>
      <c r="Q8" s="164"/>
      <c r="R8" s="164"/>
      <c r="S8" s="164"/>
      <c r="T8" s="164"/>
      <c r="U8" s="164"/>
      <c r="V8" s="164"/>
      <c r="W8" s="164"/>
      <c r="X8" s="164"/>
      <c r="Y8" s="164"/>
      <c r="Z8" s="164"/>
      <c r="AA8" s="164"/>
      <c r="AB8" s="164"/>
    </row>
    <row r="9">
      <c r="A9" s="457"/>
      <c r="B9" s="18" t="s">
        <v>75</v>
      </c>
      <c r="C9" s="119" t="s">
        <v>851</v>
      </c>
      <c r="D9" s="486"/>
      <c r="E9" s="486"/>
      <c r="F9" s="486"/>
      <c r="G9" s="442" t="s">
        <v>1089</v>
      </c>
      <c r="H9" s="658" t="s">
        <v>1090</v>
      </c>
      <c r="I9" s="499"/>
      <c r="J9" s="492">
        <v>45296.0</v>
      </c>
      <c r="K9" s="655"/>
      <c r="L9" s="489" t="s">
        <v>1088</v>
      </c>
      <c r="M9" s="164"/>
      <c r="N9" s="164"/>
      <c r="O9" s="164"/>
      <c r="P9" s="164"/>
      <c r="Q9" s="164"/>
      <c r="R9" s="164"/>
      <c r="S9" s="164"/>
      <c r="T9" s="164"/>
      <c r="U9" s="164"/>
      <c r="V9" s="164"/>
      <c r="W9" s="164"/>
      <c r="X9" s="164"/>
      <c r="Y9" s="164"/>
      <c r="Z9" s="164"/>
      <c r="AA9" s="164"/>
      <c r="AB9" s="164"/>
    </row>
    <row r="10">
      <c r="A10" s="457"/>
      <c r="B10" s="18" t="s">
        <v>93</v>
      </c>
      <c r="C10" s="119" t="s">
        <v>851</v>
      </c>
      <c r="D10" s="486"/>
      <c r="E10" s="486"/>
      <c r="F10" s="486"/>
      <c r="G10" s="442" t="s">
        <v>1091</v>
      </c>
      <c r="H10" s="658" t="s">
        <v>1092</v>
      </c>
      <c r="I10" s="499"/>
      <c r="J10" s="492">
        <v>45296.0</v>
      </c>
      <c r="K10" s="655"/>
      <c r="L10" s="489" t="s">
        <v>1093</v>
      </c>
      <c r="M10" s="164"/>
      <c r="N10" s="164"/>
      <c r="O10" s="164"/>
      <c r="P10" s="164"/>
      <c r="Q10" s="164"/>
      <c r="R10" s="164"/>
      <c r="S10" s="164"/>
      <c r="T10" s="164"/>
      <c r="U10" s="164"/>
      <c r="V10" s="164"/>
      <c r="W10" s="164"/>
      <c r="X10" s="164"/>
      <c r="Y10" s="164"/>
      <c r="Z10" s="164"/>
      <c r="AA10" s="164"/>
      <c r="AB10" s="164"/>
    </row>
    <row r="11">
      <c r="A11" s="457"/>
      <c r="B11" s="18" t="s">
        <v>1094</v>
      </c>
      <c r="C11" s="119" t="s">
        <v>861</v>
      </c>
      <c r="D11" s="119" t="s">
        <v>1095</v>
      </c>
      <c r="E11" s="486"/>
      <c r="F11" s="486"/>
      <c r="G11" s="439" t="s">
        <v>1096</v>
      </c>
      <c r="H11" s="498" t="s">
        <v>1097</v>
      </c>
      <c r="I11" s="499"/>
      <c r="J11" s="492">
        <v>45296.0</v>
      </c>
      <c r="K11" s="499"/>
      <c r="L11" s="489" t="s">
        <v>1093</v>
      </c>
      <c r="M11" s="164"/>
      <c r="N11" s="164"/>
      <c r="O11" s="164"/>
      <c r="P11" s="164"/>
      <c r="Q11" s="164"/>
      <c r="R11" s="164"/>
      <c r="S11" s="164"/>
      <c r="T11" s="164"/>
      <c r="U11" s="164"/>
      <c r="V11" s="164"/>
      <c r="W11" s="164"/>
      <c r="X11" s="164"/>
      <c r="Y11" s="164"/>
      <c r="Z11" s="164"/>
      <c r="AA11" s="164"/>
      <c r="AB11" s="164"/>
    </row>
    <row r="12">
      <c r="A12" s="457"/>
      <c r="B12" s="18" t="s">
        <v>129</v>
      </c>
      <c r="C12" s="119" t="s">
        <v>861</v>
      </c>
      <c r="D12" s="486"/>
      <c r="E12" s="486"/>
      <c r="F12" s="486"/>
      <c r="G12" s="442" t="s">
        <v>1098</v>
      </c>
      <c r="H12" s="658" t="s">
        <v>1099</v>
      </c>
      <c r="I12" s="499"/>
      <c r="J12" s="492">
        <v>45296.0</v>
      </c>
      <c r="K12" s="540"/>
      <c r="L12" s="655"/>
      <c r="M12" s="164"/>
      <c r="N12" s="164"/>
      <c r="O12" s="164"/>
      <c r="P12" s="164"/>
      <c r="Q12" s="164"/>
      <c r="R12" s="164"/>
      <c r="S12" s="164"/>
      <c r="T12" s="164"/>
      <c r="U12" s="164"/>
      <c r="V12" s="164"/>
      <c r="W12" s="164"/>
      <c r="X12" s="164"/>
      <c r="Y12" s="164"/>
      <c r="Z12" s="164"/>
      <c r="AA12" s="164"/>
      <c r="AB12" s="164"/>
    </row>
    <row r="13">
      <c r="A13" s="457"/>
      <c r="B13" s="18" t="s">
        <v>1100</v>
      </c>
      <c r="C13" s="119" t="s">
        <v>851</v>
      </c>
      <c r="D13" s="486"/>
      <c r="E13" s="486"/>
      <c r="F13" s="486"/>
      <c r="G13" s="442" t="s">
        <v>1101</v>
      </c>
      <c r="H13" s="658" t="s">
        <v>1102</v>
      </c>
      <c r="I13" s="499"/>
      <c r="J13" s="492">
        <v>45296.0</v>
      </c>
      <c r="K13" s="499"/>
      <c r="L13" s="489" t="s">
        <v>1093</v>
      </c>
      <c r="M13" s="493" t="s">
        <v>1103</v>
      </c>
      <c r="N13" s="164"/>
      <c r="O13" s="164"/>
      <c r="P13" s="164"/>
      <c r="Q13" s="164"/>
      <c r="R13" s="164"/>
      <c r="S13" s="164"/>
      <c r="T13" s="164"/>
      <c r="U13" s="164"/>
      <c r="V13" s="164"/>
      <c r="W13" s="164"/>
      <c r="X13" s="164"/>
      <c r="Y13" s="164"/>
      <c r="Z13" s="164"/>
      <c r="AA13" s="164"/>
      <c r="AB13" s="164"/>
    </row>
    <row r="14">
      <c r="A14" s="457"/>
      <c r="B14" s="659" t="s">
        <v>159</v>
      </c>
      <c r="C14" s="119" t="s">
        <v>851</v>
      </c>
      <c r="D14" s="442"/>
      <c r="E14" s="505"/>
      <c r="F14" s="505"/>
      <c r="G14" s="442" t="s">
        <v>1104</v>
      </c>
      <c r="H14" s="658" t="s">
        <v>1105</v>
      </c>
      <c r="I14" s="499"/>
      <c r="J14" s="492">
        <v>45296.0</v>
      </c>
      <c r="K14" s="540"/>
      <c r="L14" s="655"/>
      <c r="M14" s="164"/>
      <c r="N14" s="164"/>
      <c r="O14" s="164"/>
      <c r="P14" s="164"/>
      <c r="Q14" s="164"/>
      <c r="R14" s="164"/>
      <c r="S14" s="164"/>
      <c r="T14" s="164"/>
      <c r="U14" s="164"/>
      <c r="V14" s="164"/>
      <c r="W14" s="164"/>
      <c r="X14" s="164"/>
      <c r="Y14" s="164"/>
      <c r="Z14" s="164"/>
      <c r="AA14" s="164"/>
      <c r="AB14" s="164"/>
    </row>
    <row r="15">
      <c r="A15" s="430"/>
      <c r="B15" s="156" t="s">
        <v>169</v>
      </c>
      <c r="C15" s="119" t="s">
        <v>851</v>
      </c>
      <c r="D15" s="486"/>
      <c r="E15" s="486"/>
      <c r="F15" s="486"/>
      <c r="G15" s="506" t="s">
        <v>1106</v>
      </c>
      <c r="H15" s="260" t="s">
        <v>1107</v>
      </c>
      <c r="I15" s="508"/>
      <c r="J15" s="492">
        <v>45663.0</v>
      </c>
      <c r="K15" s="508"/>
      <c r="L15" s="623" t="s">
        <v>1108</v>
      </c>
      <c r="M15" s="660" t="s">
        <v>1109</v>
      </c>
      <c r="N15" s="164"/>
      <c r="O15" s="164"/>
      <c r="P15" s="164"/>
      <c r="Q15" s="164"/>
      <c r="R15" s="164"/>
      <c r="S15" s="164"/>
      <c r="T15" s="164"/>
      <c r="U15" s="164"/>
      <c r="V15" s="164"/>
      <c r="W15" s="164"/>
      <c r="X15" s="164"/>
      <c r="Y15" s="164"/>
      <c r="Z15" s="164"/>
      <c r="AA15" s="164"/>
      <c r="AB15" s="164"/>
    </row>
    <row r="16">
      <c r="A16" s="661"/>
      <c r="B16" s="662"/>
      <c r="C16" s="538"/>
      <c r="D16" s="538"/>
      <c r="E16" s="538"/>
      <c r="F16" s="538"/>
      <c r="G16" s="662"/>
      <c r="H16" s="662"/>
      <c r="I16" s="661"/>
      <c r="J16" s="663"/>
      <c r="K16" s="661"/>
      <c r="L16" s="164"/>
      <c r="M16" s="164"/>
      <c r="N16" s="164"/>
      <c r="O16" s="164"/>
      <c r="P16" s="164"/>
      <c r="Q16" s="164"/>
      <c r="R16" s="164"/>
      <c r="S16" s="164"/>
      <c r="T16" s="164"/>
      <c r="U16" s="164"/>
      <c r="V16" s="164"/>
      <c r="W16" s="164"/>
      <c r="X16" s="164"/>
      <c r="Y16" s="164"/>
      <c r="Z16" s="164"/>
      <c r="AA16" s="164"/>
      <c r="AB16" s="164"/>
    </row>
    <row r="17">
      <c r="A17" s="664"/>
      <c r="B17" s="665"/>
      <c r="C17" s="527"/>
      <c r="D17" s="527"/>
      <c r="E17" s="527"/>
      <c r="F17" s="527"/>
      <c r="G17" s="665"/>
      <c r="H17" s="665"/>
      <c r="I17" s="664"/>
      <c r="J17" s="666"/>
      <c r="K17" s="664"/>
      <c r="L17" s="664"/>
      <c r="M17" s="164"/>
      <c r="N17" s="164"/>
      <c r="O17" s="164"/>
      <c r="P17" s="164"/>
      <c r="Q17" s="164"/>
      <c r="R17" s="164"/>
      <c r="S17" s="164"/>
      <c r="T17" s="164"/>
      <c r="U17" s="164"/>
      <c r="V17" s="164"/>
      <c r="W17" s="164"/>
      <c r="X17" s="164"/>
      <c r="Y17" s="164"/>
      <c r="Z17" s="164"/>
      <c r="AA17" s="164"/>
      <c r="AB17" s="164"/>
    </row>
    <row r="18">
      <c r="A18" s="169" t="s">
        <v>1110</v>
      </c>
      <c r="B18" s="18" t="s">
        <v>232</v>
      </c>
      <c r="C18" s="119" t="s">
        <v>851</v>
      </c>
      <c r="D18" s="528"/>
      <c r="E18" s="528"/>
      <c r="F18" s="528"/>
      <c r="G18" s="439" t="s">
        <v>1111</v>
      </c>
      <c r="H18" s="667" t="s">
        <v>1112</v>
      </c>
      <c r="I18" s="499"/>
      <c r="J18" s="492">
        <v>45350.0</v>
      </c>
      <c r="K18" s="499"/>
      <c r="L18" s="508" t="s">
        <v>1113</v>
      </c>
      <c r="M18" s="164"/>
      <c r="N18" s="164"/>
      <c r="O18" s="164"/>
      <c r="P18" s="164"/>
      <c r="Q18" s="164"/>
      <c r="R18" s="164"/>
      <c r="S18" s="164"/>
      <c r="T18" s="164"/>
      <c r="U18" s="164"/>
      <c r="V18" s="164"/>
      <c r="W18" s="164"/>
      <c r="X18" s="164"/>
      <c r="Y18" s="164"/>
      <c r="Z18" s="164"/>
      <c r="AA18" s="164"/>
      <c r="AB18" s="164"/>
    </row>
    <row r="19">
      <c r="A19" s="457"/>
      <c r="B19" s="18" t="s">
        <v>242</v>
      </c>
      <c r="C19" s="119" t="s">
        <v>851</v>
      </c>
      <c r="D19" s="486"/>
      <c r="E19" s="486"/>
      <c r="F19" s="486"/>
      <c r="G19" s="414" t="s">
        <v>1114</v>
      </c>
      <c r="H19" s="668" t="s">
        <v>1115</v>
      </c>
      <c r="I19" s="499"/>
      <c r="J19" s="492">
        <v>45385.0</v>
      </c>
      <c r="K19" s="669"/>
      <c r="L19" s="670" t="s">
        <v>1116</v>
      </c>
      <c r="M19" s="164"/>
      <c r="N19" s="164"/>
      <c r="O19" s="164"/>
      <c r="P19" s="164"/>
      <c r="Q19" s="164"/>
      <c r="R19" s="164"/>
      <c r="S19" s="164"/>
      <c r="T19" s="164"/>
      <c r="U19" s="164"/>
      <c r="V19" s="164"/>
      <c r="W19" s="164"/>
      <c r="X19" s="164"/>
      <c r="Y19" s="164"/>
      <c r="Z19" s="164"/>
      <c r="AA19" s="164"/>
      <c r="AB19" s="164"/>
    </row>
    <row r="20">
      <c r="A20" s="457"/>
      <c r="B20" s="18" t="s">
        <v>252</v>
      </c>
      <c r="C20" s="119" t="s">
        <v>851</v>
      </c>
      <c r="D20" s="486"/>
      <c r="E20" s="486"/>
      <c r="F20" s="486"/>
      <c r="G20" s="510" t="s">
        <v>1117</v>
      </c>
      <c r="H20" s="671" t="s">
        <v>1118</v>
      </c>
      <c r="I20" s="499"/>
      <c r="J20" s="492">
        <v>45663.0</v>
      </c>
      <c r="K20" s="669"/>
      <c r="L20" s="672" t="s">
        <v>1119</v>
      </c>
      <c r="M20" s="164"/>
      <c r="N20" s="164"/>
      <c r="O20" s="164"/>
      <c r="P20" s="164"/>
      <c r="Q20" s="164"/>
      <c r="R20" s="164"/>
      <c r="S20" s="164"/>
      <c r="T20" s="164"/>
      <c r="U20" s="164"/>
      <c r="V20" s="164"/>
      <c r="W20" s="164"/>
      <c r="X20" s="164"/>
      <c r="Y20" s="164"/>
      <c r="Z20" s="164"/>
      <c r="AA20" s="164"/>
      <c r="AB20" s="164"/>
    </row>
    <row r="21">
      <c r="A21" s="457"/>
      <c r="B21" s="41" t="s">
        <v>262</v>
      </c>
      <c r="C21" s="119" t="s">
        <v>851</v>
      </c>
      <c r="D21" s="591"/>
      <c r="E21" s="591"/>
      <c r="F21" s="591"/>
      <c r="G21" s="474" t="s">
        <v>1120</v>
      </c>
      <c r="H21" s="166" t="s">
        <v>1121</v>
      </c>
      <c r="I21" s="594"/>
      <c r="J21" s="633">
        <v>45496.0</v>
      </c>
      <c r="K21" s="594"/>
      <c r="L21" s="602" t="s">
        <v>1122</v>
      </c>
      <c r="M21" s="489" t="s">
        <v>1123</v>
      </c>
      <c r="N21" s="164"/>
      <c r="O21" s="164"/>
      <c r="P21" s="164"/>
      <c r="Q21" s="164"/>
      <c r="R21" s="164"/>
      <c r="S21" s="164"/>
      <c r="T21" s="164"/>
      <c r="U21" s="164"/>
      <c r="V21" s="164"/>
      <c r="W21" s="164"/>
      <c r="X21" s="164"/>
      <c r="Y21" s="164"/>
      <c r="Z21" s="164"/>
      <c r="AA21" s="164"/>
      <c r="AB21" s="164"/>
    </row>
    <row r="22">
      <c r="A22" s="457"/>
      <c r="B22" s="18" t="s">
        <v>1124</v>
      </c>
      <c r="C22" s="119" t="s">
        <v>851</v>
      </c>
      <c r="D22" s="486"/>
      <c r="E22" s="486"/>
      <c r="F22" s="486"/>
      <c r="G22" s="673" t="s">
        <v>1125</v>
      </c>
      <c r="H22" s="674" t="s">
        <v>1126</v>
      </c>
      <c r="I22" s="499"/>
      <c r="J22" s="633">
        <v>45691.0</v>
      </c>
      <c r="K22" s="669"/>
      <c r="L22" s="623" t="s">
        <v>1127</v>
      </c>
      <c r="M22" s="164"/>
      <c r="N22" s="164"/>
      <c r="O22" s="164"/>
      <c r="P22" s="164"/>
      <c r="Q22" s="164"/>
      <c r="R22" s="164"/>
      <c r="S22" s="164"/>
      <c r="T22" s="164"/>
      <c r="U22" s="164"/>
      <c r="V22" s="164"/>
      <c r="W22" s="164"/>
      <c r="X22" s="164"/>
      <c r="Y22" s="164"/>
      <c r="Z22" s="164"/>
      <c r="AA22" s="164"/>
      <c r="AB22" s="164"/>
    </row>
    <row r="23">
      <c r="A23" s="457"/>
      <c r="B23" s="18"/>
      <c r="C23" s="119"/>
      <c r="D23" s="486"/>
      <c r="E23" s="486"/>
      <c r="F23" s="486"/>
      <c r="G23" s="414"/>
      <c r="H23" s="668"/>
      <c r="I23" s="499"/>
      <c r="J23" s="492"/>
      <c r="K23" s="669"/>
      <c r="L23" s="499"/>
      <c r="M23" s="164"/>
      <c r="N23" s="164"/>
      <c r="O23" s="164"/>
      <c r="P23" s="164"/>
      <c r="Q23" s="164"/>
      <c r="R23" s="164"/>
      <c r="S23" s="164"/>
      <c r="T23" s="164"/>
      <c r="U23" s="164"/>
      <c r="V23" s="164"/>
      <c r="W23" s="164"/>
      <c r="X23" s="164"/>
      <c r="Y23" s="164"/>
      <c r="Z23" s="164"/>
      <c r="AA23" s="164"/>
      <c r="AB23" s="164"/>
    </row>
    <row r="24">
      <c r="A24" s="457"/>
      <c r="B24" s="18"/>
      <c r="C24" s="119"/>
      <c r="D24" s="486"/>
      <c r="E24" s="486"/>
      <c r="F24" s="486"/>
      <c r="G24" s="414"/>
      <c r="H24" s="668"/>
      <c r="I24" s="499"/>
      <c r="J24" s="499"/>
      <c r="K24" s="669"/>
      <c r="L24" s="499"/>
      <c r="M24" s="164"/>
      <c r="N24" s="164"/>
      <c r="O24" s="164"/>
      <c r="P24" s="164"/>
      <c r="Q24" s="164"/>
      <c r="R24" s="164"/>
      <c r="S24" s="164"/>
      <c r="T24" s="164"/>
      <c r="U24" s="164"/>
      <c r="V24" s="164"/>
      <c r="W24" s="164"/>
      <c r="X24" s="164"/>
      <c r="Y24" s="164"/>
      <c r="Z24" s="164"/>
      <c r="AA24" s="164"/>
      <c r="AB24" s="164"/>
    </row>
    <row r="25">
      <c r="A25" s="430"/>
      <c r="B25" s="18"/>
      <c r="C25" s="119"/>
      <c r="D25" s="486"/>
      <c r="E25" s="486"/>
      <c r="F25" s="486"/>
      <c r="G25" s="414"/>
      <c r="H25" s="668"/>
      <c r="I25" s="499"/>
      <c r="J25" s="499"/>
      <c r="K25" s="669"/>
      <c r="L25" s="499"/>
      <c r="M25" s="164"/>
      <c r="N25" s="164"/>
      <c r="O25" s="164"/>
      <c r="P25" s="164"/>
      <c r="Q25" s="164"/>
      <c r="R25" s="164"/>
      <c r="S25" s="164"/>
      <c r="T25" s="164"/>
      <c r="U25" s="164"/>
      <c r="V25" s="164"/>
      <c r="W25" s="164"/>
      <c r="X25" s="164"/>
      <c r="Y25" s="164"/>
      <c r="Z25" s="164"/>
      <c r="AA25" s="164"/>
      <c r="AB25" s="164"/>
    </row>
    <row r="26">
      <c r="A26" s="661"/>
      <c r="B26" s="662"/>
      <c r="C26" s="538"/>
      <c r="D26" s="538"/>
      <c r="E26" s="538"/>
      <c r="F26" s="538"/>
      <c r="G26" s="662"/>
      <c r="H26" s="662"/>
      <c r="I26" s="662"/>
      <c r="J26" s="538"/>
      <c r="K26" s="662"/>
      <c r="L26" s="662"/>
      <c r="M26" s="164"/>
      <c r="N26" s="164"/>
      <c r="O26" s="164"/>
      <c r="P26" s="164"/>
      <c r="Q26" s="164"/>
      <c r="R26" s="164"/>
      <c r="S26" s="164"/>
      <c r="T26" s="164"/>
      <c r="U26" s="164"/>
      <c r="V26" s="164"/>
      <c r="W26" s="164"/>
      <c r="X26" s="164"/>
      <c r="Y26" s="164"/>
      <c r="Z26" s="164"/>
      <c r="AA26" s="164"/>
      <c r="AB26" s="164"/>
    </row>
    <row r="27">
      <c r="A27" s="661"/>
      <c r="B27" s="662"/>
      <c r="C27" s="538"/>
      <c r="D27" s="538"/>
      <c r="E27" s="538"/>
      <c r="F27" s="538"/>
      <c r="G27" s="662"/>
      <c r="H27" s="662"/>
      <c r="I27" s="662"/>
      <c r="J27" s="538"/>
      <c r="K27" s="662"/>
      <c r="L27" s="662"/>
      <c r="M27" s="164"/>
      <c r="N27" s="164"/>
      <c r="O27" s="164"/>
      <c r="P27" s="164"/>
      <c r="Q27" s="164"/>
      <c r="R27" s="164"/>
      <c r="S27" s="164"/>
      <c r="T27" s="164"/>
      <c r="U27" s="164"/>
      <c r="V27" s="164"/>
      <c r="W27" s="164"/>
      <c r="X27" s="164"/>
      <c r="Y27" s="164"/>
      <c r="Z27" s="164"/>
      <c r="AA27" s="164"/>
      <c r="AB27" s="164"/>
    </row>
    <row r="28">
      <c r="A28" s="675" t="s">
        <v>1128</v>
      </c>
      <c r="B28" s="18" t="s">
        <v>1129</v>
      </c>
      <c r="C28" s="166" t="s">
        <v>851</v>
      </c>
      <c r="D28" s="676"/>
      <c r="E28" s="676"/>
      <c r="F28" s="676"/>
      <c r="G28" s="442" t="s">
        <v>1130</v>
      </c>
      <c r="H28" s="658" t="s">
        <v>1131</v>
      </c>
      <c r="I28" s="677"/>
      <c r="J28" s="609">
        <v>45294.0</v>
      </c>
      <c r="K28" s="650" t="s">
        <v>1132</v>
      </c>
      <c r="L28" s="489" t="s">
        <v>1093</v>
      </c>
      <c r="M28" s="164"/>
      <c r="N28" s="164"/>
      <c r="O28" s="164"/>
      <c r="P28" s="164"/>
      <c r="Q28" s="164"/>
      <c r="R28" s="164"/>
      <c r="S28" s="164"/>
      <c r="T28" s="164"/>
      <c r="U28" s="164"/>
      <c r="V28" s="164"/>
      <c r="W28" s="164"/>
      <c r="X28" s="164"/>
      <c r="Y28" s="164"/>
      <c r="Z28" s="164"/>
      <c r="AA28" s="164"/>
      <c r="AB28" s="164"/>
    </row>
    <row r="29">
      <c r="A29" s="457"/>
      <c r="B29" s="18" t="s">
        <v>243</v>
      </c>
      <c r="C29" s="119" t="s">
        <v>851</v>
      </c>
      <c r="D29" s="486"/>
      <c r="E29" s="486"/>
      <c r="F29" s="486"/>
      <c r="G29" s="439" t="s">
        <v>1133</v>
      </c>
      <c r="H29" s="498" t="s">
        <v>1134</v>
      </c>
      <c r="I29" s="499"/>
      <c r="J29" s="492">
        <v>45294.0</v>
      </c>
      <c r="K29" s="499"/>
      <c r="L29" s="489" t="s">
        <v>1093</v>
      </c>
      <c r="M29" s="164"/>
      <c r="N29" s="164"/>
      <c r="O29" s="164"/>
      <c r="P29" s="164"/>
      <c r="Q29" s="164"/>
      <c r="R29" s="164"/>
      <c r="S29" s="164"/>
      <c r="T29" s="164"/>
      <c r="U29" s="164"/>
      <c r="V29" s="164"/>
      <c r="W29" s="164"/>
      <c r="X29" s="164"/>
      <c r="Y29" s="164"/>
      <c r="Z29" s="164"/>
      <c r="AA29" s="164"/>
      <c r="AB29" s="164"/>
    </row>
    <row r="30">
      <c r="A30" s="457"/>
      <c r="B30" s="18" t="s">
        <v>253</v>
      </c>
      <c r="C30" s="119" t="s">
        <v>851</v>
      </c>
      <c r="D30" s="486"/>
      <c r="E30" s="486"/>
      <c r="F30" s="486"/>
      <c r="G30" s="439" t="s">
        <v>1135</v>
      </c>
      <c r="H30" s="236" t="s">
        <v>1136</v>
      </c>
      <c r="I30" s="499"/>
      <c r="J30" s="492">
        <v>45348.0</v>
      </c>
      <c r="K30" s="499"/>
      <c r="L30" s="499"/>
      <c r="M30" s="164"/>
      <c r="N30" s="164"/>
      <c r="O30" s="164"/>
      <c r="P30" s="164"/>
      <c r="Q30" s="164"/>
      <c r="R30" s="164"/>
      <c r="S30" s="164"/>
      <c r="T30" s="164"/>
      <c r="U30" s="164"/>
      <c r="V30" s="164"/>
      <c r="W30" s="164"/>
      <c r="X30" s="164"/>
      <c r="Y30" s="164"/>
      <c r="Z30" s="164"/>
      <c r="AA30" s="164"/>
      <c r="AB30" s="164"/>
    </row>
    <row r="31">
      <c r="A31" s="457"/>
      <c r="B31" s="18" t="s">
        <v>1137</v>
      </c>
      <c r="C31" s="119" t="s">
        <v>851</v>
      </c>
      <c r="D31" s="486"/>
      <c r="E31" s="486"/>
      <c r="F31" s="486"/>
      <c r="G31" s="474" t="s">
        <v>1138</v>
      </c>
      <c r="H31" s="166" t="s">
        <v>1139</v>
      </c>
      <c r="I31" s="499"/>
      <c r="J31" s="492">
        <v>45362.0</v>
      </c>
      <c r="K31" s="499"/>
      <c r="L31" s="623" t="s">
        <v>1140</v>
      </c>
      <c r="M31" s="164"/>
      <c r="N31" s="164"/>
      <c r="O31" s="164"/>
      <c r="P31" s="164"/>
      <c r="Q31" s="164"/>
      <c r="R31" s="164"/>
      <c r="S31" s="164"/>
      <c r="T31" s="164"/>
      <c r="U31" s="164"/>
      <c r="V31" s="164"/>
      <c r="W31" s="164"/>
      <c r="X31" s="164"/>
      <c r="Y31" s="164"/>
      <c r="Z31" s="164"/>
      <c r="AA31" s="164"/>
      <c r="AB31" s="164"/>
    </row>
    <row r="32">
      <c r="A32" s="457"/>
      <c r="B32" s="18" t="s">
        <v>273</v>
      </c>
      <c r="C32" s="119" t="s">
        <v>851</v>
      </c>
      <c r="D32" s="486"/>
      <c r="E32" s="486"/>
      <c r="F32" s="486"/>
      <c r="G32" s="414" t="s">
        <v>1141</v>
      </c>
      <c r="H32" s="668" t="s">
        <v>1142</v>
      </c>
      <c r="I32" s="499"/>
      <c r="J32" s="492">
        <v>45425.0</v>
      </c>
      <c r="K32" s="508" t="s">
        <v>1143</v>
      </c>
      <c r="L32" s="623" t="s">
        <v>1144</v>
      </c>
      <c r="M32" s="489" t="s">
        <v>1145</v>
      </c>
      <c r="N32" s="164"/>
      <c r="O32" s="164"/>
      <c r="P32" s="164"/>
      <c r="Q32" s="164"/>
      <c r="R32" s="164"/>
      <c r="S32" s="164"/>
      <c r="T32" s="164"/>
      <c r="U32" s="164"/>
      <c r="V32" s="164"/>
      <c r="W32" s="164"/>
      <c r="X32" s="164"/>
      <c r="Y32" s="164"/>
      <c r="Z32" s="164"/>
      <c r="AA32" s="164"/>
      <c r="AB32" s="164"/>
    </row>
    <row r="33">
      <c r="A33" s="457"/>
      <c r="B33" s="41" t="s">
        <v>283</v>
      </c>
      <c r="C33" s="119" t="s">
        <v>851</v>
      </c>
      <c r="D33" s="591"/>
      <c r="E33" s="591"/>
      <c r="F33" s="591"/>
      <c r="G33" s="414" t="s">
        <v>1146</v>
      </c>
      <c r="H33" s="678" t="s">
        <v>1147</v>
      </c>
      <c r="I33" s="594"/>
      <c r="J33" s="492">
        <v>45523.0</v>
      </c>
      <c r="K33" s="594"/>
      <c r="L33" s="679" t="s">
        <v>1148</v>
      </c>
      <c r="M33" s="680" t="s">
        <v>1149</v>
      </c>
      <c r="N33" s="164"/>
      <c r="O33" s="164"/>
      <c r="P33" s="164"/>
      <c r="Q33" s="164"/>
      <c r="R33" s="164"/>
      <c r="S33" s="164"/>
      <c r="T33" s="164"/>
      <c r="U33" s="164"/>
      <c r="V33" s="164"/>
      <c r="W33" s="164"/>
      <c r="X33" s="164"/>
      <c r="Y33" s="164"/>
      <c r="Z33" s="164"/>
      <c r="AA33" s="164"/>
      <c r="AB33" s="164"/>
    </row>
    <row r="34">
      <c r="A34" s="457"/>
      <c r="B34" s="23" t="s">
        <v>1150</v>
      </c>
      <c r="C34" s="681" t="s">
        <v>851</v>
      </c>
      <c r="D34" s="119" t="s">
        <v>1151</v>
      </c>
      <c r="E34" s="486"/>
      <c r="F34" s="486"/>
      <c r="G34" s="439" t="s">
        <v>1152</v>
      </c>
      <c r="H34" s="498" t="s">
        <v>1153</v>
      </c>
      <c r="I34" s="499"/>
      <c r="J34" s="492">
        <v>45384.0</v>
      </c>
      <c r="K34" s="499"/>
      <c r="L34" s="602" t="s">
        <v>1154</v>
      </c>
      <c r="M34" s="656"/>
      <c r="N34" s="164"/>
      <c r="O34" s="164"/>
      <c r="P34" s="164"/>
      <c r="Q34" s="164"/>
      <c r="R34" s="164"/>
      <c r="S34" s="164"/>
      <c r="T34" s="164"/>
      <c r="U34" s="164"/>
      <c r="V34" s="164"/>
      <c r="W34" s="164"/>
      <c r="X34" s="164"/>
      <c r="Y34" s="164"/>
      <c r="Z34" s="164"/>
      <c r="AA34" s="164"/>
      <c r="AB34" s="164"/>
    </row>
    <row r="35">
      <c r="A35" s="430"/>
      <c r="B35" s="18" t="s">
        <v>299</v>
      </c>
      <c r="C35" s="119"/>
      <c r="D35" s="486"/>
      <c r="E35" s="486"/>
      <c r="F35" s="486"/>
      <c r="G35" s="474" t="s">
        <v>1155</v>
      </c>
      <c r="H35" s="166" t="s">
        <v>1156</v>
      </c>
      <c r="I35" s="499"/>
      <c r="J35" s="492">
        <v>45663.0</v>
      </c>
      <c r="K35" s="499"/>
      <c r="L35" s="499"/>
      <c r="M35" s="682" t="s">
        <v>1109</v>
      </c>
      <c r="N35" s="164"/>
      <c r="O35" s="164"/>
      <c r="P35" s="164"/>
      <c r="Q35" s="164"/>
      <c r="R35" s="164"/>
      <c r="S35" s="164"/>
      <c r="T35" s="164"/>
      <c r="U35" s="164"/>
      <c r="V35" s="164"/>
      <c r="W35" s="164"/>
      <c r="X35" s="164"/>
      <c r="Y35" s="164"/>
      <c r="Z35" s="164"/>
      <c r="AA35" s="164"/>
      <c r="AB35" s="164"/>
    </row>
    <row r="36">
      <c r="A36" s="661"/>
      <c r="B36" s="662"/>
      <c r="C36" s="538"/>
      <c r="D36" s="538"/>
      <c r="E36" s="538"/>
      <c r="F36" s="538"/>
      <c r="G36" s="662"/>
      <c r="H36" s="662"/>
      <c r="I36" s="662"/>
      <c r="J36" s="538"/>
      <c r="K36" s="662"/>
      <c r="L36" s="662"/>
      <c r="M36" s="164"/>
      <c r="N36" s="164"/>
      <c r="O36" s="164"/>
      <c r="P36" s="164"/>
      <c r="Q36" s="164"/>
      <c r="R36" s="164"/>
      <c r="S36" s="164"/>
      <c r="T36" s="164"/>
      <c r="U36" s="164"/>
      <c r="V36" s="164"/>
      <c r="W36" s="164"/>
      <c r="X36" s="164"/>
      <c r="Y36" s="164"/>
      <c r="Z36" s="164"/>
      <c r="AA36" s="164"/>
      <c r="AB36" s="164"/>
    </row>
    <row r="37">
      <c r="A37" s="664"/>
      <c r="B37" s="683"/>
      <c r="C37" s="527"/>
      <c r="D37" s="527"/>
      <c r="E37" s="527"/>
      <c r="F37" s="527"/>
      <c r="G37" s="665"/>
      <c r="H37" s="665"/>
      <c r="I37" s="665"/>
      <c r="J37" s="527"/>
      <c r="K37" s="665"/>
      <c r="L37" s="665"/>
      <c r="M37" s="164"/>
      <c r="N37" s="164"/>
      <c r="O37" s="164"/>
      <c r="P37" s="164"/>
      <c r="Q37" s="164"/>
      <c r="R37" s="164"/>
      <c r="S37" s="164"/>
      <c r="T37" s="164"/>
      <c r="U37" s="164"/>
      <c r="V37" s="164"/>
      <c r="W37" s="164"/>
      <c r="X37" s="164"/>
      <c r="Y37" s="164"/>
      <c r="Z37" s="164"/>
      <c r="AA37" s="164"/>
      <c r="AB37" s="164"/>
    </row>
    <row r="38">
      <c r="A38" s="169" t="s">
        <v>1157</v>
      </c>
      <c r="B38" s="18" t="s">
        <v>1158</v>
      </c>
      <c r="C38" s="119" t="s">
        <v>851</v>
      </c>
      <c r="D38" s="486"/>
      <c r="E38" s="486"/>
      <c r="F38" s="486"/>
      <c r="G38" s="442" t="s">
        <v>1159</v>
      </c>
      <c r="H38" s="658" t="s">
        <v>1160</v>
      </c>
      <c r="I38" s="499"/>
      <c r="J38" s="492">
        <v>45294.0</v>
      </c>
      <c r="K38" s="499"/>
      <c r="L38" s="489" t="s">
        <v>1093</v>
      </c>
      <c r="M38" s="164"/>
      <c r="N38" s="164"/>
      <c r="O38" s="164"/>
      <c r="P38" s="164"/>
      <c r="Q38" s="164"/>
      <c r="R38" s="164"/>
      <c r="S38" s="164"/>
      <c r="T38" s="164"/>
      <c r="U38" s="164"/>
      <c r="V38" s="164"/>
      <c r="W38" s="164"/>
      <c r="X38" s="164"/>
      <c r="Y38" s="164"/>
      <c r="Z38" s="164"/>
      <c r="AA38" s="164"/>
      <c r="AB38" s="164"/>
    </row>
    <row r="39">
      <c r="A39" s="457"/>
      <c r="B39" s="18" t="s">
        <v>244</v>
      </c>
      <c r="C39" s="119" t="s">
        <v>851</v>
      </c>
      <c r="D39" s="486"/>
      <c r="E39" s="486"/>
      <c r="F39" s="119"/>
      <c r="G39" s="439" t="s">
        <v>1161</v>
      </c>
      <c r="H39" s="498" t="s">
        <v>1162</v>
      </c>
      <c r="I39" s="499"/>
      <c r="J39" s="492">
        <v>45294.0</v>
      </c>
      <c r="K39" s="508" t="s">
        <v>1163</v>
      </c>
      <c r="L39" s="489" t="s">
        <v>1164</v>
      </c>
      <c r="M39" s="164"/>
      <c r="N39" s="164"/>
      <c r="O39" s="164"/>
      <c r="P39" s="164"/>
      <c r="Q39" s="164"/>
      <c r="R39" s="164"/>
      <c r="S39" s="164"/>
      <c r="T39" s="164"/>
      <c r="U39" s="164"/>
      <c r="V39" s="164"/>
      <c r="W39" s="164"/>
      <c r="X39" s="164"/>
      <c r="Y39" s="164"/>
      <c r="Z39" s="164"/>
      <c r="AA39" s="164"/>
      <c r="AB39" s="164"/>
    </row>
    <row r="40">
      <c r="A40" s="457"/>
      <c r="B40" s="21" t="s">
        <v>254</v>
      </c>
      <c r="C40" s="109" t="s">
        <v>861</v>
      </c>
      <c r="D40" s="540"/>
      <c r="E40" s="540"/>
      <c r="F40" s="540"/>
      <c r="G40" s="442" t="s">
        <v>1165</v>
      </c>
      <c r="H40" s="658" t="s">
        <v>1166</v>
      </c>
      <c r="I40" s="499"/>
      <c r="J40" s="492">
        <v>45294.0</v>
      </c>
      <c r="K40" s="499"/>
      <c r="L40" s="489" t="s">
        <v>1167</v>
      </c>
      <c r="M40" s="164"/>
      <c r="N40" s="164"/>
      <c r="O40" s="164"/>
      <c r="P40" s="164"/>
      <c r="Q40" s="164"/>
      <c r="R40" s="164"/>
      <c r="S40" s="164"/>
      <c r="T40" s="164"/>
      <c r="U40" s="164"/>
      <c r="V40" s="164"/>
      <c r="W40" s="164"/>
      <c r="X40" s="164"/>
      <c r="Y40" s="164"/>
      <c r="Z40" s="164"/>
      <c r="AA40" s="164"/>
      <c r="AB40" s="164"/>
    </row>
    <row r="41">
      <c r="A41" s="457"/>
      <c r="B41" s="21" t="s">
        <v>1168</v>
      </c>
      <c r="C41" s="119" t="s">
        <v>851</v>
      </c>
      <c r="D41" s="486"/>
      <c r="E41" s="486"/>
      <c r="F41" s="486"/>
      <c r="G41" s="439" t="s">
        <v>1169</v>
      </c>
      <c r="H41" s="498" t="s">
        <v>1170</v>
      </c>
      <c r="I41" s="499"/>
      <c r="J41" s="492">
        <v>45362.0</v>
      </c>
      <c r="K41" s="499"/>
      <c r="L41" s="623" t="s">
        <v>1171</v>
      </c>
      <c r="M41" s="159" t="s">
        <v>1172</v>
      </c>
      <c r="N41" s="164"/>
      <c r="O41" s="164"/>
      <c r="P41" s="164"/>
      <c r="Q41" s="164"/>
      <c r="R41" s="164"/>
      <c r="S41" s="164"/>
      <c r="T41" s="164"/>
      <c r="U41" s="164"/>
      <c r="V41" s="164"/>
      <c r="W41" s="164"/>
      <c r="X41" s="164"/>
      <c r="Y41" s="164"/>
      <c r="Z41" s="164"/>
      <c r="AA41" s="164"/>
      <c r="AB41" s="164"/>
    </row>
    <row r="42">
      <c r="A42" s="457"/>
      <c r="B42" s="21" t="s">
        <v>274</v>
      </c>
      <c r="C42" s="119" t="s">
        <v>851</v>
      </c>
      <c r="D42" s="486"/>
      <c r="E42" s="486"/>
      <c r="F42" s="486"/>
      <c r="G42" s="474" t="s">
        <v>1173</v>
      </c>
      <c r="H42" s="166" t="s">
        <v>1174</v>
      </c>
      <c r="I42" s="499"/>
      <c r="J42" s="492">
        <v>45383.0</v>
      </c>
      <c r="K42" s="499"/>
      <c r="L42" s="623" t="s">
        <v>1175</v>
      </c>
      <c r="M42" s="489" t="s">
        <v>1176</v>
      </c>
      <c r="N42" s="164"/>
      <c r="O42" s="164"/>
      <c r="P42" s="164"/>
      <c r="Q42" s="164"/>
      <c r="R42" s="164"/>
      <c r="S42" s="164"/>
      <c r="T42" s="164"/>
      <c r="U42" s="164"/>
      <c r="V42" s="164"/>
      <c r="W42" s="164"/>
      <c r="X42" s="164"/>
      <c r="Y42" s="164"/>
      <c r="Z42" s="164"/>
      <c r="AA42" s="164"/>
      <c r="AB42" s="164"/>
    </row>
    <row r="43">
      <c r="A43" s="457"/>
      <c r="B43" s="21" t="s">
        <v>284</v>
      </c>
      <c r="C43" s="119" t="s">
        <v>851</v>
      </c>
      <c r="D43" s="486"/>
      <c r="E43" s="486"/>
      <c r="F43" s="486"/>
      <c r="G43" s="506" t="s">
        <v>1177</v>
      </c>
      <c r="H43" s="260" t="s">
        <v>1178</v>
      </c>
      <c r="I43" s="499"/>
      <c r="J43" s="492">
        <v>45383.0</v>
      </c>
      <c r="K43" s="499"/>
      <c r="L43" s="623" t="s">
        <v>1179</v>
      </c>
      <c r="M43" s="489" t="s">
        <v>1176</v>
      </c>
      <c r="N43" s="164"/>
      <c r="O43" s="164"/>
      <c r="P43" s="164"/>
      <c r="Q43" s="164"/>
      <c r="R43" s="164"/>
      <c r="S43" s="164"/>
      <c r="T43" s="164"/>
      <c r="U43" s="164"/>
      <c r="V43" s="164"/>
      <c r="W43" s="164"/>
      <c r="X43" s="164"/>
      <c r="Y43" s="164"/>
      <c r="Z43" s="164"/>
      <c r="AA43" s="164"/>
      <c r="AB43" s="164"/>
    </row>
    <row r="44">
      <c r="A44" s="457"/>
      <c r="B44" s="21" t="s">
        <v>292</v>
      </c>
      <c r="C44" s="119" t="s">
        <v>851</v>
      </c>
      <c r="D44" s="486"/>
      <c r="E44" s="486"/>
      <c r="F44" s="486"/>
      <c r="G44" s="506" t="s">
        <v>1180</v>
      </c>
      <c r="H44" s="260" t="s">
        <v>1181</v>
      </c>
      <c r="I44" s="499"/>
      <c r="J44" s="492">
        <v>45518.0</v>
      </c>
      <c r="K44" s="499"/>
      <c r="L44" s="623" t="s">
        <v>1182</v>
      </c>
      <c r="M44" s="489" t="s">
        <v>1183</v>
      </c>
      <c r="N44" s="164"/>
      <c r="O44" s="164"/>
      <c r="P44" s="661"/>
      <c r="Q44" s="661"/>
      <c r="R44" s="684"/>
      <c r="S44" s="661"/>
      <c r="T44" s="685"/>
      <c r="U44" s="661"/>
      <c r="V44" s="164"/>
      <c r="W44" s="164"/>
      <c r="X44" s="164"/>
      <c r="Y44" s="164"/>
      <c r="Z44" s="164"/>
      <c r="AA44" s="164"/>
      <c r="AB44" s="164"/>
    </row>
    <row r="45">
      <c r="A45" s="430"/>
      <c r="B45" s="21" t="s">
        <v>1184</v>
      </c>
      <c r="C45" s="109" t="s">
        <v>861</v>
      </c>
      <c r="D45" s="486"/>
      <c r="E45" s="486"/>
      <c r="F45" s="486"/>
      <c r="G45" s="506" t="s">
        <v>1185</v>
      </c>
      <c r="H45" s="260" t="s">
        <v>1186</v>
      </c>
      <c r="I45" s="499"/>
      <c r="J45" s="492">
        <v>45663.0</v>
      </c>
      <c r="K45" s="499"/>
      <c r="L45" s="499"/>
      <c r="M45" s="686" t="s">
        <v>1109</v>
      </c>
      <c r="N45" s="164"/>
      <c r="O45" s="164"/>
      <c r="P45" s="164"/>
      <c r="Q45" s="164"/>
      <c r="R45" s="164"/>
      <c r="S45" s="164"/>
      <c r="T45" s="164"/>
      <c r="U45" s="164"/>
      <c r="V45" s="164"/>
      <c r="W45" s="164"/>
      <c r="X45" s="164"/>
      <c r="Y45" s="164"/>
      <c r="Z45" s="164"/>
      <c r="AA45" s="164"/>
      <c r="AB45" s="164"/>
    </row>
    <row r="46">
      <c r="A46" s="661"/>
      <c r="B46" s="662"/>
      <c r="C46" s="538"/>
      <c r="D46" s="538"/>
      <c r="E46" s="538"/>
      <c r="F46" s="538"/>
      <c r="G46" s="662"/>
      <c r="H46" s="662"/>
      <c r="I46" s="662"/>
      <c r="J46" s="538"/>
      <c r="K46" s="662"/>
      <c r="L46" s="662"/>
      <c r="M46" s="164"/>
      <c r="N46" s="164"/>
      <c r="O46" s="164"/>
      <c r="P46" s="164"/>
      <c r="Q46" s="164"/>
      <c r="R46" s="164"/>
      <c r="S46" s="164"/>
      <c r="T46" s="164"/>
      <c r="U46" s="164"/>
      <c r="V46" s="164"/>
      <c r="W46" s="164"/>
      <c r="X46" s="164"/>
      <c r="Y46" s="164"/>
      <c r="Z46" s="164"/>
      <c r="AA46" s="164"/>
      <c r="AB46" s="164"/>
    </row>
    <row r="47">
      <c r="A47" s="664"/>
      <c r="B47" s="665"/>
      <c r="C47" s="527"/>
      <c r="D47" s="527"/>
      <c r="E47" s="527"/>
      <c r="F47" s="527"/>
      <c r="G47" s="665"/>
      <c r="H47" s="665"/>
      <c r="I47" s="665"/>
      <c r="J47" s="527"/>
      <c r="K47" s="665"/>
      <c r="L47" s="665"/>
      <c r="M47" s="164"/>
      <c r="N47" s="164"/>
      <c r="O47" s="164"/>
      <c r="P47" s="164"/>
      <c r="Q47" s="164"/>
      <c r="R47" s="164"/>
      <c r="S47" s="164"/>
      <c r="T47" s="164"/>
      <c r="U47" s="164"/>
      <c r="V47" s="164"/>
      <c r="W47" s="164"/>
      <c r="X47" s="164"/>
      <c r="Y47" s="164"/>
      <c r="Z47" s="164"/>
      <c r="AA47" s="164"/>
      <c r="AB47" s="164"/>
    </row>
    <row r="48">
      <c r="A48" s="169" t="s">
        <v>1187</v>
      </c>
      <c r="B48" s="18" t="s">
        <v>386</v>
      </c>
      <c r="C48" s="119" t="s">
        <v>851</v>
      </c>
      <c r="D48" s="562"/>
      <c r="E48" s="563"/>
      <c r="F48" s="563"/>
      <c r="G48" s="436" t="s">
        <v>1188</v>
      </c>
      <c r="H48" s="687" t="s">
        <v>1189</v>
      </c>
      <c r="I48" s="499"/>
      <c r="J48" s="492">
        <v>45351.0</v>
      </c>
      <c r="K48" s="499"/>
      <c r="L48" s="499"/>
      <c r="M48" s="164"/>
      <c r="N48" s="164"/>
      <c r="O48" s="164"/>
      <c r="P48" s="164"/>
      <c r="Q48" s="164"/>
      <c r="R48" s="164"/>
      <c r="S48" s="164"/>
      <c r="T48" s="164"/>
      <c r="U48" s="164"/>
      <c r="V48" s="164"/>
      <c r="W48" s="164"/>
      <c r="X48" s="164"/>
      <c r="Y48" s="164"/>
      <c r="Z48" s="164"/>
      <c r="AA48" s="164"/>
      <c r="AB48" s="164"/>
    </row>
    <row r="49">
      <c r="A49" s="457"/>
      <c r="B49" s="18" t="s">
        <v>411</v>
      </c>
      <c r="C49" s="119" t="s">
        <v>851</v>
      </c>
      <c r="D49" s="562"/>
      <c r="E49" s="563"/>
      <c r="F49" s="563"/>
      <c r="G49" s="435" t="s">
        <v>1190</v>
      </c>
      <c r="H49" s="688" t="s">
        <v>1191</v>
      </c>
      <c r="I49" s="499"/>
      <c r="J49" s="492">
        <v>45351.0</v>
      </c>
      <c r="K49" s="499"/>
      <c r="L49" s="499"/>
      <c r="M49" s="164"/>
      <c r="N49" s="164"/>
      <c r="O49" s="164"/>
      <c r="P49" s="164"/>
      <c r="Q49" s="164"/>
      <c r="R49" s="164"/>
      <c r="S49" s="164"/>
      <c r="T49" s="164"/>
      <c r="U49" s="164"/>
      <c r="V49" s="164"/>
      <c r="W49" s="164"/>
      <c r="X49" s="164"/>
      <c r="Y49" s="164"/>
      <c r="Z49" s="164"/>
      <c r="AA49" s="164"/>
      <c r="AB49" s="164"/>
    </row>
    <row r="50">
      <c r="A50" s="457"/>
      <c r="B50" s="18" t="s">
        <v>436</v>
      </c>
      <c r="C50" s="119" t="s">
        <v>851</v>
      </c>
      <c r="D50" s="562"/>
      <c r="E50" s="563"/>
      <c r="F50" s="563"/>
      <c r="G50" s="436" t="s">
        <v>1192</v>
      </c>
      <c r="H50" s="687" t="s">
        <v>1193</v>
      </c>
      <c r="I50" s="499"/>
      <c r="J50" s="492">
        <v>45351.0</v>
      </c>
      <c r="K50" s="499"/>
      <c r="L50" s="499"/>
      <c r="M50" s="164"/>
      <c r="N50" s="164"/>
      <c r="O50" s="164"/>
      <c r="P50" s="164"/>
      <c r="Q50" s="164"/>
      <c r="R50" s="164"/>
      <c r="S50" s="164"/>
      <c r="T50" s="164"/>
      <c r="U50" s="164"/>
      <c r="V50" s="164"/>
      <c r="W50" s="164"/>
      <c r="X50" s="164"/>
      <c r="Y50" s="164"/>
      <c r="Z50" s="164"/>
      <c r="AA50" s="164"/>
      <c r="AB50" s="164"/>
    </row>
    <row r="51">
      <c r="A51" s="457"/>
      <c r="B51" s="130" t="s">
        <v>461</v>
      </c>
      <c r="C51" s="119" t="s">
        <v>851</v>
      </c>
      <c r="D51" s="562"/>
      <c r="E51" s="563"/>
      <c r="F51" s="563"/>
      <c r="G51" s="130" t="s">
        <v>1194</v>
      </c>
      <c r="H51" s="130" t="s">
        <v>1195</v>
      </c>
      <c r="I51" s="499"/>
      <c r="J51" s="492">
        <v>45351.0</v>
      </c>
      <c r="K51" s="499"/>
      <c r="L51" s="499"/>
      <c r="M51" s="164"/>
      <c r="N51" s="164"/>
      <c r="O51" s="164"/>
      <c r="P51" s="164"/>
      <c r="Q51" s="164"/>
      <c r="R51" s="164"/>
      <c r="S51" s="164"/>
      <c r="T51" s="164"/>
      <c r="U51" s="164"/>
      <c r="V51" s="164"/>
      <c r="W51" s="164"/>
      <c r="X51" s="164"/>
      <c r="Y51" s="164"/>
      <c r="Z51" s="164"/>
      <c r="AA51" s="164"/>
      <c r="AB51" s="164"/>
    </row>
    <row r="52">
      <c r="A52" s="457"/>
      <c r="B52" s="18" t="s">
        <v>486</v>
      </c>
      <c r="C52" s="119" t="s">
        <v>861</v>
      </c>
      <c r="D52" s="562"/>
      <c r="E52" s="563"/>
      <c r="F52" s="563"/>
      <c r="G52" s="439" t="s">
        <v>1196</v>
      </c>
      <c r="H52" s="166" t="s">
        <v>1197</v>
      </c>
      <c r="I52" s="508" t="s">
        <v>1198</v>
      </c>
      <c r="J52" s="638">
        <v>45294.0</v>
      </c>
      <c r="K52" s="499"/>
      <c r="L52" s="499"/>
      <c r="M52" s="164"/>
      <c r="N52" s="164"/>
      <c r="O52" s="164"/>
      <c r="P52" s="164"/>
      <c r="Q52" s="164"/>
      <c r="R52" s="164"/>
      <c r="S52" s="164"/>
      <c r="T52" s="164"/>
      <c r="U52" s="164"/>
      <c r="V52" s="164"/>
      <c r="W52" s="164"/>
      <c r="X52" s="164"/>
      <c r="Y52" s="164"/>
      <c r="Z52" s="164"/>
      <c r="AA52" s="164"/>
      <c r="AB52" s="164"/>
    </row>
    <row r="53">
      <c r="A53" s="457"/>
      <c r="B53" s="18" t="s">
        <v>511</v>
      </c>
      <c r="C53" s="119" t="s">
        <v>851</v>
      </c>
      <c r="D53" s="566"/>
      <c r="E53" s="566"/>
      <c r="F53" s="566"/>
      <c r="G53" s="415" t="s">
        <v>1199</v>
      </c>
      <c r="H53" s="689" t="s">
        <v>1200</v>
      </c>
      <c r="I53" s="499"/>
      <c r="J53" s="492">
        <v>45350.0</v>
      </c>
      <c r="K53" s="499"/>
      <c r="L53" s="508" t="s">
        <v>1201</v>
      </c>
      <c r="M53" s="493" t="s">
        <v>1202</v>
      </c>
      <c r="N53" s="493" t="s">
        <v>1179</v>
      </c>
      <c r="O53" s="164"/>
      <c r="P53" s="164"/>
      <c r="Q53" s="164"/>
      <c r="R53" s="164"/>
      <c r="S53" s="164"/>
      <c r="T53" s="164"/>
      <c r="U53" s="164"/>
      <c r="V53" s="164"/>
      <c r="W53" s="164"/>
      <c r="X53" s="164"/>
      <c r="Y53" s="164"/>
      <c r="Z53" s="164"/>
      <c r="AA53" s="164"/>
      <c r="AB53" s="164"/>
    </row>
    <row r="54">
      <c r="A54" s="457"/>
      <c r="B54" s="23" t="s">
        <v>535</v>
      </c>
      <c r="C54" s="681" t="s">
        <v>851</v>
      </c>
      <c r="D54" s="486"/>
      <c r="E54" s="486"/>
      <c r="F54" s="119"/>
      <c r="G54" s="474" t="s">
        <v>1203</v>
      </c>
      <c r="H54" s="166" t="s">
        <v>1204</v>
      </c>
      <c r="I54" s="499"/>
      <c r="J54" s="492">
        <v>45384.0</v>
      </c>
      <c r="K54" s="499"/>
      <c r="L54" s="602" t="s">
        <v>1205</v>
      </c>
      <c r="M54" s="164"/>
      <c r="N54" s="164"/>
      <c r="O54" s="164"/>
      <c r="P54" s="164"/>
      <c r="Q54" s="164"/>
      <c r="R54" s="164"/>
      <c r="S54" s="164"/>
      <c r="T54" s="164"/>
      <c r="U54" s="164"/>
      <c r="V54" s="164"/>
      <c r="W54" s="164"/>
      <c r="X54" s="164"/>
      <c r="Y54" s="164"/>
      <c r="Z54" s="164"/>
      <c r="AA54" s="164"/>
      <c r="AB54" s="164"/>
    </row>
    <row r="55">
      <c r="A55" s="430"/>
      <c r="B55" s="18" t="s">
        <v>1206</v>
      </c>
      <c r="C55" s="119" t="s">
        <v>851</v>
      </c>
      <c r="D55" s="486"/>
      <c r="E55" s="486"/>
      <c r="F55" s="486"/>
      <c r="G55" s="34" t="s">
        <v>1207</v>
      </c>
      <c r="H55" s="34" t="s">
        <v>1208</v>
      </c>
      <c r="I55" s="499"/>
      <c r="J55" s="492">
        <v>45359.0</v>
      </c>
      <c r="K55" s="499"/>
      <c r="L55" s="623" t="s">
        <v>1209</v>
      </c>
      <c r="M55" s="690" t="s">
        <v>1210</v>
      </c>
      <c r="N55" s="690" t="s">
        <v>1116</v>
      </c>
      <c r="O55" s="164"/>
      <c r="P55" s="164"/>
      <c r="Q55" s="164"/>
      <c r="R55" s="164"/>
      <c r="S55" s="164"/>
      <c r="T55" s="164"/>
      <c r="U55" s="164"/>
      <c r="V55" s="164"/>
      <c r="W55" s="164"/>
      <c r="X55" s="164"/>
      <c r="Y55" s="164"/>
      <c r="Z55" s="164"/>
      <c r="AA55" s="164"/>
      <c r="AB55" s="164"/>
    </row>
    <row r="56">
      <c r="A56" s="661"/>
      <c r="B56" s="662"/>
      <c r="C56" s="538"/>
      <c r="D56" s="538"/>
      <c r="E56" s="538"/>
      <c r="F56" s="538"/>
      <c r="G56" s="662"/>
      <c r="H56" s="662"/>
      <c r="I56" s="662"/>
      <c r="J56" s="538"/>
      <c r="K56" s="661"/>
      <c r="L56" s="661"/>
      <c r="M56" s="164"/>
      <c r="N56" s="164"/>
      <c r="O56" s="164"/>
      <c r="P56" s="164"/>
      <c r="Q56" s="164"/>
      <c r="R56" s="164"/>
      <c r="S56" s="164"/>
      <c r="T56" s="164"/>
      <c r="U56" s="164"/>
      <c r="V56" s="164"/>
      <c r="W56" s="164"/>
      <c r="X56" s="164"/>
      <c r="Y56" s="164"/>
      <c r="Z56" s="164"/>
      <c r="AA56" s="164"/>
      <c r="AB56" s="164"/>
    </row>
    <row r="57">
      <c r="A57" s="664"/>
      <c r="B57" s="683"/>
      <c r="C57" s="527"/>
      <c r="D57" s="527"/>
      <c r="E57" s="527"/>
      <c r="F57" s="527"/>
      <c r="G57" s="665"/>
      <c r="H57" s="665"/>
      <c r="I57" s="665"/>
      <c r="J57" s="527"/>
      <c r="K57" s="664"/>
      <c r="L57" s="664"/>
      <c r="M57" s="164"/>
      <c r="N57" s="164"/>
      <c r="O57" s="164"/>
      <c r="P57" s="164"/>
      <c r="Q57" s="164"/>
      <c r="R57" s="164"/>
      <c r="S57" s="164"/>
      <c r="T57" s="164"/>
      <c r="U57" s="164"/>
      <c r="V57" s="164"/>
      <c r="W57" s="164"/>
      <c r="X57" s="164"/>
      <c r="Y57" s="164"/>
      <c r="Z57" s="164"/>
      <c r="AA57" s="164"/>
      <c r="AB57" s="164"/>
    </row>
    <row r="58">
      <c r="A58" s="657" t="s">
        <v>1211</v>
      </c>
      <c r="B58" s="19" t="s">
        <v>1212</v>
      </c>
      <c r="C58" s="119" t="s">
        <v>851</v>
      </c>
      <c r="D58" s="119" t="s">
        <v>1213</v>
      </c>
      <c r="E58" s="486"/>
      <c r="F58" s="486"/>
      <c r="G58" s="442" t="s">
        <v>1214</v>
      </c>
      <c r="H58" s="658" t="s">
        <v>1215</v>
      </c>
      <c r="I58" s="499"/>
      <c r="J58" s="492">
        <v>45293.0</v>
      </c>
      <c r="K58" s="499"/>
      <c r="L58" s="489" t="s">
        <v>1167</v>
      </c>
      <c r="M58" s="164"/>
      <c r="N58" s="164"/>
      <c r="O58" s="164"/>
      <c r="P58" s="164"/>
      <c r="Q58" s="164"/>
      <c r="R58" s="164"/>
      <c r="S58" s="164"/>
      <c r="T58" s="164"/>
      <c r="U58" s="164"/>
      <c r="V58" s="164"/>
      <c r="W58" s="164"/>
      <c r="X58" s="164"/>
      <c r="Y58" s="164"/>
      <c r="Z58" s="164"/>
      <c r="AA58" s="164"/>
      <c r="AB58" s="164"/>
    </row>
    <row r="59">
      <c r="A59" s="457"/>
      <c r="B59" s="19" t="s">
        <v>412</v>
      </c>
      <c r="C59" s="119" t="s">
        <v>851</v>
      </c>
      <c r="D59" s="486"/>
      <c r="E59" s="486"/>
      <c r="F59" s="486"/>
      <c r="G59" s="442" t="s">
        <v>766</v>
      </c>
      <c r="H59" s="691" t="s">
        <v>1216</v>
      </c>
      <c r="I59" s="499"/>
      <c r="J59" s="492">
        <v>45293.0</v>
      </c>
      <c r="K59" s="508" t="s">
        <v>1217</v>
      </c>
      <c r="L59" s="489" t="s">
        <v>1167</v>
      </c>
      <c r="M59" s="164"/>
      <c r="N59" s="164"/>
      <c r="O59" s="164"/>
      <c r="P59" s="164"/>
      <c r="Q59" s="164"/>
      <c r="R59" s="164"/>
      <c r="S59" s="164"/>
      <c r="T59" s="164"/>
      <c r="U59" s="164"/>
      <c r="V59" s="164"/>
      <c r="W59" s="164"/>
      <c r="X59" s="164"/>
      <c r="Y59" s="164"/>
      <c r="Z59" s="164"/>
      <c r="AA59" s="164"/>
      <c r="AB59" s="164"/>
    </row>
    <row r="60">
      <c r="A60" s="457"/>
      <c r="B60" s="19" t="s">
        <v>437</v>
      </c>
      <c r="C60" s="119" t="s">
        <v>861</v>
      </c>
      <c r="D60" s="486"/>
      <c r="E60" s="486"/>
      <c r="F60" s="486"/>
      <c r="G60" s="442" t="s">
        <v>1218</v>
      </c>
      <c r="H60" s="658" t="s">
        <v>1219</v>
      </c>
      <c r="I60" s="499"/>
      <c r="J60" s="492">
        <v>45293.0</v>
      </c>
      <c r="K60" s="499"/>
      <c r="L60" s="499"/>
      <c r="M60" s="164"/>
      <c r="N60" s="164"/>
      <c r="O60" s="164"/>
      <c r="P60" s="164"/>
      <c r="Q60" s="164"/>
      <c r="R60" s="164"/>
      <c r="S60" s="164"/>
      <c r="T60" s="164"/>
      <c r="U60" s="164"/>
      <c r="V60" s="164"/>
      <c r="W60" s="164"/>
      <c r="X60" s="164"/>
      <c r="Y60" s="164"/>
      <c r="Z60" s="164"/>
      <c r="AA60" s="164"/>
      <c r="AB60" s="164"/>
    </row>
    <row r="61">
      <c r="A61" s="457"/>
      <c r="B61" s="28" t="s">
        <v>1220</v>
      </c>
      <c r="C61" s="119" t="s">
        <v>851</v>
      </c>
      <c r="D61" s="486"/>
      <c r="E61" s="486"/>
      <c r="F61" s="486"/>
      <c r="G61" s="442" t="s">
        <v>1221</v>
      </c>
      <c r="H61" s="658" t="s">
        <v>1222</v>
      </c>
      <c r="I61" s="499"/>
      <c r="J61" s="492">
        <v>45293.0</v>
      </c>
      <c r="K61" s="508"/>
      <c r="L61" s="686" t="s">
        <v>1223</v>
      </c>
      <c r="M61" s="682" t="s">
        <v>1224</v>
      </c>
      <c r="N61" s="164"/>
      <c r="O61" s="164"/>
      <c r="P61" s="164"/>
      <c r="Q61" s="164"/>
      <c r="R61" s="164"/>
      <c r="S61" s="164"/>
      <c r="T61" s="164"/>
      <c r="U61" s="164"/>
      <c r="V61" s="164"/>
      <c r="W61" s="164"/>
      <c r="X61" s="164"/>
      <c r="Y61" s="164"/>
      <c r="Z61" s="164"/>
      <c r="AA61" s="164"/>
      <c r="AB61" s="164"/>
    </row>
    <row r="62">
      <c r="A62" s="457"/>
      <c r="B62" s="28" t="s">
        <v>1225</v>
      </c>
      <c r="C62" s="119" t="s">
        <v>851</v>
      </c>
      <c r="D62" s="119" t="s">
        <v>1226</v>
      </c>
      <c r="E62" s="486"/>
      <c r="F62" s="486"/>
      <c r="G62" s="467" t="s">
        <v>1227</v>
      </c>
      <c r="H62" s="692" t="s">
        <v>1228</v>
      </c>
      <c r="I62" s="499"/>
      <c r="J62" s="492">
        <v>45405.0</v>
      </c>
      <c r="K62" s="508"/>
      <c r="L62" s="594"/>
      <c r="M62" s="164"/>
      <c r="N62" s="164"/>
      <c r="O62" s="164"/>
      <c r="P62" s="164"/>
      <c r="Q62" s="164"/>
      <c r="R62" s="164"/>
      <c r="S62" s="164"/>
      <c r="T62" s="164"/>
      <c r="U62" s="164"/>
      <c r="V62" s="164"/>
      <c r="W62" s="164"/>
      <c r="X62" s="164"/>
      <c r="Y62" s="164"/>
      <c r="Z62" s="164"/>
      <c r="AA62" s="164"/>
      <c r="AB62" s="164"/>
    </row>
    <row r="63">
      <c r="A63" s="457"/>
      <c r="B63" s="19" t="s">
        <v>512</v>
      </c>
      <c r="C63" s="119" t="s">
        <v>851</v>
      </c>
      <c r="D63" s="486"/>
      <c r="E63" s="486"/>
      <c r="F63" s="486"/>
      <c r="G63" s="439" t="s">
        <v>1229</v>
      </c>
      <c r="H63" s="498" t="s">
        <v>1230</v>
      </c>
      <c r="I63" s="508" t="s">
        <v>1231</v>
      </c>
      <c r="J63" s="638">
        <v>45294.0</v>
      </c>
      <c r="K63" s="508"/>
      <c r="L63" s="594"/>
      <c r="M63" s="164"/>
      <c r="N63" s="164"/>
      <c r="O63" s="164"/>
      <c r="P63" s="164"/>
      <c r="Q63" s="164"/>
      <c r="R63" s="164"/>
      <c r="S63" s="164"/>
      <c r="T63" s="164"/>
      <c r="U63" s="164"/>
      <c r="V63" s="164"/>
      <c r="W63" s="164"/>
      <c r="X63" s="164"/>
      <c r="Y63" s="164"/>
      <c r="Z63" s="164"/>
      <c r="AA63" s="164"/>
      <c r="AB63" s="164"/>
    </row>
    <row r="64">
      <c r="A64" s="457"/>
      <c r="B64" s="19" t="s">
        <v>536</v>
      </c>
      <c r="C64" s="119" t="s">
        <v>851</v>
      </c>
      <c r="D64" s="486"/>
      <c r="E64" s="486"/>
      <c r="F64" s="486"/>
      <c r="G64" s="439" t="s">
        <v>1232</v>
      </c>
      <c r="H64" s="498" t="s">
        <v>1233</v>
      </c>
      <c r="I64" s="508" t="s">
        <v>1234</v>
      </c>
      <c r="J64" s="492">
        <v>45293.0</v>
      </c>
      <c r="K64" s="119" t="s">
        <v>1235</v>
      </c>
      <c r="L64" s="499"/>
      <c r="M64" s="164"/>
      <c r="N64" s="164"/>
      <c r="O64" s="164"/>
      <c r="P64" s="164"/>
      <c r="Q64" s="164"/>
      <c r="R64" s="164"/>
      <c r="S64" s="164"/>
      <c r="T64" s="164"/>
      <c r="U64" s="164"/>
      <c r="V64" s="164"/>
      <c r="W64" s="164"/>
      <c r="X64" s="164"/>
      <c r="Y64" s="164"/>
      <c r="Z64" s="164"/>
      <c r="AA64" s="164"/>
      <c r="AB64" s="164"/>
    </row>
    <row r="65">
      <c r="A65" s="430"/>
      <c r="B65" s="19" t="s">
        <v>560</v>
      </c>
      <c r="C65" s="119" t="s">
        <v>851</v>
      </c>
      <c r="D65" s="119" t="s">
        <v>1095</v>
      </c>
      <c r="E65" s="486"/>
      <c r="F65" s="486"/>
      <c r="G65" s="247" t="s">
        <v>1236</v>
      </c>
      <c r="H65" s="251" t="s">
        <v>1237</v>
      </c>
      <c r="I65" s="499"/>
      <c r="J65" s="492">
        <v>45573.0</v>
      </c>
      <c r="K65" s="499"/>
      <c r="L65" s="602" t="s">
        <v>1238</v>
      </c>
      <c r="M65" s="660" t="s">
        <v>1239</v>
      </c>
      <c r="N65" s="164"/>
      <c r="O65" s="164"/>
      <c r="P65" s="164"/>
      <c r="Q65" s="164"/>
      <c r="R65" s="164"/>
      <c r="S65" s="164"/>
      <c r="T65" s="164"/>
      <c r="U65" s="164"/>
      <c r="V65" s="164"/>
      <c r="W65" s="164"/>
      <c r="X65" s="164"/>
      <c r="Y65" s="164"/>
      <c r="Z65" s="164"/>
      <c r="AA65" s="164"/>
      <c r="AB65" s="164"/>
    </row>
    <row r="66">
      <c r="A66" s="661"/>
      <c r="B66" s="662"/>
      <c r="C66" s="538"/>
      <c r="D66" s="538"/>
      <c r="E66" s="538"/>
      <c r="F66" s="538"/>
      <c r="G66" s="662"/>
      <c r="H66" s="662"/>
      <c r="I66" s="662"/>
      <c r="J66" s="538"/>
      <c r="K66" s="662"/>
      <c r="L66" s="662"/>
      <c r="M66" s="164"/>
      <c r="N66" s="164"/>
      <c r="O66" s="164"/>
      <c r="P66" s="164"/>
      <c r="Q66" s="164"/>
      <c r="R66" s="164"/>
      <c r="S66" s="164"/>
      <c r="T66" s="164"/>
      <c r="U66" s="164"/>
      <c r="V66" s="164"/>
      <c r="W66" s="164"/>
      <c r="X66" s="164"/>
      <c r="Y66" s="164"/>
      <c r="Z66" s="164"/>
      <c r="AA66" s="164"/>
      <c r="AB66" s="164"/>
    </row>
    <row r="67">
      <c r="A67" s="664"/>
      <c r="B67" s="683"/>
      <c r="C67" s="527"/>
      <c r="D67" s="527"/>
      <c r="E67" s="527"/>
      <c r="F67" s="527"/>
      <c r="G67" s="665"/>
      <c r="H67" s="665"/>
      <c r="I67" s="665"/>
      <c r="J67" s="527"/>
      <c r="K67" s="665"/>
      <c r="L67" s="665"/>
      <c r="M67" s="164"/>
      <c r="N67" s="164"/>
      <c r="O67" s="164"/>
      <c r="P67" s="164"/>
      <c r="Q67" s="164"/>
      <c r="R67" s="164"/>
      <c r="S67" s="164"/>
      <c r="T67" s="164"/>
      <c r="U67" s="164"/>
      <c r="V67" s="164"/>
      <c r="W67" s="164"/>
      <c r="X67" s="164"/>
      <c r="Y67" s="164"/>
      <c r="Z67" s="164"/>
      <c r="AA67" s="164"/>
      <c r="AB67" s="164"/>
    </row>
    <row r="68">
      <c r="A68" s="657" t="s">
        <v>1240</v>
      </c>
      <c r="B68" s="18" t="s">
        <v>388</v>
      </c>
      <c r="C68" s="119" t="s">
        <v>851</v>
      </c>
      <c r="D68" s="486"/>
      <c r="E68" s="486"/>
      <c r="F68" s="119"/>
      <c r="G68" s="442" t="s">
        <v>1241</v>
      </c>
      <c r="H68" s="658" t="s">
        <v>1242</v>
      </c>
      <c r="I68" s="499"/>
      <c r="J68" s="492">
        <v>45293.0</v>
      </c>
      <c r="K68" s="508" t="s">
        <v>1243</v>
      </c>
      <c r="L68" s="489" t="s">
        <v>1167</v>
      </c>
      <c r="M68" s="623" t="s">
        <v>1244</v>
      </c>
      <c r="N68" s="164"/>
      <c r="O68" s="164"/>
      <c r="P68" s="164"/>
      <c r="Q68" s="164"/>
      <c r="R68" s="164"/>
      <c r="S68" s="164"/>
      <c r="T68" s="164"/>
      <c r="U68" s="164"/>
      <c r="V68" s="164"/>
      <c r="W68" s="164"/>
      <c r="X68" s="164"/>
      <c r="Y68" s="164"/>
      <c r="Z68" s="164"/>
      <c r="AA68" s="164"/>
      <c r="AB68" s="164"/>
    </row>
    <row r="69">
      <c r="A69" s="457"/>
      <c r="B69" s="18" t="s">
        <v>413</v>
      </c>
      <c r="C69" s="119" t="s">
        <v>851</v>
      </c>
      <c r="D69" s="486"/>
      <c r="E69" s="486"/>
      <c r="F69" s="486"/>
      <c r="G69" s="442" t="s">
        <v>1245</v>
      </c>
      <c r="H69" s="658" t="s">
        <v>1246</v>
      </c>
      <c r="I69" s="499"/>
      <c r="J69" s="492">
        <v>45293.0</v>
      </c>
      <c r="K69" s="508" t="s">
        <v>1247</v>
      </c>
      <c r="L69" s="489" t="s">
        <v>1164</v>
      </c>
      <c r="M69" s="164"/>
      <c r="N69" s="164"/>
      <c r="O69" s="164"/>
      <c r="P69" s="164"/>
      <c r="Q69" s="164"/>
      <c r="R69" s="164"/>
      <c r="S69" s="164"/>
      <c r="T69" s="164"/>
      <c r="U69" s="164"/>
      <c r="V69" s="164"/>
      <c r="W69" s="164"/>
      <c r="X69" s="164"/>
      <c r="Y69" s="164"/>
      <c r="Z69" s="164"/>
      <c r="AA69" s="164"/>
      <c r="AB69" s="164"/>
    </row>
    <row r="70">
      <c r="A70" s="457"/>
      <c r="B70" s="18" t="s">
        <v>438</v>
      </c>
      <c r="C70" s="119" t="s">
        <v>851</v>
      </c>
      <c r="D70" s="486"/>
      <c r="E70" s="486"/>
      <c r="F70" s="119"/>
      <c r="G70" s="439" t="s">
        <v>1248</v>
      </c>
      <c r="H70" s="498" t="s">
        <v>1249</v>
      </c>
      <c r="I70" s="499"/>
      <c r="J70" s="492">
        <v>45293.0</v>
      </c>
      <c r="K70" s="499"/>
      <c r="L70" s="499"/>
      <c r="M70" s="164"/>
      <c r="N70" s="164"/>
      <c r="O70" s="164"/>
      <c r="P70" s="164"/>
      <c r="Q70" s="164"/>
      <c r="R70" s="164"/>
      <c r="S70" s="164"/>
      <c r="T70" s="164"/>
      <c r="U70" s="164"/>
      <c r="V70" s="164"/>
      <c r="W70" s="164"/>
      <c r="X70" s="164"/>
      <c r="Y70" s="164"/>
      <c r="Z70" s="164"/>
      <c r="AA70" s="164"/>
      <c r="AB70" s="164"/>
    </row>
    <row r="71">
      <c r="A71" s="457"/>
      <c r="B71" s="18" t="s">
        <v>463</v>
      </c>
      <c r="C71" s="119" t="s">
        <v>851</v>
      </c>
      <c r="D71" s="486"/>
      <c r="E71" s="119" t="s">
        <v>1250</v>
      </c>
      <c r="F71" s="486"/>
      <c r="G71" s="474" t="s">
        <v>1251</v>
      </c>
      <c r="H71" s="166" t="s">
        <v>1252</v>
      </c>
      <c r="I71" s="499"/>
      <c r="J71" s="492">
        <v>45293.0</v>
      </c>
      <c r="K71" s="508" t="s">
        <v>1253</v>
      </c>
      <c r="L71" s="489" t="s">
        <v>1254</v>
      </c>
      <c r="M71" s="164"/>
      <c r="N71" s="164"/>
      <c r="O71" s="164"/>
      <c r="P71" s="164"/>
      <c r="Q71" s="164"/>
      <c r="R71" s="164"/>
      <c r="S71" s="164"/>
      <c r="T71" s="164"/>
      <c r="U71" s="164"/>
      <c r="V71" s="164"/>
      <c r="W71" s="164"/>
      <c r="X71" s="164"/>
      <c r="Y71" s="164"/>
      <c r="Z71" s="164"/>
      <c r="AA71" s="164"/>
      <c r="AB71" s="164"/>
    </row>
    <row r="72">
      <c r="A72" s="457"/>
      <c r="B72" s="18" t="s">
        <v>488</v>
      </c>
      <c r="C72" s="119" t="s">
        <v>851</v>
      </c>
      <c r="D72" s="486"/>
      <c r="E72" s="486"/>
      <c r="F72" s="486"/>
      <c r="G72" s="474" t="s">
        <v>1255</v>
      </c>
      <c r="H72" s="166" t="s">
        <v>1256</v>
      </c>
      <c r="I72" s="499"/>
      <c r="J72" s="492">
        <v>45293.0</v>
      </c>
      <c r="K72" s="499"/>
      <c r="L72" s="489" t="s">
        <v>1254</v>
      </c>
      <c r="M72" s="164"/>
      <c r="N72" s="164"/>
      <c r="O72" s="164"/>
      <c r="P72" s="164"/>
      <c r="Q72" s="164"/>
      <c r="R72" s="164"/>
      <c r="S72" s="164"/>
      <c r="T72" s="164"/>
      <c r="U72" s="164"/>
      <c r="V72" s="164"/>
      <c r="W72" s="164"/>
      <c r="X72" s="164"/>
      <c r="Y72" s="164"/>
      <c r="Z72" s="164"/>
      <c r="AA72" s="164"/>
      <c r="AB72" s="164"/>
    </row>
    <row r="73">
      <c r="A73" s="457"/>
      <c r="B73" s="41" t="s">
        <v>513</v>
      </c>
      <c r="C73" s="119" t="s">
        <v>851</v>
      </c>
      <c r="D73" s="591"/>
      <c r="E73" s="591"/>
      <c r="F73" s="591"/>
      <c r="G73" s="615" t="s">
        <v>1050</v>
      </c>
      <c r="H73" s="513" t="s">
        <v>1051</v>
      </c>
      <c r="I73" s="594"/>
      <c r="J73" s="633">
        <v>45664.0</v>
      </c>
      <c r="K73" s="594"/>
      <c r="L73" s="693" t="s">
        <v>1257</v>
      </c>
      <c r="M73" s="694" t="s">
        <v>1109</v>
      </c>
      <c r="N73" s="164"/>
      <c r="O73" s="164"/>
      <c r="P73" s="164"/>
      <c r="Q73" s="164"/>
      <c r="R73" s="164"/>
      <c r="S73" s="164"/>
      <c r="T73" s="164"/>
      <c r="U73" s="164"/>
      <c r="V73" s="164"/>
      <c r="W73" s="164"/>
      <c r="X73" s="164"/>
      <c r="Y73" s="164"/>
      <c r="Z73" s="164"/>
      <c r="AA73" s="164"/>
      <c r="AB73" s="164"/>
    </row>
    <row r="74">
      <c r="A74" s="457"/>
      <c r="B74" s="41" t="s">
        <v>1258</v>
      </c>
      <c r="C74" s="119" t="s">
        <v>861</v>
      </c>
      <c r="D74" s="41" t="s">
        <v>1095</v>
      </c>
      <c r="E74" s="591"/>
      <c r="F74" s="591"/>
      <c r="G74" s="615" t="s">
        <v>1259</v>
      </c>
      <c r="H74" s="624" t="s">
        <v>1260</v>
      </c>
      <c r="I74" s="594"/>
      <c r="J74" s="633">
        <v>45664.0</v>
      </c>
      <c r="K74" s="594"/>
      <c r="L74" s="693" t="s">
        <v>1261</v>
      </c>
      <c r="M74" s="660" t="s">
        <v>1109</v>
      </c>
      <c r="N74" s="164"/>
      <c r="O74" s="164"/>
      <c r="P74" s="164"/>
      <c r="Q74" s="164"/>
      <c r="R74" s="164"/>
      <c r="S74" s="164"/>
      <c r="T74" s="164"/>
      <c r="U74" s="164"/>
      <c r="V74" s="164"/>
      <c r="W74" s="164"/>
      <c r="X74" s="164"/>
      <c r="Y74" s="164"/>
      <c r="Z74" s="164"/>
      <c r="AA74" s="164"/>
      <c r="AB74" s="164"/>
    </row>
    <row r="75">
      <c r="A75" s="430"/>
      <c r="B75" s="41" t="s">
        <v>561</v>
      </c>
      <c r="C75" s="119" t="s">
        <v>851</v>
      </c>
      <c r="D75" s="41"/>
      <c r="E75" s="591"/>
      <c r="F75" s="591"/>
      <c r="G75" s="510" t="s">
        <v>1262</v>
      </c>
      <c r="H75" s="671" t="s">
        <v>1263</v>
      </c>
      <c r="I75" s="594"/>
      <c r="J75" s="633">
        <v>45673.0</v>
      </c>
      <c r="K75" s="594"/>
      <c r="L75" s="693" t="s">
        <v>1264</v>
      </c>
      <c r="M75" s="660" t="s">
        <v>1109</v>
      </c>
      <c r="N75" s="164"/>
      <c r="O75" s="164"/>
      <c r="P75" s="164"/>
      <c r="Q75" s="164"/>
      <c r="R75" s="164"/>
      <c r="S75" s="164"/>
      <c r="T75" s="164"/>
      <c r="U75" s="164"/>
      <c r="V75" s="164"/>
      <c r="W75" s="164"/>
      <c r="X75" s="164"/>
      <c r="Y75" s="164"/>
      <c r="Z75" s="164"/>
      <c r="AA75" s="164"/>
      <c r="AB75" s="164"/>
    </row>
    <row r="76">
      <c r="A76" s="661"/>
      <c r="B76" s="662"/>
      <c r="C76" s="538"/>
      <c r="D76" s="538"/>
      <c r="E76" s="538"/>
      <c r="F76" s="538"/>
      <c r="G76" s="662"/>
      <c r="H76" s="662"/>
      <c r="I76" s="662"/>
      <c r="J76" s="538"/>
      <c r="K76" s="662"/>
      <c r="L76" s="662"/>
      <c r="M76" s="164"/>
      <c r="N76" s="164"/>
      <c r="O76" s="164"/>
      <c r="P76" s="164"/>
      <c r="Q76" s="164"/>
      <c r="R76" s="164"/>
      <c r="S76" s="164"/>
      <c r="T76" s="164"/>
      <c r="U76" s="164"/>
      <c r="V76" s="164"/>
      <c r="W76" s="164"/>
      <c r="X76" s="164"/>
      <c r="Y76" s="164"/>
      <c r="Z76" s="164"/>
      <c r="AA76" s="164"/>
      <c r="AB76" s="164"/>
    </row>
    <row r="77">
      <c r="A77" s="664"/>
      <c r="B77" s="665"/>
      <c r="C77" s="527"/>
      <c r="D77" s="527"/>
      <c r="E77" s="527"/>
      <c r="F77" s="527"/>
      <c r="G77" s="665"/>
      <c r="H77" s="665"/>
      <c r="I77" s="665"/>
      <c r="J77" s="527"/>
      <c r="K77" s="665"/>
      <c r="L77" s="665"/>
      <c r="M77" s="164"/>
      <c r="N77" s="164"/>
      <c r="O77" s="164"/>
      <c r="P77" s="164"/>
      <c r="Q77" s="164"/>
      <c r="R77" s="164"/>
      <c r="S77" s="164"/>
      <c r="T77" s="164"/>
      <c r="U77" s="164"/>
      <c r="V77" s="164"/>
      <c r="W77" s="164"/>
      <c r="X77" s="164"/>
      <c r="Y77" s="164"/>
      <c r="Z77" s="164"/>
      <c r="AA77" s="164"/>
      <c r="AB77" s="164"/>
    </row>
    <row r="78">
      <c r="A78" s="169" t="s">
        <v>1265</v>
      </c>
      <c r="B78" s="695" t="s">
        <v>390</v>
      </c>
      <c r="C78" s="119" t="s">
        <v>851</v>
      </c>
      <c r="D78" s="486"/>
      <c r="E78" s="486"/>
      <c r="F78" s="486"/>
      <c r="G78" s="439" t="s">
        <v>1266</v>
      </c>
      <c r="H78" s="498" t="s">
        <v>1267</v>
      </c>
      <c r="I78" s="499"/>
      <c r="J78" s="492">
        <v>45351.0</v>
      </c>
      <c r="K78" s="499"/>
      <c r="L78" s="623" t="s">
        <v>1268</v>
      </c>
      <c r="M78" s="164"/>
      <c r="N78" s="164"/>
      <c r="O78" s="164"/>
      <c r="P78" s="164"/>
      <c r="Q78" s="164"/>
      <c r="R78" s="164"/>
      <c r="S78" s="164"/>
      <c r="T78" s="164"/>
      <c r="U78" s="164"/>
      <c r="V78" s="164"/>
      <c r="W78" s="164"/>
      <c r="X78" s="164"/>
      <c r="Y78" s="164"/>
      <c r="Z78" s="164"/>
      <c r="AA78" s="164"/>
      <c r="AB78" s="164"/>
    </row>
    <row r="79">
      <c r="A79" s="457"/>
      <c r="B79" s="109" t="s">
        <v>415</v>
      </c>
      <c r="C79" s="119" t="s">
        <v>851</v>
      </c>
      <c r="D79" s="486"/>
      <c r="E79" s="486"/>
      <c r="F79" s="486"/>
      <c r="G79" s="467" t="s">
        <v>1269</v>
      </c>
      <c r="H79" s="668" t="s">
        <v>1270</v>
      </c>
      <c r="I79" s="499"/>
      <c r="J79" s="492">
        <v>45351.0</v>
      </c>
      <c r="K79" s="508" t="s">
        <v>1271</v>
      </c>
      <c r="L79" s="602" t="s">
        <v>1272</v>
      </c>
      <c r="M79" s="164"/>
      <c r="N79" s="164"/>
      <c r="O79" s="164"/>
      <c r="P79" s="164"/>
      <c r="Q79" s="164"/>
      <c r="R79" s="164"/>
      <c r="S79" s="164"/>
      <c r="T79" s="164"/>
      <c r="U79" s="164"/>
      <c r="V79" s="164"/>
      <c r="W79" s="164"/>
      <c r="X79" s="164"/>
      <c r="Y79" s="164"/>
      <c r="Z79" s="164"/>
      <c r="AA79" s="164"/>
      <c r="AB79" s="164"/>
    </row>
    <row r="80">
      <c r="A80" s="457"/>
      <c r="B80" s="119" t="s">
        <v>440</v>
      </c>
      <c r="C80" s="119" t="s">
        <v>851</v>
      </c>
      <c r="D80" s="486"/>
      <c r="E80" s="486"/>
      <c r="F80" s="486"/>
      <c r="G80" s="696" t="s">
        <v>1273</v>
      </c>
      <c r="H80" s="697" t="s">
        <v>1274</v>
      </c>
      <c r="I80" s="499"/>
      <c r="J80" s="492">
        <v>45351.0</v>
      </c>
      <c r="K80" s="499"/>
      <c r="L80" s="499"/>
      <c r="M80" s="164"/>
      <c r="N80" s="164"/>
      <c r="O80" s="164"/>
      <c r="P80" s="164"/>
      <c r="Q80" s="164"/>
      <c r="R80" s="164"/>
      <c r="S80" s="164"/>
      <c r="T80" s="164"/>
      <c r="U80" s="164"/>
      <c r="V80" s="164"/>
      <c r="W80" s="164"/>
      <c r="X80" s="164"/>
      <c r="Y80" s="164"/>
      <c r="Z80" s="164"/>
      <c r="AA80" s="164"/>
      <c r="AB80" s="164"/>
    </row>
    <row r="81">
      <c r="A81" s="457"/>
      <c r="B81" s="41" t="s">
        <v>465</v>
      </c>
      <c r="C81" s="119" t="s">
        <v>851</v>
      </c>
      <c r="D81" s="486"/>
      <c r="E81" s="486"/>
      <c r="F81" s="486"/>
      <c r="G81" s="439" t="s">
        <v>1275</v>
      </c>
      <c r="H81" s="236" t="s">
        <v>1276</v>
      </c>
      <c r="I81" s="499"/>
      <c r="J81" s="492">
        <v>45363.0</v>
      </c>
      <c r="K81" s="499"/>
      <c r="L81" s="623" t="s">
        <v>1140</v>
      </c>
      <c r="M81" s="164"/>
      <c r="N81" s="164"/>
      <c r="O81" s="164"/>
      <c r="P81" s="164"/>
      <c r="Q81" s="164"/>
      <c r="R81" s="164"/>
      <c r="S81" s="164"/>
      <c r="T81" s="164"/>
      <c r="U81" s="164"/>
      <c r="V81" s="164"/>
      <c r="W81" s="164"/>
      <c r="X81" s="164"/>
      <c r="Y81" s="164"/>
      <c r="Z81" s="164"/>
      <c r="AA81" s="164"/>
      <c r="AB81" s="164"/>
    </row>
    <row r="82">
      <c r="A82" s="457"/>
      <c r="B82" s="41" t="s">
        <v>1277</v>
      </c>
      <c r="C82" s="119" t="s">
        <v>851</v>
      </c>
      <c r="D82" s="486"/>
      <c r="E82" s="486"/>
      <c r="F82" s="486"/>
      <c r="G82" s="414" t="s">
        <v>1278</v>
      </c>
      <c r="H82" s="668" t="s">
        <v>1279</v>
      </c>
      <c r="I82" s="499"/>
      <c r="J82" s="492">
        <v>45384.0</v>
      </c>
      <c r="K82" s="499"/>
      <c r="L82" s="623" t="s">
        <v>1140</v>
      </c>
      <c r="M82" s="164"/>
      <c r="N82" s="164"/>
      <c r="O82" s="164"/>
      <c r="P82" s="164"/>
      <c r="Q82" s="164"/>
      <c r="R82" s="164"/>
      <c r="S82" s="164"/>
      <c r="T82" s="164"/>
      <c r="U82" s="164"/>
      <c r="V82" s="164"/>
      <c r="W82" s="164"/>
      <c r="X82" s="164"/>
      <c r="Y82" s="164"/>
      <c r="Z82" s="164"/>
      <c r="AA82" s="164"/>
      <c r="AB82" s="164"/>
    </row>
    <row r="83">
      <c r="A83" s="457"/>
      <c r="B83" s="25" t="s">
        <v>515</v>
      </c>
      <c r="C83" s="236" t="s">
        <v>851</v>
      </c>
      <c r="D83" s="486"/>
      <c r="E83" s="486"/>
      <c r="F83" s="486"/>
      <c r="G83" s="41" t="s">
        <v>1280</v>
      </c>
      <c r="H83" s="41" t="s">
        <v>1281</v>
      </c>
      <c r="I83" s="508" t="s">
        <v>1282</v>
      </c>
      <c r="J83" s="629">
        <v>45415.0</v>
      </c>
      <c r="K83" s="508" t="s">
        <v>1283</v>
      </c>
      <c r="L83" s="602" t="s">
        <v>1284</v>
      </c>
      <c r="M83" s="489" t="s">
        <v>1285</v>
      </c>
      <c r="N83" s="164"/>
      <c r="O83" s="164"/>
      <c r="P83" s="164"/>
      <c r="Q83" s="164"/>
      <c r="R83" s="164"/>
      <c r="S83" s="164"/>
      <c r="T83" s="164"/>
      <c r="U83" s="164"/>
      <c r="V83" s="164"/>
      <c r="W83" s="164"/>
      <c r="X83" s="164"/>
      <c r="Y83" s="164"/>
      <c r="Z83" s="164"/>
      <c r="AA83" s="164"/>
      <c r="AB83" s="164"/>
    </row>
    <row r="84">
      <c r="A84" s="457"/>
      <c r="B84" s="25" t="s">
        <v>539</v>
      </c>
      <c r="C84" s="119" t="s">
        <v>861</v>
      </c>
      <c r="D84" s="486"/>
      <c r="E84" s="486"/>
      <c r="F84" s="119"/>
      <c r="G84" s="615" t="s">
        <v>1286</v>
      </c>
      <c r="H84" s="624" t="s">
        <v>1287</v>
      </c>
      <c r="I84" s="508"/>
      <c r="J84" s="629">
        <v>45559.0</v>
      </c>
      <c r="K84" s="508"/>
      <c r="L84" s="623" t="s">
        <v>1288</v>
      </c>
      <c r="M84" s="508"/>
      <c r="N84" s="164"/>
      <c r="O84" s="164"/>
      <c r="P84" s="164"/>
      <c r="Q84" s="164"/>
      <c r="R84" s="164"/>
      <c r="S84" s="164"/>
      <c r="T84" s="164"/>
      <c r="U84" s="164"/>
      <c r="V84" s="164"/>
      <c r="W84" s="164"/>
      <c r="X84" s="164"/>
      <c r="Y84" s="164"/>
      <c r="Z84" s="164"/>
      <c r="AA84" s="164"/>
      <c r="AB84" s="164"/>
    </row>
    <row r="85">
      <c r="A85" s="430"/>
      <c r="B85" s="25" t="s">
        <v>563</v>
      </c>
      <c r="C85" s="236" t="s">
        <v>851</v>
      </c>
      <c r="D85" s="486"/>
      <c r="E85" s="486"/>
      <c r="F85" s="486"/>
      <c r="G85" s="369" t="s">
        <v>1289</v>
      </c>
      <c r="H85" s="599" t="s">
        <v>1290</v>
      </c>
      <c r="I85" s="508"/>
      <c r="J85" s="629">
        <v>45610.0</v>
      </c>
      <c r="K85" s="508"/>
      <c r="L85" s="602" t="s">
        <v>1291</v>
      </c>
      <c r="M85" s="698" t="s">
        <v>1292</v>
      </c>
      <c r="N85" s="164"/>
      <c r="O85" s="164"/>
      <c r="P85" s="164"/>
      <c r="Q85" s="164"/>
      <c r="R85" s="164"/>
      <c r="S85" s="164"/>
      <c r="T85" s="164"/>
      <c r="U85" s="164"/>
      <c r="V85" s="164"/>
      <c r="W85" s="164"/>
      <c r="X85" s="164"/>
      <c r="Y85" s="164"/>
      <c r="Z85" s="164"/>
      <c r="AA85" s="164"/>
      <c r="AB85" s="164"/>
    </row>
    <row r="86">
      <c r="A86" s="662"/>
      <c r="B86" s="662"/>
      <c r="C86" s="699"/>
      <c r="D86" s="699"/>
      <c r="E86" s="699"/>
      <c r="F86" s="699"/>
      <c r="G86" s="662"/>
      <c r="H86" s="662"/>
      <c r="I86" s="662"/>
      <c r="J86" s="538"/>
      <c r="K86" s="164"/>
      <c r="L86" s="661"/>
      <c r="M86" s="164"/>
      <c r="N86" s="164"/>
      <c r="O86" s="164"/>
      <c r="P86" s="164"/>
      <c r="Q86" s="164"/>
      <c r="R86" s="164"/>
      <c r="S86" s="164"/>
      <c r="T86" s="164"/>
      <c r="U86" s="164"/>
      <c r="V86" s="164"/>
      <c r="W86" s="164"/>
      <c r="X86" s="164"/>
      <c r="Y86" s="164"/>
      <c r="Z86" s="164"/>
      <c r="AA86" s="164"/>
      <c r="AB86" s="164"/>
    </row>
    <row r="87">
      <c r="A87" s="664"/>
      <c r="B87" s="683"/>
      <c r="C87" s="527"/>
      <c r="D87" s="527"/>
      <c r="E87" s="527"/>
      <c r="F87" s="527"/>
      <c r="G87" s="665"/>
      <c r="H87" s="665"/>
      <c r="I87" s="665"/>
      <c r="J87" s="527"/>
      <c r="K87" s="665"/>
      <c r="L87" s="665"/>
      <c r="M87" s="164"/>
      <c r="N87" s="164"/>
      <c r="O87" s="164"/>
      <c r="P87" s="164"/>
      <c r="Q87" s="164"/>
      <c r="R87" s="164"/>
      <c r="S87" s="164"/>
      <c r="T87" s="164"/>
      <c r="U87" s="164"/>
      <c r="V87" s="164"/>
      <c r="W87" s="164"/>
      <c r="X87" s="164"/>
      <c r="Y87" s="164"/>
      <c r="Z87" s="164"/>
      <c r="AA87" s="164"/>
      <c r="AB87" s="164"/>
    </row>
    <row r="88">
      <c r="A88" s="657" t="s">
        <v>1293</v>
      </c>
      <c r="B88" s="19" t="s">
        <v>643</v>
      </c>
      <c r="C88" s="119" t="s">
        <v>861</v>
      </c>
      <c r="D88" s="486"/>
      <c r="E88" s="486"/>
      <c r="F88" s="486"/>
      <c r="G88" s="442" t="s">
        <v>1294</v>
      </c>
      <c r="H88" s="260" t="s">
        <v>1295</v>
      </c>
      <c r="I88" s="499"/>
      <c r="J88" s="638">
        <v>45294.0</v>
      </c>
      <c r="K88" s="499"/>
      <c r="L88" s="489" t="s">
        <v>1254</v>
      </c>
      <c r="M88" s="164"/>
      <c r="N88" s="164"/>
      <c r="O88" s="164"/>
      <c r="P88" s="164"/>
      <c r="Q88" s="164"/>
      <c r="R88" s="164"/>
      <c r="S88" s="164"/>
      <c r="T88" s="164"/>
      <c r="U88" s="164"/>
      <c r="V88" s="164"/>
      <c r="W88" s="164"/>
      <c r="X88" s="164"/>
      <c r="Y88" s="164"/>
      <c r="Z88" s="164"/>
      <c r="AA88" s="164"/>
      <c r="AB88" s="164"/>
    </row>
    <row r="89">
      <c r="A89" s="457"/>
      <c r="B89" s="19" t="s">
        <v>652</v>
      </c>
      <c r="C89" s="109" t="s">
        <v>851</v>
      </c>
      <c r="D89" s="486"/>
      <c r="E89" s="486"/>
      <c r="F89" s="486"/>
      <c r="G89" s="439" t="s">
        <v>1296</v>
      </c>
      <c r="H89" s="498" t="s">
        <v>1297</v>
      </c>
      <c r="I89" s="499"/>
      <c r="J89" s="638">
        <v>45294.0</v>
      </c>
      <c r="K89" s="499"/>
      <c r="L89" s="489" t="s">
        <v>1254</v>
      </c>
      <c r="M89" s="164"/>
      <c r="N89" s="164"/>
      <c r="O89" s="164"/>
      <c r="P89" s="164"/>
      <c r="Q89" s="164"/>
      <c r="R89" s="164"/>
      <c r="S89" s="164"/>
      <c r="T89" s="164"/>
      <c r="U89" s="164"/>
      <c r="V89" s="164"/>
      <c r="W89" s="164"/>
      <c r="X89" s="164"/>
      <c r="Y89" s="164"/>
      <c r="Z89" s="164"/>
      <c r="AA89" s="164"/>
      <c r="AB89" s="164"/>
    </row>
    <row r="90">
      <c r="A90" s="457"/>
      <c r="B90" s="18" t="s">
        <v>659</v>
      </c>
      <c r="C90" s="119" t="s">
        <v>851</v>
      </c>
      <c r="D90" s="540"/>
      <c r="E90" s="540"/>
      <c r="F90" s="540"/>
      <c r="G90" s="442" t="s">
        <v>1298</v>
      </c>
      <c r="H90" s="658" t="s">
        <v>1299</v>
      </c>
      <c r="I90" s="499"/>
      <c r="J90" s="638">
        <v>45294.0</v>
      </c>
      <c r="K90" s="499"/>
      <c r="L90" s="489" t="s">
        <v>1254</v>
      </c>
      <c r="M90" s="164"/>
      <c r="N90" s="164"/>
      <c r="O90" s="164"/>
      <c r="P90" s="164"/>
      <c r="Q90" s="164"/>
      <c r="R90" s="164"/>
      <c r="S90" s="164"/>
      <c r="T90" s="164"/>
      <c r="U90" s="164"/>
      <c r="V90" s="164"/>
      <c r="W90" s="164"/>
      <c r="X90" s="164"/>
      <c r="Y90" s="164"/>
      <c r="Z90" s="164"/>
      <c r="AA90" s="164"/>
      <c r="AB90" s="164"/>
    </row>
    <row r="91">
      <c r="A91" s="457"/>
      <c r="B91" s="18" t="s">
        <v>667</v>
      </c>
      <c r="C91" s="119" t="s">
        <v>851</v>
      </c>
      <c r="D91" s="119" t="s">
        <v>1300</v>
      </c>
      <c r="E91" s="486"/>
      <c r="F91" s="486"/>
      <c r="G91" s="474" t="s">
        <v>1301</v>
      </c>
      <c r="H91" s="34" t="s">
        <v>1302</v>
      </c>
      <c r="I91" s="499"/>
      <c r="J91" s="638">
        <v>45336.0</v>
      </c>
      <c r="K91" s="499"/>
      <c r="L91" s="602" t="s">
        <v>1303</v>
      </c>
      <c r="M91" s="164"/>
      <c r="N91" s="164"/>
      <c r="O91" s="164"/>
      <c r="P91" s="164"/>
      <c r="Q91" s="164"/>
      <c r="R91" s="164"/>
      <c r="S91" s="164"/>
      <c r="T91" s="164"/>
      <c r="U91" s="164"/>
      <c r="V91" s="164"/>
      <c r="W91" s="164"/>
      <c r="X91" s="164"/>
      <c r="Y91" s="164"/>
      <c r="Z91" s="164"/>
      <c r="AA91" s="164"/>
      <c r="AB91" s="164"/>
    </row>
    <row r="92" ht="17.25" customHeight="1">
      <c r="A92" s="457"/>
      <c r="B92" s="18" t="s">
        <v>539</v>
      </c>
      <c r="C92" s="119" t="s">
        <v>851</v>
      </c>
      <c r="D92" s="486"/>
      <c r="E92" s="486"/>
      <c r="F92" s="486"/>
      <c r="G92" s="414" t="s">
        <v>1304</v>
      </c>
      <c r="H92" s="692" t="s">
        <v>1305</v>
      </c>
      <c r="I92" s="499"/>
      <c r="J92" s="638">
        <v>45359.0</v>
      </c>
      <c r="K92" s="499"/>
      <c r="L92" s="602" t="s">
        <v>1224</v>
      </c>
      <c r="M92" s="164"/>
      <c r="N92" s="164"/>
      <c r="O92" s="164"/>
      <c r="P92" s="164"/>
      <c r="Q92" s="164"/>
      <c r="R92" s="164"/>
      <c r="S92" s="164"/>
      <c r="T92" s="164"/>
      <c r="U92" s="164"/>
      <c r="V92" s="164"/>
      <c r="W92" s="164"/>
      <c r="X92" s="164"/>
      <c r="Y92" s="164"/>
      <c r="Z92" s="164"/>
      <c r="AA92" s="164"/>
      <c r="AB92" s="164"/>
    </row>
    <row r="93">
      <c r="A93" s="457"/>
      <c r="B93" s="18" t="s">
        <v>685</v>
      </c>
      <c r="C93" s="119" t="s">
        <v>851</v>
      </c>
      <c r="D93" s="486"/>
      <c r="E93" s="486"/>
      <c r="F93" s="486"/>
      <c r="G93" s="414" t="s">
        <v>1306</v>
      </c>
      <c r="H93" s="700" t="s">
        <v>1307</v>
      </c>
      <c r="I93" s="499"/>
      <c r="J93" s="638">
        <v>45364.0</v>
      </c>
      <c r="K93" s="499"/>
      <c r="L93" s="602" t="s">
        <v>1308</v>
      </c>
      <c r="M93" s="164"/>
      <c r="N93" s="164"/>
      <c r="O93" s="164"/>
      <c r="P93" s="164"/>
      <c r="Q93" s="164"/>
      <c r="R93" s="164"/>
      <c r="S93" s="164"/>
      <c r="T93" s="164"/>
      <c r="U93" s="164"/>
      <c r="V93" s="164"/>
      <c r="W93" s="164"/>
      <c r="X93" s="164"/>
      <c r="Y93" s="164"/>
      <c r="Z93" s="164"/>
      <c r="AA93" s="164"/>
      <c r="AB93" s="164"/>
    </row>
    <row r="94">
      <c r="A94" s="457"/>
      <c r="B94" s="18" t="s">
        <v>693</v>
      </c>
      <c r="C94" s="119" t="s">
        <v>851</v>
      </c>
      <c r="D94" s="486"/>
      <c r="E94" s="486"/>
      <c r="F94" s="486"/>
      <c r="G94" s="442" t="s">
        <v>1309</v>
      </c>
      <c r="H94" s="658" t="s">
        <v>1310</v>
      </c>
      <c r="I94" s="499"/>
      <c r="J94" s="638">
        <v>45294.0</v>
      </c>
      <c r="K94" s="499"/>
      <c r="L94" s="499"/>
      <c r="M94" s="164"/>
      <c r="N94" s="164"/>
      <c r="O94" s="164"/>
      <c r="P94" s="164"/>
      <c r="Q94" s="164"/>
      <c r="R94" s="164"/>
      <c r="S94" s="164"/>
      <c r="T94" s="164"/>
      <c r="U94" s="164"/>
      <c r="V94" s="164"/>
      <c r="W94" s="164"/>
      <c r="X94" s="164"/>
      <c r="Y94" s="164"/>
      <c r="Z94" s="164"/>
      <c r="AA94" s="164"/>
      <c r="AB94" s="164"/>
    </row>
    <row r="95">
      <c r="A95" s="430"/>
      <c r="B95" s="18"/>
      <c r="C95" s="119"/>
      <c r="D95" s="486"/>
      <c r="E95" s="486"/>
      <c r="F95" s="486"/>
      <c r="G95" s="442"/>
      <c r="H95" s="658"/>
      <c r="I95" s="499"/>
      <c r="J95" s="638"/>
      <c r="K95" s="499"/>
      <c r="L95" s="499"/>
      <c r="M95" s="164"/>
      <c r="N95" s="164"/>
      <c r="O95" s="164"/>
      <c r="P95" s="164"/>
      <c r="Q95" s="164"/>
      <c r="R95" s="164"/>
      <c r="S95" s="164"/>
      <c r="T95" s="164"/>
      <c r="U95" s="164"/>
      <c r="V95" s="164"/>
      <c r="W95" s="164"/>
      <c r="X95" s="164"/>
      <c r="Y95" s="164"/>
      <c r="Z95" s="164"/>
      <c r="AA95" s="164"/>
      <c r="AB95" s="164"/>
    </row>
    <row r="96">
      <c r="A96" s="661"/>
      <c r="B96" s="662"/>
      <c r="C96" s="538"/>
      <c r="D96" s="538"/>
      <c r="E96" s="538"/>
      <c r="F96" s="538"/>
      <c r="G96" s="662"/>
      <c r="H96" s="662"/>
      <c r="I96" s="661"/>
      <c r="J96" s="663"/>
      <c r="K96" s="661"/>
      <c r="L96" s="662"/>
      <c r="M96" s="164"/>
      <c r="N96" s="164"/>
      <c r="O96" s="164"/>
      <c r="P96" s="164"/>
      <c r="Q96" s="164"/>
      <c r="R96" s="164"/>
      <c r="S96" s="164"/>
      <c r="T96" s="164"/>
      <c r="U96" s="164"/>
      <c r="V96" s="164"/>
      <c r="W96" s="164"/>
      <c r="X96" s="164"/>
      <c r="Y96" s="164"/>
      <c r="Z96" s="164"/>
      <c r="AA96" s="164"/>
      <c r="AB96" s="164"/>
    </row>
    <row r="97">
      <c r="A97" s="664"/>
      <c r="B97" s="683"/>
      <c r="C97" s="527"/>
      <c r="D97" s="527"/>
      <c r="E97" s="527"/>
      <c r="F97" s="527"/>
      <c r="G97" s="665"/>
      <c r="H97" s="665"/>
      <c r="I97" s="664"/>
      <c r="J97" s="666"/>
      <c r="K97" s="664"/>
      <c r="L97" s="665"/>
      <c r="M97" s="164"/>
      <c r="N97" s="164"/>
      <c r="O97" s="164"/>
      <c r="P97" s="164"/>
      <c r="Q97" s="164"/>
      <c r="R97" s="164"/>
      <c r="S97" s="164"/>
      <c r="T97" s="164"/>
      <c r="U97" s="164"/>
      <c r="V97" s="164"/>
      <c r="W97" s="164"/>
      <c r="X97" s="164"/>
      <c r="Y97" s="164"/>
      <c r="Z97" s="164"/>
      <c r="AA97" s="164"/>
      <c r="AB97" s="164"/>
    </row>
    <row r="98">
      <c r="A98" s="657" t="s">
        <v>1311</v>
      </c>
      <c r="B98" s="18" t="s">
        <v>644</v>
      </c>
      <c r="C98" s="119" t="s">
        <v>851</v>
      </c>
      <c r="D98" s="486"/>
      <c r="E98" s="486"/>
      <c r="F98" s="486"/>
      <c r="G98" s="439" t="s">
        <v>1312</v>
      </c>
      <c r="H98" s="498" t="s">
        <v>1313</v>
      </c>
      <c r="I98" s="499"/>
      <c r="J98" s="638">
        <v>45294.0</v>
      </c>
      <c r="K98" s="499"/>
      <c r="L98" s="499"/>
      <c r="M98" s="164"/>
      <c r="N98" s="164"/>
      <c r="O98" s="164"/>
      <c r="P98" s="164"/>
      <c r="Q98" s="164"/>
      <c r="R98" s="164"/>
      <c r="S98" s="164"/>
      <c r="T98" s="164"/>
      <c r="U98" s="164"/>
      <c r="V98" s="164"/>
      <c r="W98" s="164"/>
      <c r="X98" s="164"/>
      <c r="Y98" s="164"/>
      <c r="Z98" s="164"/>
      <c r="AA98" s="164"/>
      <c r="AB98" s="164"/>
    </row>
    <row r="99">
      <c r="A99" s="457"/>
      <c r="B99" s="18" t="s">
        <v>653</v>
      </c>
      <c r="C99" s="119" t="s">
        <v>861</v>
      </c>
      <c r="D99" s="486"/>
      <c r="E99" s="486"/>
      <c r="F99" s="486"/>
      <c r="G99" s="442" t="s">
        <v>1314</v>
      </c>
      <c r="H99" s="658" t="s">
        <v>1315</v>
      </c>
      <c r="I99" s="499"/>
      <c r="J99" s="638">
        <v>45294.0</v>
      </c>
      <c r="K99" s="499"/>
      <c r="L99" s="698" t="s">
        <v>1316</v>
      </c>
      <c r="M99" s="164"/>
      <c r="N99" s="164"/>
      <c r="O99" s="164"/>
      <c r="P99" s="164"/>
      <c r="Q99" s="164"/>
      <c r="R99" s="164"/>
      <c r="S99" s="164"/>
      <c r="T99" s="164"/>
      <c r="U99" s="164"/>
      <c r="V99" s="164"/>
      <c r="W99" s="164"/>
      <c r="X99" s="164"/>
      <c r="Y99" s="164"/>
      <c r="Z99" s="164"/>
      <c r="AA99" s="164"/>
      <c r="AB99" s="164"/>
    </row>
    <row r="100">
      <c r="A100" s="457"/>
      <c r="B100" s="18" t="s">
        <v>660</v>
      </c>
      <c r="C100" s="119" t="s">
        <v>851</v>
      </c>
      <c r="D100" s="486"/>
      <c r="E100" s="486"/>
      <c r="F100" s="486"/>
      <c r="G100" s="408" t="s">
        <v>1317</v>
      </c>
      <c r="H100" s="701" t="s">
        <v>1318</v>
      </c>
      <c r="I100" s="499"/>
      <c r="J100" s="119" t="s">
        <v>1319</v>
      </c>
      <c r="K100" s="119" t="s">
        <v>1320</v>
      </c>
      <c r="L100" s="623" t="s">
        <v>1321</v>
      </c>
      <c r="M100" s="489" t="s">
        <v>1322</v>
      </c>
      <c r="N100" s="164"/>
      <c r="O100" s="164"/>
      <c r="P100" s="164"/>
      <c r="Q100" s="164"/>
      <c r="R100" s="164"/>
      <c r="S100" s="164"/>
      <c r="T100" s="164"/>
      <c r="U100" s="164"/>
      <c r="V100" s="164"/>
      <c r="W100" s="164"/>
      <c r="X100" s="164"/>
      <c r="Y100" s="164"/>
      <c r="Z100" s="164"/>
      <c r="AA100" s="164"/>
      <c r="AB100" s="164"/>
    </row>
    <row r="101">
      <c r="A101" s="457"/>
      <c r="B101" s="18" t="s">
        <v>668</v>
      </c>
      <c r="C101" s="119" t="s">
        <v>851</v>
      </c>
      <c r="D101" s="486"/>
      <c r="E101" s="486"/>
      <c r="F101" s="486"/>
      <c r="G101" s="702" t="s">
        <v>1323</v>
      </c>
      <c r="H101" s="703" t="s">
        <v>1324</v>
      </c>
      <c r="I101" s="499"/>
      <c r="J101" s="638">
        <v>45332.0</v>
      </c>
      <c r="K101" s="119"/>
      <c r="L101" s="623" t="s">
        <v>1325</v>
      </c>
      <c r="M101" s="491"/>
      <c r="N101" s="164"/>
      <c r="O101" s="164"/>
      <c r="P101" s="164"/>
      <c r="Q101" s="164"/>
      <c r="R101" s="164"/>
      <c r="S101" s="164"/>
      <c r="T101" s="164"/>
      <c r="U101" s="164"/>
      <c r="V101" s="164"/>
      <c r="W101" s="164"/>
      <c r="X101" s="164"/>
      <c r="Y101" s="164"/>
      <c r="Z101" s="164"/>
      <c r="AA101" s="164"/>
      <c r="AB101" s="164"/>
    </row>
    <row r="102">
      <c r="A102" s="457"/>
      <c r="B102" s="18" t="s">
        <v>677</v>
      </c>
      <c r="C102" s="119" t="s">
        <v>851</v>
      </c>
      <c r="D102" s="591"/>
      <c r="E102" s="591"/>
      <c r="F102" s="591"/>
      <c r="G102" s="615" t="s">
        <v>1326</v>
      </c>
      <c r="H102" s="624" t="s">
        <v>1327</v>
      </c>
      <c r="I102" s="594"/>
      <c r="J102" s="629">
        <v>45590.0</v>
      </c>
      <c r="K102" s="41"/>
      <c r="L102" s="623" t="s">
        <v>1328</v>
      </c>
      <c r="M102" s="704"/>
      <c r="N102" s="164"/>
      <c r="O102" s="164"/>
      <c r="P102" s="164"/>
      <c r="Q102" s="164"/>
      <c r="R102" s="164"/>
      <c r="S102" s="164"/>
      <c r="T102" s="164"/>
      <c r="U102" s="164"/>
      <c r="V102" s="164"/>
      <c r="W102" s="164"/>
      <c r="X102" s="164"/>
      <c r="Y102" s="164"/>
      <c r="Z102" s="164"/>
      <c r="AA102" s="164"/>
      <c r="AB102" s="164"/>
    </row>
    <row r="103">
      <c r="A103" s="457"/>
      <c r="B103" s="18" t="s">
        <v>686</v>
      </c>
      <c r="C103" s="119" t="s">
        <v>861</v>
      </c>
      <c r="D103" s="591"/>
      <c r="E103" s="591"/>
      <c r="F103" s="591"/>
      <c r="G103" s="557" t="s">
        <v>1329</v>
      </c>
      <c r="H103" s="599" t="s">
        <v>1330</v>
      </c>
      <c r="I103" s="594"/>
      <c r="J103" s="629">
        <v>45665.0</v>
      </c>
      <c r="K103" s="41"/>
      <c r="L103" s="629"/>
      <c r="M103" s="660" t="s">
        <v>1109</v>
      </c>
      <c r="N103" s="164"/>
      <c r="O103" s="164"/>
      <c r="P103" s="164"/>
      <c r="Q103" s="164"/>
      <c r="R103" s="164"/>
      <c r="S103" s="164"/>
      <c r="T103" s="164"/>
      <c r="U103" s="164"/>
      <c r="V103" s="164"/>
      <c r="W103" s="164"/>
      <c r="X103" s="164"/>
      <c r="Y103" s="164"/>
      <c r="Z103" s="164"/>
      <c r="AA103" s="164"/>
      <c r="AB103" s="164"/>
    </row>
    <row r="104">
      <c r="A104" s="457"/>
      <c r="B104" s="18" t="s">
        <v>694</v>
      </c>
      <c r="C104" s="119" t="s">
        <v>851</v>
      </c>
      <c r="D104" s="591"/>
      <c r="E104" s="591"/>
      <c r="F104" s="591"/>
      <c r="G104" s="557" t="s">
        <v>963</v>
      </c>
      <c r="H104" s="599" t="s">
        <v>964</v>
      </c>
      <c r="I104" s="594"/>
      <c r="J104" s="629">
        <v>45665.0</v>
      </c>
      <c r="K104" s="41"/>
      <c r="L104" s="629"/>
      <c r="M104" s="660" t="s">
        <v>1109</v>
      </c>
      <c r="N104" s="164"/>
      <c r="O104" s="164"/>
      <c r="P104" s="164"/>
      <c r="Q104" s="164"/>
      <c r="R104" s="164"/>
      <c r="S104" s="164"/>
      <c r="T104" s="164"/>
      <c r="U104" s="164"/>
      <c r="V104" s="164"/>
      <c r="W104" s="164"/>
      <c r="X104" s="164"/>
      <c r="Y104" s="164"/>
      <c r="Z104" s="164"/>
      <c r="AA104" s="164"/>
      <c r="AB104" s="164"/>
    </row>
    <row r="105">
      <c r="A105" s="430"/>
      <c r="B105" s="18" t="s">
        <v>701</v>
      </c>
      <c r="C105" s="119" t="s">
        <v>851</v>
      </c>
      <c r="D105" s="591"/>
      <c r="E105" s="591"/>
      <c r="F105" s="591"/>
      <c r="G105" s="557" t="s">
        <v>1331</v>
      </c>
      <c r="H105" s="599" t="s">
        <v>1332</v>
      </c>
      <c r="I105" s="594"/>
      <c r="J105" s="629">
        <v>45674.0</v>
      </c>
      <c r="K105" s="41"/>
      <c r="L105" s="705" t="s">
        <v>1333</v>
      </c>
      <c r="M105" s="660" t="s">
        <v>1109</v>
      </c>
      <c r="N105" s="164"/>
      <c r="O105" s="164"/>
      <c r="P105" s="164"/>
      <c r="Q105" s="164"/>
      <c r="R105" s="164"/>
      <c r="S105" s="164"/>
      <c r="T105" s="164"/>
      <c r="U105" s="164"/>
      <c r="V105" s="164"/>
      <c r="W105" s="164"/>
      <c r="X105" s="164"/>
      <c r="Y105" s="164"/>
      <c r="Z105" s="164"/>
      <c r="AA105" s="164"/>
      <c r="AB105" s="164"/>
    </row>
    <row r="106">
      <c r="A106" s="664"/>
      <c r="B106" s="164"/>
      <c r="C106" s="527"/>
      <c r="D106" s="527"/>
      <c r="E106" s="527"/>
      <c r="F106" s="527"/>
      <c r="G106" s="665"/>
      <c r="H106" s="665"/>
      <c r="I106" s="664"/>
      <c r="J106" s="666"/>
      <c r="K106" s="664"/>
      <c r="L106" s="683"/>
      <c r="M106" s="164"/>
      <c r="N106" s="164"/>
      <c r="O106" s="164"/>
      <c r="P106" s="164"/>
      <c r="Q106" s="164"/>
      <c r="R106" s="164"/>
      <c r="S106" s="164"/>
      <c r="T106" s="164"/>
      <c r="U106" s="164"/>
      <c r="V106" s="164"/>
      <c r="W106" s="164"/>
      <c r="X106" s="164"/>
      <c r="Y106" s="164"/>
      <c r="Z106" s="164"/>
      <c r="AA106" s="164"/>
      <c r="AB106" s="164"/>
    </row>
    <row r="107">
      <c r="A107" s="169" t="s">
        <v>1334</v>
      </c>
      <c r="B107" s="18" t="s">
        <v>645</v>
      </c>
      <c r="C107" s="119" t="s">
        <v>861</v>
      </c>
      <c r="D107" s="486"/>
      <c r="E107" s="486"/>
      <c r="F107" s="486"/>
      <c r="G107" s="439" t="s">
        <v>1335</v>
      </c>
      <c r="H107" s="498" t="s">
        <v>1336</v>
      </c>
      <c r="I107" s="499"/>
      <c r="J107" s="638">
        <v>45294.0</v>
      </c>
      <c r="K107" s="499"/>
      <c r="L107" s="499"/>
      <c r="M107" s="164"/>
      <c r="N107" s="164"/>
      <c r="O107" s="164"/>
      <c r="P107" s="164"/>
      <c r="Q107" s="164"/>
      <c r="R107" s="164"/>
      <c r="S107" s="164"/>
      <c r="T107" s="164"/>
      <c r="U107" s="164"/>
      <c r="V107" s="164"/>
      <c r="W107" s="164"/>
      <c r="X107" s="164"/>
      <c r="Y107" s="164"/>
      <c r="Z107" s="164"/>
      <c r="AA107" s="164"/>
      <c r="AB107" s="164"/>
    </row>
    <row r="108">
      <c r="A108" s="457"/>
      <c r="B108" s="18" t="s">
        <v>539</v>
      </c>
      <c r="C108" s="119" t="s">
        <v>851</v>
      </c>
      <c r="D108" s="486"/>
      <c r="E108" s="486"/>
      <c r="F108" s="486"/>
      <c r="G108" s="439" t="s">
        <v>1337</v>
      </c>
      <c r="H108" s="498" t="s">
        <v>1338</v>
      </c>
      <c r="I108" s="499"/>
      <c r="J108" s="638">
        <v>45294.0</v>
      </c>
      <c r="K108" s="499"/>
      <c r="L108" s="499"/>
      <c r="M108" s="164"/>
      <c r="N108" s="164"/>
      <c r="O108" s="164"/>
      <c r="P108" s="164"/>
      <c r="Q108" s="164"/>
      <c r="R108" s="164"/>
      <c r="S108" s="164"/>
      <c r="T108" s="164"/>
      <c r="U108" s="164"/>
      <c r="V108" s="164"/>
      <c r="W108" s="164"/>
      <c r="X108" s="164"/>
      <c r="Y108" s="164"/>
      <c r="Z108" s="164"/>
      <c r="AA108" s="164"/>
      <c r="AB108" s="164"/>
    </row>
    <row r="109">
      <c r="A109" s="457"/>
      <c r="B109" s="18" t="s">
        <v>661</v>
      </c>
      <c r="C109" s="119" t="s">
        <v>851</v>
      </c>
      <c r="D109" s="486"/>
      <c r="E109" s="486"/>
      <c r="F109" s="486"/>
      <c r="G109" s="439" t="s">
        <v>1339</v>
      </c>
      <c r="H109" s="498" t="s">
        <v>1340</v>
      </c>
      <c r="I109" s="499"/>
      <c r="J109" s="638">
        <v>45294.0</v>
      </c>
      <c r="K109" s="499"/>
      <c r="L109" s="698" t="s">
        <v>1341</v>
      </c>
      <c r="M109" s="164"/>
      <c r="N109" s="164"/>
      <c r="O109" s="164"/>
      <c r="P109" s="164"/>
      <c r="Q109" s="164"/>
      <c r="R109" s="164"/>
      <c r="S109" s="164"/>
      <c r="T109" s="164"/>
      <c r="U109" s="164"/>
      <c r="V109" s="164"/>
      <c r="W109" s="164"/>
      <c r="X109" s="164"/>
      <c r="Y109" s="164"/>
      <c r="Z109" s="164"/>
      <c r="AA109" s="164"/>
      <c r="AB109" s="164"/>
    </row>
    <row r="110">
      <c r="A110" s="457"/>
      <c r="B110" s="18" t="s">
        <v>669</v>
      </c>
      <c r="C110" s="119" t="s">
        <v>851</v>
      </c>
      <c r="D110" s="486"/>
      <c r="E110" s="486"/>
      <c r="F110" s="486"/>
      <c r="G110" s="439" t="s">
        <v>1317</v>
      </c>
      <c r="H110" s="498" t="s">
        <v>1318</v>
      </c>
      <c r="I110" s="499"/>
      <c r="J110" s="638">
        <v>45294.0</v>
      </c>
      <c r="K110" s="499"/>
      <c r="L110" s="499"/>
      <c r="M110" s="164"/>
      <c r="N110" s="164"/>
      <c r="O110" s="164"/>
      <c r="P110" s="164"/>
      <c r="Q110" s="164"/>
      <c r="R110" s="164"/>
      <c r="S110" s="164"/>
      <c r="T110" s="164"/>
      <c r="U110" s="164"/>
      <c r="V110" s="164"/>
      <c r="W110" s="164"/>
      <c r="X110" s="164"/>
      <c r="Y110" s="164"/>
      <c r="Z110" s="164"/>
      <c r="AA110" s="164"/>
      <c r="AB110" s="164"/>
    </row>
    <row r="111">
      <c r="A111" s="457"/>
      <c r="B111" s="23" t="s">
        <v>678</v>
      </c>
      <c r="C111" s="119" t="s">
        <v>851</v>
      </c>
      <c r="D111" s="486"/>
      <c r="E111" s="486"/>
      <c r="F111" s="486"/>
      <c r="G111" s="474" t="s">
        <v>1342</v>
      </c>
      <c r="H111" s="166" t="s">
        <v>1343</v>
      </c>
      <c r="I111" s="656" t="s">
        <v>1344</v>
      </c>
      <c r="J111" s="609">
        <v>45392.0</v>
      </c>
      <c r="K111" s="499"/>
      <c r="L111" s="602" t="s">
        <v>1345</v>
      </c>
      <c r="M111" s="690" t="s">
        <v>1346</v>
      </c>
      <c r="N111" s="164"/>
      <c r="O111" s="164"/>
      <c r="P111" s="164"/>
      <c r="Q111" s="164"/>
      <c r="R111" s="164"/>
      <c r="S111" s="164"/>
      <c r="T111" s="164"/>
      <c r="U111" s="164"/>
      <c r="V111" s="164"/>
      <c r="W111" s="164"/>
      <c r="X111" s="164"/>
      <c r="Y111" s="164"/>
      <c r="Z111" s="164"/>
      <c r="AA111" s="164"/>
      <c r="AB111" s="164"/>
    </row>
    <row r="112">
      <c r="A112" s="457"/>
      <c r="B112" s="23" t="s">
        <v>687</v>
      </c>
      <c r="C112" s="119" t="s">
        <v>851</v>
      </c>
      <c r="D112" s="486"/>
      <c r="E112" s="486"/>
      <c r="F112" s="486"/>
      <c r="G112" s="706" t="s">
        <v>1347</v>
      </c>
      <c r="H112" s="697" t="s">
        <v>1348</v>
      </c>
      <c r="I112" s="656"/>
      <c r="J112" s="609">
        <v>45429.0</v>
      </c>
      <c r="K112" s="499"/>
      <c r="L112" s="602" t="s">
        <v>1349</v>
      </c>
      <c r="M112" s="489" t="s">
        <v>1350</v>
      </c>
      <c r="N112" s="164"/>
      <c r="O112" s="164"/>
      <c r="P112" s="164"/>
      <c r="Q112" s="164"/>
      <c r="R112" s="164"/>
      <c r="S112" s="164"/>
      <c r="T112" s="164"/>
      <c r="U112" s="164"/>
      <c r="V112" s="164"/>
      <c r="W112" s="164"/>
      <c r="X112" s="164"/>
      <c r="Y112" s="164"/>
      <c r="Z112" s="164"/>
      <c r="AA112" s="164"/>
      <c r="AB112" s="164"/>
    </row>
    <row r="113">
      <c r="A113" s="457"/>
      <c r="B113" s="23" t="s">
        <v>695</v>
      </c>
      <c r="C113" s="119" t="s">
        <v>851</v>
      </c>
      <c r="D113" s="486"/>
      <c r="E113" s="486"/>
      <c r="F113" s="486"/>
      <c r="G113" s="409" t="s">
        <v>1351</v>
      </c>
      <c r="H113" s="697" t="s">
        <v>1352</v>
      </c>
      <c r="I113" s="656"/>
      <c r="J113" s="609">
        <v>45560.0</v>
      </c>
      <c r="K113" s="499"/>
      <c r="L113" s="602" t="s">
        <v>1353</v>
      </c>
      <c r="M113" s="164"/>
      <c r="N113" s="164"/>
      <c r="O113" s="164"/>
      <c r="P113" s="164"/>
      <c r="Q113" s="164"/>
      <c r="R113" s="164"/>
      <c r="S113" s="164"/>
      <c r="T113" s="164"/>
      <c r="U113" s="164"/>
      <c r="V113" s="164"/>
      <c r="W113" s="164"/>
      <c r="X113" s="164"/>
      <c r="Y113" s="164"/>
      <c r="Z113" s="164"/>
      <c r="AA113" s="164"/>
      <c r="AB113" s="164"/>
    </row>
    <row r="114">
      <c r="A114" s="430"/>
      <c r="B114" s="18" t="s">
        <v>702</v>
      </c>
      <c r="C114" s="41" t="s">
        <v>861</v>
      </c>
      <c r="D114" s="591"/>
      <c r="E114" s="591"/>
      <c r="F114" s="591"/>
      <c r="G114" s="414" t="s">
        <v>1354</v>
      </c>
      <c r="H114" s="467" t="s">
        <v>1355</v>
      </c>
      <c r="I114" s="594"/>
      <c r="J114" s="633">
        <v>45407.0</v>
      </c>
      <c r="K114" s="594"/>
      <c r="L114" s="602" t="s">
        <v>1356</v>
      </c>
      <c r="M114" s="489" t="s">
        <v>1357</v>
      </c>
      <c r="N114" s="164"/>
      <c r="O114" s="164"/>
      <c r="P114" s="164"/>
      <c r="Q114" s="164"/>
      <c r="R114" s="164"/>
      <c r="S114" s="164"/>
      <c r="T114" s="164"/>
      <c r="U114" s="164"/>
      <c r="V114" s="164"/>
      <c r="W114" s="164"/>
      <c r="X114" s="164"/>
      <c r="Y114" s="164"/>
      <c r="Z114" s="164"/>
      <c r="AA114" s="164"/>
      <c r="AB114" s="164"/>
    </row>
    <row r="115">
      <c r="A115" s="664"/>
      <c r="B115" s="664"/>
      <c r="C115" s="527"/>
      <c r="D115" s="527"/>
      <c r="E115" s="527"/>
      <c r="F115" s="527"/>
      <c r="G115" s="664"/>
      <c r="H115" s="664"/>
      <c r="I115" s="664"/>
      <c r="J115" s="666"/>
      <c r="K115" s="664"/>
      <c r="L115" s="664"/>
      <c r="M115" s="164"/>
      <c r="N115" s="164"/>
      <c r="O115" s="164"/>
      <c r="P115" s="164"/>
      <c r="Q115" s="164"/>
      <c r="R115" s="164"/>
      <c r="S115" s="164"/>
      <c r="T115" s="164"/>
      <c r="U115" s="164"/>
      <c r="V115" s="164"/>
      <c r="W115" s="164"/>
      <c r="X115" s="164"/>
      <c r="Y115" s="164"/>
      <c r="Z115" s="164"/>
      <c r="AA115" s="164"/>
      <c r="AB115" s="164"/>
    </row>
    <row r="116">
      <c r="A116" s="169" t="s">
        <v>1358</v>
      </c>
      <c r="B116" s="19" t="s">
        <v>58</v>
      </c>
      <c r="C116" s="236" t="s">
        <v>851</v>
      </c>
      <c r="D116" s="119" t="s">
        <v>1095</v>
      </c>
      <c r="E116" s="486"/>
      <c r="F116" s="486"/>
      <c r="G116" s="439" t="s">
        <v>1359</v>
      </c>
      <c r="H116" s="34" t="s">
        <v>1360</v>
      </c>
      <c r="I116" s="594"/>
      <c r="J116" s="629">
        <v>45383.0</v>
      </c>
      <c r="K116" s="499"/>
      <c r="L116" s="602" t="s">
        <v>1175</v>
      </c>
      <c r="M116" s="164"/>
      <c r="N116" s="164"/>
      <c r="O116" s="164"/>
      <c r="P116" s="164"/>
      <c r="Q116" s="164"/>
      <c r="R116" s="164"/>
      <c r="S116" s="164"/>
      <c r="T116" s="164"/>
      <c r="U116" s="164"/>
      <c r="V116" s="164"/>
      <c r="W116" s="164"/>
      <c r="X116" s="164"/>
      <c r="Y116" s="164"/>
      <c r="Z116" s="164"/>
      <c r="AA116" s="164"/>
      <c r="AB116" s="164"/>
    </row>
    <row r="117">
      <c r="A117" s="457"/>
      <c r="B117" s="25" t="s">
        <v>76</v>
      </c>
      <c r="C117" s="236" t="s">
        <v>851</v>
      </c>
      <c r="D117" s="486"/>
      <c r="E117" s="486"/>
      <c r="F117" s="486"/>
      <c r="G117" s="34" t="s">
        <v>1361</v>
      </c>
      <c r="H117" s="34" t="s">
        <v>1362</v>
      </c>
      <c r="I117" s="594"/>
      <c r="J117" s="629">
        <v>45383.0</v>
      </c>
      <c r="K117" s="499"/>
      <c r="L117" s="602" t="s">
        <v>1175</v>
      </c>
      <c r="M117" s="164"/>
      <c r="N117" s="164"/>
      <c r="O117" s="164"/>
      <c r="P117" s="164"/>
      <c r="Q117" s="164"/>
      <c r="R117" s="164"/>
      <c r="S117" s="164"/>
      <c r="T117" s="164"/>
      <c r="U117" s="164"/>
      <c r="V117" s="164"/>
      <c r="W117" s="164"/>
      <c r="X117" s="164"/>
      <c r="Y117" s="164"/>
      <c r="Z117" s="164"/>
      <c r="AA117" s="164"/>
      <c r="AB117" s="164"/>
    </row>
    <row r="118">
      <c r="A118" s="457"/>
      <c r="B118" s="18" t="s">
        <v>94</v>
      </c>
      <c r="C118" s="681" t="s">
        <v>861</v>
      </c>
      <c r="D118" s="707"/>
      <c r="E118" s="707"/>
      <c r="F118" s="707"/>
      <c r="G118" s="467" t="s">
        <v>1363</v>
      </c>
      <c r="H118" s="692" t="s">
        <v>1364</v>
      </c>
      <c r="I118" s="508" t="s">
        <v>1365</v>
      </c>
      <c r="J118" s="492">
        <v>45384.0</v>
      </c>
      <c r="K118" s="499"/>
      <c r="L118" s="602" t="s">
        <v>1205</v>
      </c>
      <c r="M118" s="682" t="s">
        <v>1366</v>
      </c>
      <c r="N118" s="164"/>
      <c r="O118" s="164"/>
      <c r="P118" s="164"/>
      <c r="Q118" s="164"/>
      <c r="R118" s="164"/>
      <c r="S118" s="164"/>
      <c r="T118" s="164"/>
      <c r="U118" s="164"/>
      <c r="V118" s="164"/>
      <c r="W118" s="164"/>
      <c r="X118" s="164"/>
      <c r="Y118" s="164"/>
      <c r="Z118" s="164"/>
      <c r="AA118" s="164"/>
      <c r="AB118" s="164"/>
    </row>
    <row r="119">
      <c r="A119" s="457"/>
      <c r="B119" s="18" t="s">
        <v>1367</v>
      </c>
      <c r="C119" s="236" t="s">
        <v>851</v>
      </c>
      <c r="D119" s="681" t="s">
        <v>1368</v>
      </c>
      <c r="E119" s="707"/>
      <c r="F119" s="707"/>
      <c r="G119" s="414" t="s">
        <v>1369</v>
      </c>
      <c r="H119" s="678" t="s">
        <v>1370</v>
      </c>
      <c r="I119" s="508"/>
      <c r="J119" s="638">
        <v>45558.0</v>
      </c>
      <c r="K119" s="499"/>
      <c r="L119" s="602" t="s">
        <v>1371</v>
      </c>
      <c r="M119" s="499"/>
      <c r="N119" s="164"/>
      <c r="O119" s="164"/>
      <c r="P119" s="164"/>
      <c r="Q119" s="164"/>
      <c r="R119" s="164"/>
      <c r="S119" s="164"/>
      <c r="T119" s="164"/>
      <c r="U119" s="164"/>
      <c r="V119" s="164"/>
      <c r="W119" s="164"/>
      <c r="X119" s="164"/>
      <c r="Y119" s="164"/>
      <c r="Z119" s="164"/>
      <c r="AA119" s="164"/>
      <c r="AB119" s="164"/>
    </row>
    <row r="120">
      <c r="A120" s="457"/>
      <c r="B120" s="41" t="s">
        <v>130</v>
      </c>
      <c r="C120" s="236" t="s">
        <v>851</v>
      </c>
      <c r="D120" s="707"/>
      <c r="E120" s="166"/>
      <c r="F120" s="707"/>
      <c r="G120" s="474" t="s">
        <v>1372</v>
      </c>
      <c r="H120" s="166" t="s">
        <v>1373</v>
      </c>
      <c r="I120" s="708" t="s">
        <v>1374</v>
      </c>
      <c r="J120" s="638">
        <v>45569.0</v>
      </c>
      <c r="K120" s="499"/>
      <c r="L120" s="709" t="s">
        <v>1345</v>
      </c>
      <c r="M120" s="710"/>
      <c r="N120" s="164"/>
      <c r="O120" s="164"/>
      <c r="P120" s="164"/>
      <c r="Q120" s="164"/>
      <c r="R120" s="164"/>
      <c r="S120" s="164"/>
      <c r="T120" s="164"/>
      <c r="U120" s="164"/>
      <c r="V120" s="164"/>
      <c r="W120" s="164"/>
      <c r="X120" s="164"/>
      <c r="Y120" s="164"/>
      <c r="Z120" s="164"/>
      <c r="AA120" s="164"/>
      <c r="AB120" s="164"/>
    </row>
    <row r="121">
      <c r="A121" s="457"/>
      <c r="B121" s="369" t="s">
        <v>147</v>
      </c>
      <c r="C121" s="236" t="s">
        <v>851</v>
      </c>
      <c r="D121" s="591"/>
      <c r="E121" s="711"/>
      <c r="F121" s="591"/>
      <c r="G121" s="369" t="s">
        <v>1375</v>
      </c>
      <c r="H121" s="369" t="s">
        <v>1376</v>
      </c>
      <c r="I121" s="712"/>
      <c r="J121" s="713">
        <v>45597.0</v>
      </c>
      <c r="K121" s="714"/>
      <c r="L121" s="602" t="s">
        <v>1377</v>
      </c>
      <c r="M121" s="715" t="s">
        <v>1378</v>
      </c>
      <c r="N121" s="164"/>
      <c r="O121" s="164"/>
      <c r="P121" s="164"/>
      <c r="Q121" s="164"/>
      <c r="R121" s="164"/>
      <c r="S121" s="164"/>
      <c r="T121" s="164"/>
      <c r="U121" s="164"/>
      <c r="V121" s="164"/>
      <c r="W121" s="164"/>
      <c r="X121" s="164"/>
      <c r="Y121" s="164"/>
      <c r="Z121" s="164"/>
      <c r="AA121" s="164"/>
      <c r="AB121" s="164"/>
    </row>
    <row r="122">
      <c r="A122" s="457"/>
      <c r="B122" s="369" t="s">
        <v>160</v>
      </c>
      <c r="C122" s="236" t="s">
        <v>851</v>
      </c>
      <c r="D122" s="591"/>
      <c r="E122" s="369" t="s">
        <v>851</v>
      </c>
      <c r="F122" s="591"/>
      <c r="G122" s="369" t="s">
        <v>1379</v>
      </c>
      <c r="H122" s="369" t="s">
        <v>1380</v>
      </c>
      <c r="I122" s="712"/>
      <c r="J122" s="713">
        <v>45667.0</v>
      </c>
      <c r="K122" s="714"/>
      <c r="L122" s="602" t="s">
        <v>977</v>
      </c>
      <c r="M122" s="716" t="s">
        <v>1109</v>
      </c>
      <c r="N122" s="164"/>
      <c r="O122" s="164"/>
      <c r="P122" s="164"/>
      <c r="Q122" s="164"/>
      <c r="R122" s="164"/>
      <c r="S122" s="164"/>
      <c r="T122" s="164"/>
      <c r="U122" s="164"/>
      <c r="V122" s="164"/>
      <c r="W122" s="164"/>
      <c r="X122" s="164"/>
      <c r="Y122" s="164"/>
      <c r="Z122" s="164"/>
      <c r="AA122" s="164"/>
      <c r="AB122" s="164"/>
    </row>
    <row r="123">
      <c r="A123" s="430"/>
      <c r="B123" s="369" t="s">
        <v>1381</v>
      </c>
      <c r="C123" s="236" t="s">
        <v>851</v>
      </c>
      <c r="D123" s="591"/>
      <c r="E123" s="711"/>
      <c r="F123" s="591"/>
      <c r="G123" s="615" t="s">
        <v>1382</v>
      </c>
      <c r="H123" s="46" t="s">
        <v>1383</v>
      </c>
      <c r="I123" s="712"/>
      <c r="J123" s="713">
        <v>45691.0</v>
      </c>
      <c r="K123" s="714"/>
      <c r="L123" s="602" t="s">
        <v>1384</v>
      </c>
      <c r="M123" s="164"/>
      <c r="N123" s="164"/>
      <c r="O123" s="164"/>
      <c r="P123" s="164"/>
      <c r="Q123" s="164"/>
      <c r="R123" s="164"/>
      <c r="S123" s="164"/>
      <c r="T123" s="164"/>
      <c r="U123" s="164"/>
      <c r="V123" s="164"/>
      <c r="W123" s="164"/>
      <c r="X123" s="164"/>
      <c r="Y123" s="164"/>
      <c r="Z123" s="164"/>
      <c r="AA123" s="164"/>
      <c r="AB123" s="164"/>
    </row>
    <row r="124">
      <c r="A124" s="662"/>
      <c r="B124" s="661"/>
      <c r="C124" s="538"/>
      <c r="D124" s="538"/>
      <c r="E124" s="538"/>
      <c r="F124" s="538"/>
      <c r="G124" s="661"/>
      <c r="H124" s="661"/>
      <c r="I124" s="661"/>
      <c r="J124" s="663"/>
      <c r="K124" s="661"/>
      <c r="L124" s="661"/>
      <c r="M124" s="164"/>
      <c r="N124" s="164"/>
      <c r="O124" s="164"/>
      <c r="P124" s="164"/>
      <c r="Q124" s="164"/>
      <c r="R124" s="164"/>
      <c r="S124" s="164"/>
      <c r="T124" s="164"/>
      <c r="U124" s="164"/>
      <c r="V124" s="164"/>
      <c r="W124" s="164"/>
      <c r="X124" s="164"/>
      <c r="Y124" s="164"/>
      <c r="Z124" s="164"/>
      <c r="AA124" s="164"/>
      <c r="AB124" s="164"/>
    </row>
    <row r="125">
      <c r="A125" s="665"/>
      <c r="B125" s="664"/>
      <c r="C125" s="527"/>
      <c r="D125" s="527"/>
      <c r="E125" s="527"/>
      <c r="F125" s="527"/>
      <c r="G125" s="664"/>
      <c r="H125" s="664"/>
      <c r="I125" s="664"/>
      <c r="J125" s="666"/>
      <c r="K125" s="664"/>
      <c r="L125" s="664"/>
      <c r="M125" s="164"/>
      <c r="N125" s="164"/>
      <c r="O125" s="164"/>
      <c r="P125" s="164"/>
      <c r="Q125" s="164"/>
      <c r="R125" s="164"/>
      <c r="S125" s="164"/>
      <c r="T125" s="164"/>
      <c r="U125" s="164"/>
      <c r="V125" s="164"/>
      <c r="W125" s="164"/>
      <c r="X125" s="164"/>
      <c r="Y125" s="164"/>
      <c r="Z125" s="164"/>
      <c r="AA125" s="164"/>
      <c r="AB125" s="164"/>
    </row>
    <row r="126">
      <c r="A126" s="169" t="s">
        <v>1385</v>
      </c>
      <c r="B126" s="119" t="s">
        <v>235</v>
      </c>
      <c r="C126" s="236" t="s">
        <v>851</v>
      </c>
      <c r="D126" s="486"/>
      <c r="E126" s="486"/>
      <c r="F126" s="486"/>
      <c r="G126" s="119" t="s">
        <v>1386</v>
      </c>
      <c r="H126" s="109" t="s">
        <v>1387</v>
      </c>
      <c r="I126" s="499"/>
      <c r="J126" s="638">
        <v>45383.0</v>
      </c>
      <c r="K126" s="508" t="s">
        <v>203</v>
      </c>
      <c r="L126" s="602" t="s">
        <v>1179</v>
      </c>
      <c r="M126" s="164"/>
      <c r="N126" s="164"/>
      <c r="O126" s="164"/>
      <c r="P126" s="164"/>
      <c r="Q126" s="164"/>
      <c r="R126" s="164"/>
      <c r="S126" s="164"/>
      <c r="T126" s="164"/>
      <c r="U126" s="164"/>
      <c r="V126" s="164"/>
      <c r="W126" s="164"/>
      <c r="X126" s="164"/>
      <c r="Y126" s="164"/>
      <c r="Z126" s="164"/>
      <c r="AA126" s="164"/>
      <c r="AB126" s="164"/>
    </row>
    <row r="127">
      <c r="A127" s="457"/>
      <c r="B127" s="119" t="s">
        <v>1388</v>
      </c>
      <c r="C127" s="236" t="s">
        <v>851</v>
      </c>
      <c r="D127" s="681" t="s">
        <v>1151</v>
      </c>
      <c r="E127" s="707"/>
      <c r="F127" s="707"/>
      <c r="G127" s="109" t="s">
        <v>1389</v>
      </c>
      <c r="H127" s="109" t="s">
        <v>1390</v>
      </c>
      <c r="I127" s="499"/>
      <c r="J127" s="638">
        <v>45383.0</v>
      </c>
      <c r="K127" s="508" t="s">
        <v>1391</v>
      </c>
      <c r="L127" s="602" t="s">
        <v>1175</v>
      </c>
      <c r="M127" s="489" t="s">
        <v>1392</v>
      </c>
      <c r="N127" s="164"/>
      <c r="O127" s="164"/>
      <c r="P127" s="164"/>
      <c r="Q127" s="164"/>
      <c r="R127" s="164"/>
      <c r="S127" s="164"/>
      <c r="T127" s="164"/>
      <c r="U127" s="164"/>
      <c r="V127" s="164"/>
      <c r="W127" s="164"/>
      <c r="X127" s="164"/>
      <c r="Y127" s="164"/>
      <c r="Z127" s="164"/>
      <c r="AA127" s="164"/>
      <c r="AB127" s="164"/>
    </row>
    <row r="128">
      <c r="A128" s="457"/>
      <c r="B128" s="109" t="s">
        <v>255</v>
      </c>
      <c r="C128" s="236" t="s">
        <v>851</v>
      </c>
      <c r="D128" s="486"/>
      <c r="E128" s="486"/>
      <c r="F128" s="486"/>
      <c r="G128" s="109" t="s">
        <v>1393</v>
      </c>
      <c r="H128" s="109" t="s">
        <v>1394</v>
      </c>
      <c r="I128" s="499"/>
      <c r="J128" s="638">
        <v>45383.0</v>
      </c>
      <c r="K128" s="499"/>
      <c r="L128" s="602" t="s">
        <v>1175</v>
      </c>
      <c r="M128" s="489" t="s">
        <v>1395</v>
      </c>
      <c r="N128" s="164"/>
      <c r="O128" s="164"/>
      <c r="P128" s="164"/>
      <c r="Q128" s="164"/>
      <c r="R128" s="164"/>
      <c r="S128" s="164"/>
      <c r="T128" s="164"/>
      <c r="U128" s="164"/>
      <c r="V128" s="164"/>
      <c r="W128" s="164"/>
      <c r="X128" s="164"/>
      <c r="Y128" s="164"/>
      <c r="Z128" s="164"/>
      <c r="AA128" s="164"/>
      <c r="AB128" s="164"/>
    </row>
    <row r="129">
      <c r="A129" s="457"/>
      <c r="B129" s="109" t="s">
        <v>265</v>
      </c>
      <c r="C129" s="236" t="s">
        <v>851</v>
      </c>
      <c r="D129" s="486"/>
      <c r="E129" s="486"/>
      <c r="F129" s="119"/>
      <c r="G129" s="409" t="s">
        <v>1396</v>
      </c>
      <c r="H129" s="697" t="s">
        <v>1397</v>
      </c>
      <c r="I129" s="499"/>
      <c r="J129" s="638">
        <v>45476.0</v>
      </c>
      <c r="K129" s="499"/>
      <c r="L129" s="623" t="s">
        <v>1398</v>
      </c>
      <c r="M129" s="489" t="s">
        <v>1399</v>
      </c>
      <c r="N129" s="164"/>
      <c r="O129" s="164"/>
      <c r="P129" s="164"/>
      <c r="Q129" s="164"/>
      <c r="R129" s="164"/>
      <c r="S129" s="164"/>
      <c r="T129" s="164"/>
      <c r="U129" s="164"/>
      <c r="V129" s="164"/>
      <c r="W129" s="164"/>
      <c r="X129" s="164"/>
      <c r="Y129" s="164"/>
      <c r="Z129" s="164"/>
      <c r="AA129" s="164"/>
      <c r="AB129" s="164"/>
    </row>
    <row r="130">
      <c r="A130" s="457"/>
      <c r="B130" s="41" t="s">
        <v>275</v>
      </c>
      <c r="C130" s="236" t="s">
        <v>851</v>
      </c>
      <c r="D130" s="486"/>
      <c r="E130" s="486"/>
      <c r="F130" s="486"/>
      <c r="G130" s="474" t="s">
        <v>1400</v>
      </c>
      <c r="H130" s="166" t="s">
        <v>1401</v>
      </c>
      <c r="I130" s="508"/>
      <c r="J130" s="492">
        <v>45593.0</v>
      </c>
      <c r="K130" s="499"/>
      <c r="L130" s="499"/>
      <c r="M130" s="164"/>
      <c r="N130" s="164"/>
      <c r="O130" s="164"/>
      <c r="P130" s="164"/>
      <c r="Q130" s="164"/>
      <c r="R130" s="164"/>
      <c r="S130" s="164"/>
      <c r="T130" s="164"/>
      <c r="U130" s="164"/>
      <c r="V130" s="164"/>
      <c r="W130" s="164"/>
      <c r="X130" s="164"/>
      <c r="Y130" s="164"/>
      <c r="Z130" s="164"/>
      <c r="AA130" s="164"/>
      <c r="AB130" s="164"/>
    </row>
    <row r="131">
      <c r="A131" s="457"/>
      <c r="B131" s="41" t="s">
        <v>285</v>
      </c>
      <c r="C131" s="119" t="s">
        <v>851</v>
      </c>
      <c r="D131" s="486"/>
      <c r="E131" s="486"/>
      <c r="F131" s="486"/>
      <c r="G131" s="557" t="s">
        <v>1402</v>
      </c>
      <c r="H131" s="717" t="s">
        <v>1403</v>
      </c>
      <c r="I131" s="508"/>
      <c r="J131" s="492" t="s">
        <v>1404</v>
      </c>
      <c r="K131" s="499"/>
      <c r="L131" s="623" t="s">
        <v>1405</v>
      </c>
      <c r="M131" s="164"/>
      <c r="N131" s="164"/>
      <c r="O131" s="164"/>
      <c r="P131" s="164"/>
      <c r="Q131" s="164"/>
      <c r="R131" s="164"/>
      <c r="S131" s="164"/>
      <c r="T131" s="164"/>
      <c r="U131" s="164"/>
      <c r="V131" s="164"/>
      <c r="W131" s="164"/>
      <c r="X131" s="164"/>
      <c r="Y131" s="164"/>
      <c r="Z131" s="164"/>
      <c r="AA131" s="164"/>
      <c r="AB131" s="164"/>
    </row>
    <row r="132">
      <c r="A132" s="457"/>
      <c r="B132" s="41" t="s">
        <v>293</v>
      </c>
      <c r="C132" s="119" t="s">
        <v>851</v>
      </c>
      <c r="D132" s="486"/>
      <c r="E132" s="486"/>
      <c r="F132" s="486"/>
      <c r="G132" s="557" t="s">
        <v>1406</v>
      </c>
      <c r="H132" s="717" t="s">
        <v>1407</v>
      </c>
      <c r="I132" s="508"/>
      <c r="J132" s="638">
        <v>45670.0</v>
      </c>
      <c r="K132" s="499"/>
      <c r="L132" s="499"/>
      <c r="M132" s="660" t="s">
        <v>1109</v>
      </c>
      <c r="N132" s="164"/>
      <c r="O132" s="164"/>
      <c r="P132" s="164"/>
      <c r="Q132" s="164"/>
      <c r="R132" s="164"/>
      <c r="S132" s="164"/>
      <c r="T132" s="164"/>
      <c r="U132" s="164"/>
      <c r="V132" s="164"/>
      <c r="W132" s="164"/>
      <c r="X132" s="164"/>
      <c r="Y132" s="164"/>
      <c r="Z132" s="164"/>
      <c r="AA132" s="164"/>
      <c r="AB132" s="164"/>
    </row>
    <row r="133">
      <c r="A133" s="430"/>
      <c r="B133" s="41" t="s">
        <v>301</v>
      </c>
      <c r="C133" s="119" t="s">
        <v>851</v>
      </c>
      <c r="D133" s="486"/>
      <c r="E133" s="486"/>
      <c r="F133" s="486"/>
      <c r="G133" s="510" t="s">
        <v>1408</v>
      </c>
      <c r="H133" s="598" t="s">
        <v>1409</v>
      </c>
      <c r="I133" s="508"/>
      <c r="J133" s="638">
        <v>45670.0</v>
      </c>
      <c r="K133" s="499"/>
      <c r="L133" s="623" t="s">
        <v>1410</v>
      </c>
      <c r="M133" s="660" t="s">
        <v>1109</v>
      </c>
      <c r="N133" s="164"/>
      <c r="O133" s="164"/>
      <c r="P133" s="164"/>
      <c r="Q133" s="164"/>
      <c r="R133" s="164"/>
      <c r="S133" s="164"/>
      <c r="T133" s="164"/>
      <c r="U133" s="164"/>
      <c r="V133" s="164"/>
      <c r="W133" s="164"/>
      <c r="X133" s="164"/>
      <c r="Y133" s="164"/>
      <c r="Z133" s="164"/>
      <c r="AA133" s="164"/>
      <c r="AB133" s="164"/>
    </row>
    <row r="134">
      <c r="A134" s="662"/>
      <c r="B134" s="662"/>
      <c r="C134" s="538"/>
      <c r="D134" s="538"/>
      <c r="E134" s="538"/>
      <c r="F134" s="538"/>
      <c r="G134" s="662"/>
      <c r="H134" s="662"/>
      <c r="I134" s="662"/>
      <c r="J134" s="538"/>
      <c r="K134" s="662"/>
      <c r="L134" s="662"/>
      <c r="M134" s="164"/>
      <c r="N134" s="164"/>
      <c r="O134" s="164"/>
      <c r="P134" s="164"/>
      <c r="Q134" s="164"/>
      <c r="R134" s="164"/>
      <c r="S134" s="164"/>
      <c r="T134" s="164"/>
      <c r="U134" s="164"/>
      <c r="V134" s="164"/>
      <c r="W134" s="164"/>
      <c r="X134" s="164"/>
      <c r="Y134" s="164"/>
      <c r="Z134" s="164"/>
      <c r="AA134" s="164"/>
      <c r="AB134" s="164"/>
    </row>
    <row r="135">
      <c r="A135" s="665"/>
      <c r="B135" s="664"/>
      <c r="C135" s="527"/>
      <c r="D135" s="527"/>
      <c r="E135" s="527"/>
      <c r="F135" s="527"/>
      <c r="G135" s="664"/>
      <c r="H135" s="664"/>
      <c r="I135" s="664"/>
      <c r="J135" s="666"/>
      <c r="K135" s="664"/>
      <c r="L135" s="664"/>
      <c r="M135" s="164"/>
      <c r="N135" s="164"/>
      <c r="O135" s="164"/>
      <c r="P135" s="164"/>
      <c r="Q135" s="164"/>
      <c r="R135" s="164"/>
      <c r="S135" s="164"/>
      <c r="T135" s="164"/>
      <c r="U135" s="164"/>
      <c r="V135" s="164"/>
      <c r="W135" s="164"/>
      <c r="X135" s="164"/>
      <c r="Y135" s="164"/>
      <c r="Z135" s="164"/>
      <c r="AA135" s="164"/>
      <c r="AB135" s="164"/>
    </row>
    <row r="136">
      <c r="A136" s="169" t="s">
        <v>1411</v>
      </c>
      <c r="B136" s="22" t="s">
        <v>389</v>
      </c>
      <c r="C136" s="681" t="s">
        <v>851</v>
      </c>
      <c r="D136" s="707"/>
      <c r="E136" s="707"/>
      <c r="F136" s="707"/>
      <c r="G136" s="439" t="s">
        <v>1412</v>
      </c>
      <c r="H136" s="498" t="s">
        <v>1413</v>
      </c>
      <c r="I136" s="499"/>
      <c r="J136" s="492">
        <v>45384.0</v>
      </c>
      <c r="K136" s="499"/>
      <c r="L136" s="602" t="s">
        <v>1205</v>
      </c>
      <c r="M136" s="682" t="s">
        <v>1366</v>
      </c>
      <c r="N136" s="164"/>
      <c r="O136" s="164"/>
      <c r="P136" s="164"/>
      <c r="Q136" s="164"/>
      <c r="R136" s="164"/>
      <c r="S136" s="164"/>
      <c r="T136" s="164"/>
      <c r="U136" s="164"/>
      <c r="V136" s="164"/>
      <c r="W136" s="164"/>
      <c r="X136" s="164"/>
      <c r="Y136" s="164"/>
      <c r="Z136" s="164"/>
      <c r="AA136" s="164"/>
      <c r="AB136" s="164"/>
    </row>
    <row r="137">
      <c r="A137" s="457"/>
      <c r="B137" s="18" t="s">
        <v>414</v>
      </c>
      <c r="C137" s="681" t="s">
        <v>851</v>
      </c>
      <c r="D137" s="486"/>
      <c r="E137" s="486"/>
      <c r="F137" s="486"/>
      <c r="G137" s="442" t="s">
        <v>1251</v>
      </c>
      <c r="H137" s="658" t="s">
        <v>1252</v>
      </c>
      <c r="I137" s="499"/>
      <c r="J137" s="492">
        <v>45384.0</v>
      </c>
      <c r="K137" s="508" t="s">
        <v>1414</v>
      </c>
      <c r="L137" s="602" t="s">
        <v>1205</v>
      </c>
      <c r="M137" s="682" t="s">
        <v>1415</v>
      </c>
      <c r="N137" s="164"/>
      <c r="O137" s="164"/>
      <c r="P137" s="164"/>
      <c r="Q137" s="164"/>
      <c r="R137" s="164"/>
      <c r="S137" s="164"/>
      <c r="T137" s="164"/>
      <c r="U137" s="164"/>
      <c r="V137" s="164"/>
      <c r="W137" s="164"/>
      <c r="X137" s="164"/>
      <c r="Y137" s="164"/>
      <c r="Z137" s="164"/>
      <c r="AA137" s="164"/>
      <c r="AB137" s="164"/>
    </row>
    <row r="138">
      <c r="A138" s="457"/>
      <c r="B138" s="23" t="s">
        <v>439</v>
      </c>
      <c r="C138" s="681" t="s">
        <v>851</v>
      </c>
      <c r="D138" s="119" t="s">
        <v>1416</v>
      </c>
      <c r="E138" s="486"/>
      <c r="F138" s="486"/>
      <c r="G138" s="474" t="s">
        <v>1417</v>
      </c>
      <c r="H138" s="166" t="s">
        <v>1418</v>
      </c>
      <c r="I138" s="499"/>
      <c r="J138" s="492">
        <v>45384.0</v>
      </c>
      <c r="K138" s="499"/>
      <c r="L138" s="602" t="s">
        <v>1205</v>
      </c>
      <c r="M138" s="656"/>
      <c r="N138" s="164"/>
      <c r="O138" s="164"/>
      <c r="P138" s="164"/>
      <c r="Q138" s="164"/>
      <c r="R138" s="164"/>
      <c r="S138" s="164"/>
      <c r="T138" s="164"/>
      <c r="U138" s="164"/>
      <c r="V138" s="164"/>
      <c r="W138" s="164"/>
      <c r="X138" s="164"/>
      <c r="Y138" s="164"/>
      <c r="Z138" s="164"/>
      <c r="AA138" s="164"/>
      <c r="AB138" s="164"/>
    </row>
    <row r="139">
      <c r="A139" s="457"/>
      <c r="B139" s="23" t="s">
        <v>464</v>
      </c>
      <c r="C139" s="681" t="s">
        <v>851</v>
      </c>
      <c r="D139" s="486"/>
      <c r="E139" s="486"/>
      <c r="F139" s="486"/>
      <c r="G139" s="557" t="s">
        <v>1419</v>
      </c>
      <c r="H139" s="717" t="s">
        <v>1420</v>
      </c>
      <c r="I139" s="499"/>
      <c r="J139" s="492">
        <v>45384.0</v>
      </c>
      <c r="K139" s="499"/>
      <c r="L139" s="602" t="s">
        <v>1205</v>
      </c>
      <c r="M139" s="656"/>
      <c r="N139" s="164"/>
      <c r="O139" s="164"/>
      <c r="P139" s="164"/>
      <c r="Q139" s="164"/>
      <c r="R139" s="164"/>
      <c r="S139" s="164"/>
      <c r="T139" s="164"/>
      <c r="U139" s="164"/>
      <c r="V139" s="164"/>
      <c r="W139" s="164"/>
      <c r="X139" s="164"/>
      <c r="Y139" s="164"/>
      <c r="Z139" s="164"/>
      <c r="AA139" s="164"/>
      <c r="AB139" s="164"/>
    </row>
    <row r="140">
      <c r="A140" s="457"/>
      <c r="B140" s="23" t="s">
        <v>489</v>
      </c>
      <c r="C140" s="681" t="s">
        <v>851</v>
      </c>
      <c r="D140" s="486"/>
      <c r="E140" s="486"/>
      <c r="F140" s="486"/>
      <c r="G140" s="615" t="s">
        <v>1421</v>
      </c>
      <c r="H140" s="624" t="s">
        <v>1422</v>
      </c>
      <c r="I140" s="499"/>
      <c r="J140" s="638">
        <v>45566.0</v>
      </c>
      <c r="K140" s="119"/>
      <c r="L140" s="602" t="s">
        <v>1423</v>
      </c>
      <c r="M140" s="656"/>
      <c r="N140" s="164"/>
      <c r="O140" s="164"/>
      <c r="P140" s="164"/>
      <c r="Q140" s="164"/>
      <c r="R140" s="164"/>
      <c r="S140" s="164"/>
      <c r="T140" s="164"/>
      <c r="U140" s="164"/>
      <c r="V140" s="164"/>
      <c r="W140" s="164"/>
      <c r="X140" s="164"/>
      <c r="Y140" s="164"/>
      <c r="Z140" s="164"/>
      <c r="AA140" s="164"/>
      <c r="AB140" s="164"/>
    </row>
    <row r="141">
      <c r="A141" s="457"/>
      <c r="B141" s="23" t="s">
        <v>514</v>
      </c>
      <c r="C141" s="681" t="s">
        <v>851</v>
      </c>
      <c r="D141" s="486"/>
      <c r="E141" s="486"/>
      <c r="F141" s="486"/>
      <c r="G141" s="615" t="s">
        <v>1424</v>
      </c>
      <c r="H141" s="624" t="s">
        <v>1425</v>
      </c>
      <c r="I141" s="499"/>
      <c r="J141" s="638">
        <v>45608.0</v>
      </c>
      <c r="K141" s="119"/>
      <c r="L141" s="602" t="s">
        <v>1426</v>
      </c>
      <c r="M141" s="656"/>
      <c r="N141" s="164"/>
      <c r="O141" s="164"/>
      <c r="P141" s="164"/>
      <c r="Q141" s="164"/>
      <c r="R141" s="164"/>
      <c r="S141" s="164"/>
      <c r="T141" s="164"/>
      <c r="U141" s="164"/>
      <c r="V141" s="164"/>
      <c r="W141" s="164"/>
      <c r="X141" s="164"/>
      <c r="Y141" s="164"/>
      <c r="Z141" s="164"/>
      <c r="AA141" s="164"/>
      <c r="AB141" s="164"/>
    </row>
    <row r="142">
      <c r="A142" s="457"/>
      <c r="B142" s="23" t="s">
        <v>538</v>
      </c>
      <c r="C142" s="681" t="s">
        <v>851</v>
      </c>
      <c r="D142" s="486"/>
      <c r="E142" s="486"/>
      <c r="F142" s="486"/>
      <c r="G142" s="557" t="s">
        <v>1427</v>
      </c>
      <c r="H142" s="599" t="s">
        <v>1428</v>
      </c>
      <c r="I142" s="499"/>
      <c r="J142" s="633">
        <v>45664.0</v>
      </c>
      <c r="K142" s="119"/>
      <c r="L142" s="119"/>
      <c r="M142" s="682" t="s">
        <v>1109</v>
      </c>
      <c r="N142" s="164"/>
      <c r="O142" s="164"/>
      <c r="P142" s="164"/>
      <c r="Q142" s="164"/>
      <c r="R142" s="164"/>
      <c r="S142" s="164"/>
      <c r="T142" s="164"/>
      <c r="U142" s="164"/>
      <c r="V142" s="164"/>
      <c r="W142" s="164"/>
      <c r="X142" s="164"/>
      <c r="Y142" s="164"/>
      <c r="Z142" s="164"/>
      <c r="AA142" s="164"/>
      <c r="AB142" s="164"/>
    </row>
    <row r="143">
      <c r="A143" s="430"/>
      <c r="B143" s="23" t="s">
        <v>1429</v>
      </c>
      <c r="C143" s="681" t="s">
        <v>851</v>
      </c>
      <c r="D143" s="486"/>
      <c r="E143" s="486"/>
      <c r="F143" s="486"/>
      <c r="G143" s="557" t="s">
        <v>1430</v>
      </c>
      <c r="H143" s="599" t="s">
        <v>1431</v>
      </c>
      <c r="I143" s="499"/>
      <c r="J143" s="633">
        <v>45673.0</v>
      </c>
      <c r="K143" s="119"/>
      <c r="L143" s="718" t="s">
        <v>1432</v>
      </c>
      <c r="M143" s="682" t="s">
        <v>1109</v>
      </c>
      <c r="N143" s="164"/>
      <c r="O143" s="164"/>
      <c r="P143" s="164"/>
      <c r="Q143" s="164"/>
      <c r="R143" s="164"/>
      <c r="S143" s="164"/>
      <c r="T143" s="164"/>
      <c r="U143" s="164"/>
      <c r="V143" s="164"/>
      <c r="W143" s="164"/>
      <c r="X143" s="164"/>
      <c r="Y143" s="164"/>
      <c r="Z143" s="164"/>
      <c r="AA143" s="164"/>
      <c r="AB143" s="164"/>
    </row>
    <row r="144">
      <c r="A144" s="661"/>
      <c r="B144" s="661"/>
      <c r="C144" s="538"/>
      <c r="D144" s="538"/>
      <c r="E144" s="538"/>
      <c r="F144" s="538"/>
      <c r="G144" s="661"/>
      <c r="H144" s="661"/>
      <c r="I144" s="661"/>
      <c r="J144" s="663"/>
      <c r="K144" s="661"/>
      <c r="L144" s="661"/>
      <c r="M144" s="164"/>
      <c r="N144" s="164"/>
      <c r="O144" s="164"/>
      <c r="P144" s="164"/>
      <c r="Q144" s="164"/>
      <c r="R144" s="164"/>
      <c r="S144" s="164"/>
      <c r="T144" s="164"/>
      <c r="U144" s="164"/>
      <c r="V144" s="164"/>
      <c r="W144" s="164"/>
      <c r="X144" s="164"/>
      <c r="Y144" s="164"/>
      <c r="Z144" s="164"/>
      <c r="AA144" s="164"/>
      <c r="AB144" s="164"/>
    </row>
    <row r="145">
      <c r="A145" s="164"/>
      <c r="B145" s="164"/>
      <c r="C145" s="9"/>
      <c r="D145" s="9"/>
      <c r="E145" s="9"/>
      <c r="F145" s="9"/>
      <c r="G145" s="164"/>
      <c r="H145" s="164"/>
      <c r="I145" s="164"/>
      <c r="J145" s="652"/>
      <c r="K145" s="164"/>
      <c r="L145" s="164"/>
      <c r="M145" s="164"/>
      <c r="N145" s="164"/>
      <c r="O145" s="164"/>
      <c r="P145" s="164"/>
      <c r="Q145" s="164"/>
      <c r="R145" s="164"/>
      <c r="S145" s="164"/>
      <c r="T145" s="164"/>
      <c r="U145" s="164"/>
      <c r="V145" s="164"/>
      <c r="W145" s="164"/>
      <c r="X145" s="164"/>
      <c r="Y145" s="164"/>
      <c r="Z145" s="164"/>
      <c r="AA145" s="164"/>
      <c r="AB145" s="164"/>
    </row>
    <row r="146">
      <c r="A146" s="607" t="s">
        <v>1433</v>
      </c>
      <c r="B146" s="18" t="s">
        <v>646</v>
      </c>
      <c r="C146" s="41" t="s">
        <v>851</v>
      </c>
      <c r="D146" s="719"/>
      <c r="E146" s="719"/>
      <c r="F146" s="719"/>
      <c r="G146" s="439" t="s">
        <v>1434</v>
      </c>
      <c r="H146" s="498" t="s">
        <v>1435</v>
      </c>
      <c r="I146" s="677"/>
      <c r="J146" s="609">
        <v>45385.0</v>
      </c>
      <c r="K146" s="677"/>
      <c r="L146" s="602" t="s">
        <v>1205</v>
      </c>
      <c r="M146" s="656" t="s">
        <v>1436</v>
      </c>
      <c r="N146" s="159" t="s">
        <v>1437</v>
      </c>
      <c r="O146" s="164"/>
      <c r="P146" s="164"/>
      <c r="Q146" s="164"/>
      <c r="R146" s="164"/>
      <c r="S146" s="164"/>
      <c r="T146" s="164"/>
      <c r="U146" s="164"/>
      <c r="V146" s="164"/>
      <c r="W146" s="164"/>
      <c r="X146" s="164"/>
      <c r="Y146" s="164"/>
      <c r="Z146" s="164"/>
      <c r="AA146" s="164"/>
      <c r="AB146" s="164"/>
    </row>
    <row r="147">
      <c r="A147" s="457"/>
      <c r="B147" s="110" t="s">
        <v>1438</v>
      </c>
      <c r="C147" s="41" t="s">
        <v>851</v>
      </c>
      <c r="D147" s="681" t="s">
        <v>1439</v>
      </c>
      <c r="E147" s="707"/>
      <c r="F147" s="707"/>
      <c r="G147" s="439" t="s">
        <v>1440</v>
      </c>
      <c r="H147" s="498" t="s">
        <v>1441</v>
      </c>
      <c r="I147" s="499"/>
      <c r="J147" s="609">
        <v>45385.0</v>
      </c>
      <c r="K147" s="499"/>
      <c r="L147" s="602" t="s">
        <v>1205</v>
      </c>
      <c r="M147" s="682" t="s">
        <v>1442</v>
      </c>
      <c r="N147" s="164"/>
      <c r="O147" s="164"/>
      <c r="P147" s="164"/>
      <c r="Q147" s="164"/>
      <c r="R147" s="164"/>
      <c r="S147" s="164"/>
      <c r="T147" s="164"/>
      <c r="U147" s="164"/>
      <c r="V147" s="164"/>
      <c r="W147" s="164"/>
      <c r="X147" s="164"/>
      <c r="Y147" s="164"/>
      <c r="Z147" s="164"/>
      <c r="AA147" s="164"/>
      <c r="AB147" s="164"/>
    </row>
    <row r="148">
      <c r="A148" s="457"/>
      <c r="B148" s="23" t="s">
        <v>662</v>
      </c>
      <c r="C148" s="119" t="s">
        <v>851</v>
      </c>
      <c r="D148" s="486"/>
      <c r="E148" s="486"/>
      <c r="F148" s="486"/>
      <c r="G148" s="474" t="s">
        <v>1443</v>
      </c>
      <c r="H148" s="166" t="s">
        <v>1444</v>
      </c>
      <c r="I148" s="499"/>
      <c r="J148" s="609">
        <v>45455.0</v>
      </c>
      <c r="K148" s="508" t="s">
        <v>1445</v>
      </c>
      <c r="L148" s="720" t="s">
        <v>1446</v>
      </c>
      <c r="M148" s="680" t="s">
        <v>1447</v>
      </c>
      <c r="N148" s="164"/>
      <c r="O148" s="164"/>
      <c r="P148" s="164"/>
      <c r="Q148" s="164"/>
      <c r="R148" s="164"/>
      <c r="S148" s="164"/>
      <c r="T148" s="164"/>
      <c r="U148" s="164"/>
      <c r="V148" s="164"/>
      <c r="W148" s="164"/>
      <c r="X148" s="164"/>
      <c r="Y148" s="164"/>
      <c r="Z148" s="164"/>
      <c r="AA148" s="164"/>
      <c r="AB148" s="164"/>
    </row>
    <row r="149">
      <c r="A149" s="457"/>
      <c r="B149" s="23" t="s">
        <v>670</v>
      </c>
      <c r="C149" s="119" t="s">
        <v>851</v>
      </c>
      <c r="D149" s="486"/>
      <c r="E149" s="486"/>
      <c r="F149" s="486"/>
      <c r="G149" s="474" t="s">
        <v>1443</v>
      </c>
      <c r="H149" s="166" t="s">
        <v>1444</v>
      </c>
      <c r="I149" s="499"/>
      <c r="J149" s="609">
        <v>45455.0</v>
      </c>
      <c r="K149" s="508" t="s">
        <v>1445</v>
      </c>
      <c r="L149" s="430"/>
      <c r="M149" s="100"/>
      <c r="N149" s="164"/>
      <c r="O149" s="164"/>
      <c r="P149" s="164"/>
      <c r="Q149" s="164"/>
      <c r="R149" s="164"/>
      <c r="S149" s="164"/>
      <c r="T149" s="164"/>
      <c r="U149" s="164"/>
      <c r="V149" s="164"/>
      <c r="W149" s="164"/>
      <c r="X149" s="164"/>
      <c r="Y149" s="164"/>
      <c r="Z149" s="164"/>
      <c r="AA149" s="164"/>
      <c r="AB149" s="164"/>
    </row>
    <row r="150">
      <c r="A150" s="457"/>
      <c r="B150" s="23" t="s">
        <v>679</v>
      </c>
      <c r="C150" s="119" t="s">
        <v>851</v>
      </c>
      <c r="D150" s="486"/>
      <c r="E150" s="486"/>
      <c r="F150" s="486"/>
      <c r="G150" s="474" t="s">
        <v>1448</v>
      </c>
      <c r="H150" s="166" t="s">
        <v>1449</v>
      </c>
      <c r="I150" s="499"/>
      <c r="J150" s="609">
        <v>45581.0</v>
      </c>
      <c r="K150" s="508"/>
      <c r="L150" s="721" t="s">
        <v>1450</v>
      </c>
      <c r="M150" s="722" t="s">
        <v>1451</v>
      </c>
      <c r="N150" s="159" t="s">
        <v>1437</v>
      </c>
      <c r="O150" s="164"/>
      <c r="P150" s="164"/>
      <c r="Q150" s="164"/>
      <c r="R150" s="164"/>
      <c r="S150" s="164"/>
      <c r="T150" s="164"/>
      <c r="U150" s="164"/>
      <c r="V150" s="164"/>
      <c r="W150" s="164"/>
      <c r="X150" s="164"/>
      <c r="Y150" s="164"/>
      <c r="Z150" s="164"/>
      <c r="AA150" s="164"/>
      <c r="AB150" s="164"/>
    </row>
    <row r="151">
      <c r="A151" s="457"/>
      <c r="B151" s="23" t="s">
        <v>688</v>
      </c>
      <c r="C151" s="119" t="s">
        <v>851</v>
      </c>
      <c r="D151" s="486"/>
      <c r="E151" s="486"/>
      <c r="F151" s="486"/>
      <c r="G151" s="557" t="s">
        <v>1452</v>
      </c>
      <c r="H151" s="717" t="s">
        <v>1453</v>
      </c>
      <c r="I151" s="499"/>
      <c r="J151" s="609">
        <v>45583.0</v>
      </c>
      <c r="K151" s="508"/>
      <c r="L151" s="602" t="s">
        <v>1454</v>
      </c>
      <c r="M151" s="722" t="s">
        <v>1451</v>
      </c>
      <c r="N151" s="164"/>
      <c r="O151" s="164"/>
      <c r="P151" s="164"/>
      <c r="Q151" s="164"/>
      <c r="R151" s="164"/>
      <c r="S151" s="164"/>
      <c r="T151" s="164"/>
      <c r="U151" s="164"/>
      <c r="V151" s="164"/>
      <c r="W151" s="164"/>
      <c r="X151" s="164"/>
      <c r="Y151" s="164"/>
      <c r="Z151" s="164"/>
      <c r="AA151" s="164"/>
      <c r="AB151" s="164"/>
    </row>
    <row r="152">
      <c r="A152" s="457"/>
      <c r="B152" s="18" t="s">
        <v>696</v>
      </c>
      <c r="C152" s="41" t="s">
        <v>851</v>
      </c>
      <c r="D152" s="591"/>
      <c r="E152" s="591"/>
      <c r="F152" s="591"/>
      <c r="G152" s="414" t="s">
        <v>1455</v>
      </c>
      <c r="H152" s="723" t="s">
        <v>1456</v>
      </c>
      <c r="I152" s="594"/>
      <c r="J152" s="633">
        <v>45454.0</v>
      </c>
      <c r="K152" s="594"/>
      <c r="L152" s="602" t="s">
        <v>1457</v>
      </c>
      <c r="M152" s="489" t="s">
        <v>1458</v>
      </c>
      <c r="N152" s="164"/>
      <c r="O152" s="164"/>
      <c r="P152" s="164"/>
      <c r="Q152" s="164"/>
      <c r="R152" s="164"/>
      <c r="S152" s="164"/>
      <c r="T152" s="164"/>
      <c r="U152" s="164"/>
      <c r="V152" s="164"/>
      <c r="W152" s="164"/>
      <c r="X152" s="164"/>
      <c r="Y152" s="164"/>
      <c r="Z152" s="164"/>
      <c r="AA152" s="164"/>
      <c r="AB152" s="164"/>
    </row>
    <row r="153">
      <c r="A153" s="430"/>
      <c r="B153" s="18" t="s">
        <v>703</v>
      </c>
      <c r="C153" s="41" t="s">
        <v>851</v>
      </c>
      <c r="D153" s="591"/>
      <c r="E153" s="591"/>
      <c r="F153" s="591"/>
      <c r="G153" s="409" t="s">
        <v>1459</v>
      </c>
      <c r="H153" s="724" t="s">
        <v>1460</v>
      </c>
      <c r="I153" s="594"/>
      <c r="J153" s="633">
        <v>45672.0</v>
      </c>
      <c r="K153" s="594"/>
      <c r="L153" s="693" t="s">
        <v>1410</v>
      </c>
      <c r="M153" s="682" t="s">
        <v>1109</v>
      </c>
      <c r="N153" s="164"/>
      <c r="O153" s="164"/>
      <c r="P153" s="164"/>
      <c r="Q153" s="164"/>
      <c r="R153" s="164"/>
      <c r="S153" s="164"/>
      <c r="T153" s="164"/>
      <c r="U153" s="164"/>
      <c r="V153" s="164"/>
      <c r="W153" s="164"/>
      <c r="X153" s="164"/>
      <c r="Y153" s="164"/>
      <c r="Z153" s="164"/>
      <c r="AA153" s="164"/>
      <c r="AB153" s="164"/>
    </row>
    <row r="154">
      <c r="A154" s="164"/>
      <c r="B154" s="164"/>
      <c r="C154" s="9"/>
      <c r="D154" s="9"/>
      <c r="E154" s="9"/>
      <c r="F154" s="9"/>
      <c r="G154" s="164"/>
      <c r="H154" s="164"/>
      <c r="I154" s="164"/>
      <c r="J154" s="652"/>
      <c r="K154" s="164"/>
      <c r="L154" s="164"/>
      <c r="M154" s="164"/>
      <c r="N154" s="164"/>
      <c r="O154" s="164"/>
      <c r="P154" s="164"/>
      <c r="Q154" s="164"/>
      <c r="R154" s="164"/>
      <c r="S154" s="164"/>
      <c r="T154" s="164"/>
      <c r="U154" s="164"/>
      <c r="V154" s="164"/>
      <c r="W154" s="164"/>
      <c r="X154" s="164"/>
      <c r="Y154" s="164"/>
      <c r="Z154" s="164"/>
      <c r="AA154" s="164"/>
      <c r="AB154" s="164"/>
    </row>
    <row r="155">
      <c r="A155" s="164"/>
      <c r="B155" s="164"/>
      <c r="C155" s="9"/>
      <c r="D155" s="9"/>
      <c r="E155" s="9"/>
      <c r="F155" s="9"/>
      <c r="G155" s="164"/>
      <c r="H155" s="164"/>
      <c r="I155" s="164"/>
      <c r="J155" s="652"/>
      <c r="K155" s="164"/>
      <c r="L155" s="164"/>
      <c r="M155" s="164"/>
      <c r="N155" s="164"/>
      <c r="O155" s="164"/>
      <c r="P155" s="164"/>
      <c r="Q155" s="164"/>
      <c r="R155" s="164"/>
      <c r="S155" s="164"/>
      <c r="T155" s="164"/>
      <c r="U155" s="164"/>
      <c r="V155" s="164"/>
      <c r="W155" s="164"/>
      <c r="X155" s="164"/>
      <c r="Y155" s="164"/>
      <c r="Z155" s="164"/>
      <c r="AA155" s="164"/>
      <c r="AB155" s="164"/>
    </row>
    <row r="156">
      <c r="A156" s="607" t="s">
        <v>1461</v>
      </c>
      <c r="B156" s="18" t="s">
        <v>391</v>
      </c>
      <c r="C156" s="41" t="s">
        <v>851</v>
      </c>
      <c r="D156" s="725"/>
      <c r="E156" s="725"/>
      <c r="F156" s="247"/>
      <c r="G156" s="467" t="s">
        <v>1462</v>
      </c>
      <c r="H156" s="678" t="s">
        <v>1463</v>
      </c>
      <c r="I156" s="594"/>
      <c r="J156" s="633">
        <v>45384.0</v>
      </c>
      <c r="K156" s="594"/>
      <c r="L156" s="726" t="s">
        <v>1464</v>
      </c>
      <c r="M156" s="489" t="s">
        <v>1392</v>
      </c>
      <c r="N156" s="164"/>
      <c r="O156" s="164"/>
      <c r="P156" s="164"/>
      <c r="Q156" s="164"/>
      <c r="R156" s="164"/>
      <c r="S156" s="164"/>
      <c r="T156" s="164"/>
      <c r="U156" s="164"/>
      <c r="V156" s="164"/>
      <c r="W156" s="164"/>
      <c r="X156" s="164"/>
      <c r="Y156" s="164"/>
      <c r="Z156" s="164"/>
      <c r="AA156" s="164"/>
      <c r="AB156" s="164"/>
    </row>
    <row r="157">
      <c r="A157" s="457"/>
      <c r="B157" s="19" t="s">
        <v>416</v>
      </c>
      <c r="C157" s="119" t="s">
        <v>851</v>
      </c>
      <c r="D157" s="486"/>
      <c r="E157" s="486"/>
      <c r="F157" s="486"/>
      <c r="G157" s="439" t="s">
        <v>1465</v>
      </c>
      <c r="H157" s="440" t="s">
        <v>1466</v>
      </c>
      <c r="I157" s="594"/>
      <c r="J157" s="633">
        <v>45384.0</v>
      </c>
      <c r="K157" s="594"/>
      <c r="L157" s="726" t="s">
        <v>1467</v>
      </c>
      <c r="M157" s="489" t="s">
        <v>1392</v>
      </c>
      <c r="N157" s="164"/>
      <c r="O157" s="164"/>
      <c r="P157" s="164"/>
      <c r="Q157" s="164"/>
      <c r="R157" s="164"/>
      <c r="S157" s="164"/>
      <c r="T157" s="164"/>
      <c r="U157" s="164"/>
      <c r="V157" s="164"/>
      <c r="W157" s="164"/>
      <c r="X157" s="164"/>
      <c r="Y157" s="164"/>
      <c r="Z157" s="164"/>
      <c r="AA157" s="164"/>
      <c r="AB157" s="164"/>
    </row>
    <row r="158">
      <c r="A158" s="457"/>
      <c r="B158" s="19" t="s">
        <v>441</v>
      </c>
      <c r="C158" s="119" t="s">
        <v>851</v>
      </c>
      <c r="D158" s="486"/>
      <c r="E158" s="486"/>
      <c r="F158" s="486"/>
      <c r="G158" s="467" t="s">
        <v>1468</v>
      </c>
      <c r="H158" s="678" t="s">
        <v>1469</v>
      </c>
      <c r="I158" s="594"/>
      <c r="J158" s="633">
        <v>45384.0</v>
      </c>
      <c r="K158" s="594"/>
      <c r="L158" s="726" t="s">
        <v>1464</v>
      </c>
      <c r="M158" s="489" t="s">
        <v>1392</v>
      </c>
      <c r="N158" s="164"/>
      <c r="O158" s="164"/>
      <c r="P158" s="164"/>
      <c r="Q158" s="164"/>
      <c r="R158" s="164"/>
      <c r="S158" s="164"/>
      <c r="T158" s="164"/>
      <c r="U158" s="164"/>
      <c r="V158" s="164"/>
      <c r="W158" s="164"/>
      <c r="X158" s="164"/>
      <c r="Y158" s="164"/>
      <c r="Z158" s="164"/>
      <c r="AA158" s="164"/>
      <c r="AB158" s="164"/>
    </row>
    <row r="159">
      <c r="A159" s="457"/>
      <c r="B159" s="18" t="s">
        <v>466</v>
      </c>
      <c r="C159" s="119" t="s">
        <v>851</v>
      </c>
      <c r="D159" s="486"/>
      <c r="E159" s="486"/>
      <c r="F159" s="486"/>
      <c r="G159" s="506" t="s">
        <v>1470</v>
      </c>
      <c r="H159" s="260" t="s">
        <v>1471</v>
      </c>
      <c r="I159" s="499"/>
      <c r="J159" s="492">
        <v>45386.0</v>
      </c>
      <c r="K159" s="508"/>
      <c r="L159" s="726" t="s">
        <v>1472</v>
      </c>
      <c r="M159" s="489" t="s">
        <v>1392</v>
      </c>
      <c r="N159" s="164"/>
      <c r="O159" s="164"/>
      <c r="P159" s="164"/>
      <c r="Q159" s="164"/>
      <c r="R159" s="164"/>
      <c r="S159" s="164"/>
      <c r="T159" s="164"/>
      <c r="U159" s="164"/>
      <c r="V159" s="164"/>
      <c r="W159" s="164"/>
      <c r="X159" s="164"/>
      <c r="Y159" s="164"/>
      <c r="Z159" s="164"/>
      <c r="AA159" s="164"/>
      <c r="AB159" s="164"/>
    </row>
    <row r="160">
      <c r="A160" s="457"/>
      <c r="B160" s="18" t="s">
        <v>491</v>
      </c>
      <c r="C160" s="41" t="s">
        <v>851</v>
      </c>
      <c r="D160" s="41" t="s">
        <v>1473</v>
      </c>
      <c r="E160" s="591"/>
      <c r="F160" s="591"/>
      <c r="G160" s="439" t="s">
        <v>1474</v>
      </c>
      <c r="H160" s="440" t="s">
        <v>1475</v>
      </c>
      <c r="I160" s="727" t="s">
        <v>1476</v>
      </c>
      <c r="J160" s="629">
        <v>45293.0</v>
      </c>
      <c r="K160" s="594"/>
      <c r="L160" s="728" t="s">
        <v>1477</v>
      </c>
      <c r="M160" s="489" t="s">
        <v>1392</v>
      </c>
      <c r="N160" s="489" t="s">
        <v>1478</v>
      </c>
      <c r="O160" s="729" t="s">
        <v>1479</v>
      </c>
      <c r="P160" s="164"/>
      <c r="Q160" s="164"/>
      <c r="R160" s="164"/>
      <c r="S160" s="164"/>
      <c r="T160" s="164"/>
      <c r="U160" s="164"/>
      <c r="V160" s="164"/>
      <c r="W160" s="164"/>
      <c r="X160" s="164"/>
      <c r="Y160" s="164"/>
      <c r="Z160" s="164"/>
      <c r="AA160" s="164"/>
      <c r="AB160" s="164"/>
    </row>
    <row r="161">
      <c r="A161" s="457"/>
      <c r="B161" s="18" t="s">
        <v>1480</v>
      </c>
      <c r="C161" s="119" t="s">
        <v>851</v>
      </c>
      <c r="D161" s="707"/>
      <c r="E161" s="247"/>
      <c r="F161" s="707"/>
      <c r="G161" s="467" t="s">
        <v>1481</v>
      </c>
      <c r="H161" s="692" t="s">
        <v>1482</v>
      </c>
      <c r="I161" s="727" t="s">
        <v>1483</v>
      </c>
      <c r="J161" s="633">
        <v>45385.0</v>
      </c>
      <c r="K161" s="499"/>
      <c r="L161" s="602" t="s">
        <v>1205</v>
      </c>
      <c r="M161" s="682" t="s">
        <v>1442</v>
      </c>
      <c r="N161" s="690" t="s">
        <v>1392</v>
      </c>
      <c r="O161" s="690" t="s">
        <v>1484</v>
      </c>
      <c r="P161" s="164"/>
      <c r="Q161" s="164"/>
      <c r="R161" s="164"/>
      <c r="S161" s="164"/>
      <c r="T161" s="164"/>
      <c r="U161" s="164"/>
      <c r="V161" s="164"/>
      <c r="W161" s="164"/>
      <c r="X161" s="164"/>
      <c r="Y161" s="164"/>
      <c r="Z161" s="164"/>
      <c r="AA161" s="164"/>
      <c r="AB161" s="164"/>
    </row>
    <row r="162">
      <c r="A162" s="457"/>
      <c r="B162" s="18" t="s">
        <v>1485</v>
      </c>
      <c r="C162" s="41" t="s">
        <v>861</v>
      </c>
      <c r="D162" s="591"/>
      <c r="E162" s="119" t="s">
        <v>851</v>
      </c>
      <c r="F162" s="591"/>
      <c r="G162" s="506" t="s">
        <v>1486</v>
      </c>
      <c r="H162" s="506" t="s">
        <v>1487</v>
      </c>
      <c r="I162" s="727" t="s">
        <v>1483</v>
      </c>
      <c r="J162" s="633">
        <v>45314.0</v>
      </c>
      <c r="K162" s="594"/>
      <c r="L162" s="508"/>
      <c r="M162" s="508"/>
      <c r="N162" s="164"/>
      <c r="O162" s="164"/>
      <c r="P162" s="164"/>
      <c r="Q162" s="164"/>
      <c r="R162" s="164"/>
      <c r="S162" s="164"/>
      <c r="T162" s="164"/>
      <c r="U162" s="164"/>
      <c r="V162" s="164"/>
      <c r="W162" s="164"/>
      <c r="X162" s="164"/>
      <c r="Y162" s="164"/>
      <c r="Z162" s="164"/>
      <c r="AA162" s="164"/>
      <c r="AB162" s="164"/>
    </row>
    <row r="163">
      <c r="A163" s="430"/>
      <c r="B163" s="18" t="s">
        <v>564</v>
      </c>
      <c r="C163" s="41" t="s">
        <v>861</v>
      </c>
      <c r="D163" s="591"/>
      <c r="E163" s="591"/>
      <c r="F163" s="591"/>
      <c r="G163" s="513" t="s">
        <v>1488</v>
      </c>
      <c r="H163" s="513" t="s">
        <v>1489</v>
      </c>
      <c r="I163" s="727"/>
      <c r="J163" s="633">
        <v>45673.0</v>
      </c>
      <c r="K163" s="594"/>
      <c r="L163" s="623" t="s">
        <v>1264</v>
      </c>
      <c r="M163" s="686" t="s">
        <v>1109</v>
      </c>
      <c r="N163" s="164"/>
      <c r="O163" s="164"/>
      <c r="P163" s="164"/>
      <c r="Q163" s="164"/>
      <c r="R163" s="164"/>
      <c r="S163" s="164"/>
      <c r="T163" s="164"/>
      <c r="U163" s="164"/>
      <c r="V163" s="164"/>
      <c r="W163" s="164"/>
      <c r="X163" s="164"/>
      <c r="Y163" s="164"/>
      <c r="Z163" s="164"/>
      <c r="AA163" s="164"/>
      <c r="AB163" s="164"/>
    </row>
    <row r="164" ht="14.25" customHeight="1">
      <c r="A164" s="164"/>
      <c r="B164" s="164"/>
      <c r="C164" s="9"/>
      <c r="D164" s="9"/>
      <c r="E164" s="9"/>
      <c r="F164" s="9"/>
      <c r="G164" s="164"/>
      <c r="H164" s="164"/>
      <c r="I164" s="164"/>
      <c r="J164" s="652"/>
      <c r="K164" s="164"/>
      <c r="L164" s="164"/>
      <c r="M164" s="164"/>
      <c r="N164" s="164"/>
      <c r="O164" s="164"/>
      <c r="P164" s="164"/>
      <c r="Q164" s="164"/>
      <c r="R164" s="164"/>
      <c r="S164" s="164"/>
      <c r="T164" s="164"/>
      <c r="U164" s="164"/>
      <c r="V164" s="164"/>
      <c r="W164" s="164"/>
      <c r="X164" s="164"/>
      <c r="Y164" s="164"/>
      <c r="Z164" s="164"/>
      <c r="AA164" s="164"/>
      <c r="AB164" s="164"/>
    </row>
    <row r="165" ht="14.25" customHeight="1">
      <c r="A165" s="607" t="s">
        <v>1490</v>
      </c>
      <c r="B165" s="18"/>
      <c r="C165" s="166"/>
      <c r="D165" s="719"/>
      <c r="E165" s="247"/>
      <c r="F165" s="719"/>
      <c r="G165" s="467"/>
      <c r="H165" s="260"/>
      <c r="I165" s="656"/>
      <c r="J165" s="656"/>
      <c r="K165" s="247"/>
      <c r="L165" s="656"/>
      <c r="M165" s="164"/>
      <c r="N165" s="164"/>
      <c r="O165" s="164"/>
      <c r="P165" s="164"/>
      <c r="Q165" s="164"/>
      <c r="R165" s="164"/>
      <c r="S165" s="164"/>
      <c r="T165" s="164"/>
      <c r="U165" s="164"/>
      <c r="V165" s="164"/>
      <c r="W165" s="164"/>
      <c r="X165" s="164"/>
      <c r="Y165" s="164"/>
      <c r="Z165" s="164"/>
      <c r="AA165" s="164"/>
      <c r="AB165" s="164"/>
    </row>
    <row r="166" ht="14.25" customHeight="1">
      <c r="A166" s="457"/>
      <c r="B166" s="18"/>
      <c r="C166" s="41"/>
      <c r="D166" s="591"/>
      <c r="E166" s="591"/>
      <c r="F166" s="591"/>
      <c r="G166" s="439"/>
      <c r="H166" s="440"/>
      <c r="I166" s="727"/>
      <c r="J166" s="629"/>
      <c r="K166" s="594"/>
      <c r="L166" s="508"/>
      <c r="M166" s="164"/>
      <c r="N166" s="164"/>
      <c r="O166" s="164"/>
      <c r="P166" s="164"/>
      <c r="Q166" s="164"/>
      <c r="R166" s="164"/>
      <c r="S166" s="164"/>
      <c r="T166" s="164"/>
      <c r="U166" s="164"/>
      <c r="V166" s="164"/>
      <c r="W166" s="164"/>
      <c r="X166" s="164"/>
      <c r="Y166" s="164"/>
      <c r="Z166" s="164"/>
      <c r="AA166" s="164"/>
      <c r="AB166" s="164"/>
    </row>
    <row r="167" ht="14.25" customHeight="1">
      <c r="A167" s="457"/>
      <c r="B167" s="18"/>
      <c r="C167" s="119"/>
      <c r="D167" s="707"/>
      <c r="E167" s="247"/>
      <c r="F167" s="707"/>
      <c r="G167" s="467"/>
      <c r="H167" s="692"/>
      <c r="I167" s="727"/>
      <c r="J167" s="633"/>
      <c r="K167" s="499"/>
      <c r="L167" s="508"/>
      <c r="M167" s="164"/>
      <c r="N167" s="164"/>
      <c r="O167" s="164"/>
      <c r="P167" s="164"/>
      <c r="Q167" s="164"/>
      <c r="R167" s="164"/>
      <c r="S167" s="164"/>
      <c r="T167" s="164"/>
      <c r="U167" s="164"/>
      <c r="V167" s="164"/>
      <c r="W167" s="164"/>
      <c r="X167" s="164"/>
      <c r="Y167" s="164"/>
      <c r="Z167" s="164"/>
      <c r="AA167" s="164"/>
      <c r="AB167" s="164"/>
    </row>
    <row r="168" ht="14.25" customHeight="1">
      <c r="A168" s="457"/>
      <c r="B168" s="18"/>
      <c r="C168" s="41"/>
      <c r="D168" s="591"/>
      <c r="E168" s="591"/>
      <c r="F168" s="591"/>
      <c r="G168" s="506"/>
      <c r="H168" s="506"/>
      <c r="I168" s="727"/>
      <c r="J168" s="633"/>
      <c r="K168" s="594"/>
      <c r="L168" s="508"/>
      <c r="M168" s="164"/>
      <c r="N168" s="164"/>
      <c r="O168" s="164"/>
      <c r="P168" s="164"/>
      <c r="Q168" s="164"/>
      <c r="R168" s="164"/>
      <c r="S168" s="164"/>
      <c r="T168" s="164"/>
      <c r="U168" s="164"/>
      <c r="V168" s="164"/>
      <c r="W168" s="164"/>
      <c r="X168" s="164"/>
      <c r="Y168" s="164"/>
      <c r="Z168" s="164"/>
      <c r="AA168" s="164"/>
      <c r="AB168" s="164"/>
    </row>
    <row r="169" ht="14.25" customHeight="1">
      <c r="A169" s="457"/>
      <c r="B169" s="18"/>
      <c r="C169" s="41"/>
      <c r="D169" s="591"/>
      <c r="E169" s="591"/>
      <c r="F169" s="591"/>
      <c r="G169" s="439"/>
      <c r="H169" s="440"/>
      <c r="I169" s="727"/>
      <c r="J169" s="629"/>
      <c r="K169" s="594"/>
      <c r="L169" s="508"/>
      <c r="M169" s="164"/>
      <c r="N169" s="164"/>
      <c r="O169" s="164"/>
      <c r="P169" s="164"/>
      <c r="Q169" s="164"/>
      <c r="R169" s="164"/>
      <c r="S169" s="164"/>
      <c r="T169" s="164"/>
      <c r="U169" s="164"/>
      <c r="V169" s="164"/>
      <c r="W169" s="164"/>
      <c r="X169" s="164"/>
      <c r="Y169" s="164"/>
      <c r="Z169" s="164"/>
      <c r="AA169" s="164"/>
      <c r="AB169" s="164"/>
    </row>
    <row r="170" ht="14.25" customHeight="1">
      <c r="A170" s="457"/>
      <c r="B170" s="18"/>
      <c r="C170" s="119"/>
      <c r="D170" s="707"/>
      <c r="E170" s="247"/>
      <c r="F170" s="707"/>
      <c r="G170" s="467"/>
      <c r="H170" s="692"/>
      <c r="I170" s="727"/>
      <c r="J170" s="633"/>
      <c r="K170" s="499"/>
      <c r="L170" s="508"/>
      <c r="M170" s="164"/>
      <c r="N170" s="164"/>
      <c r="O170" s="164"/>
      <c r="P170" s="164"/>
      <c r="Q170" s="164"/>
      <c r="R170" s="164"/>
      <c r="S170" s="164"/>
      <c r="T170" s="164"/>
      <c r="U170" s="164"/>
      <c r="V170" s="164"/>
      <c r="W170" s="164"/>
      <c r="X170" s="164"/>
      <c r="Y170" s="164"/>
      <c r="Z170" s="164"/>
      <c r="AA170" s="164"/>
      <c r="AB170" s="164"/>
    </row>
    <row r="171" ht="14.25" customHeight="1">
      <c r="A171" s="457"/>
      <c r="B171" s="18"/>
      <c r="C171" s="41"/>
      <c r="D171" s="591"/>
      <c r="E171" s="591"/>
      <c r="F171" s="591"/>
      <c r="G171" s="506"/>
      <c r="H171" s="506"/>
      <c r="I171" s="727"/>
      <c r="J171" s="633"/>
      <c r="K171" s="594"/>
      <c r="L171" s="508"/>
      <c r="M171" s="164"/>
      <c r="N171" s="164"/>
      <c r="O171" s="164"/>
      <c r="P171" s="164"/>
      <c r="Q171" s="164"/>
      <c r="R171" s="164"/>
      <c r="S171" s="164"/>
      <c r="T171" s="164"/>
      <c r="U171" s="164"/>
      <c r="V171" s="164"/>
      <c r="W171" s="164"/>
      <c r="X171" s="164"/>
      <c r="Y171" s="164"/>
      <c r="Z171" s="164"/>
      <c r="AA171" s="164"/>
      <c r="AB171" s="164"/>
    </row>
    <row r="172">
      <c r="A172" s="430"/>
      <c r="B172" s="18"/>
      <c r="C172" s="41"/>
      <c r="D172" s="591"/>
      <c r="E172" s="591"/>
      <c r="F172" s="591"/>
      <c r="G172" s="513"/>
      <c r="H172" s="513"/>
      <c r="I172" s="727"/>
      <c r="J172" s="633"/>
      <c r="K172" s="594"/>
      <c r="L172" s="710"/>
      <c r="M172" s="164"/>
      <c r="N172" s="164"/>
      <c r="O172" s="164"/>
      <c r="P172" s="164"/>
      <c r="Q172" s="164"/>
      <c r="R172" s="164"/>
      <c r="S172" s="164"/>
      <c r="T172" s="164"/>
      <c r="U172" s="164"/>
      <c r="V172" s="164"/>
      <c r="W172" s="164"/>
      <c r="X172" s="164"/>
      <c r="Y172" s="164"/>
      <c r="Z172" s="164"/>
      <c r="AA172" s="164"/>
      <c r="AB172" s="164"/>
    </row>
    <row r="173">
      <c r="A173" s="164"/>
      <c r="B173" s="164"/>
      <c r="C173" s="9"/>
      <c r="D173" s="9"/>
      <c r="E173" s="9"/>
      <c r="F173" s="9"/>
      <c r="G173" s="164"/>
      <c r="H173" s="164"/>
      <c r="I173" s="164"/>
      <c r="J173" s="652"/>
      <c r="K173" s="164"/>
      <c r="L173" s="164"/>
      <c r="M173" s="164"/>
      <c r="N173" s="164"/>
      <c r="O173" s="164"/>
      <c r="P173" s="164"/>
      <c r="Q173" s="164"/>
      <c r="R173" s="164"/>
      <c r="S173" s="164"/>
      <c r="T173" s="164"/>
      <c r="U173" s="164"/>
      <c r="V173" s="164"/>
      <c r="W173" s="164"/>
      <c r="X173" s="164"/>
      <c r="Y173" s="164"/>
      <c r="Z173" s="164"/>
      <c r="AA173" s="164"/>
      <c r="AB173" s="164"/>
    </row>
    <row r="174">
      <c r="A174" s="159" t="s">
        <v>196</v>
      </c>
      <c r="B174" s="164">
        <f>IFERROR(__xludf.DUMMYFUNCTION("COUNTUNIQUE(B8:B163)"),122.0)</f>
        <v>122</v>
      </c>
      <c r="C174" s="9"/>
      <c r="D174" s="9"/>
      <c r="E174" s="9"/>
      <c r="F174" s="9"/>
      <c r="G174" s="164"/>
      <c r="H174" s="164"/>
      <c r="I174" s="164"/>
      <c r="J174" s="652"/>
      <c r="K174" s="164"/>
      <c r="L174" s="164"/>
      <c r="M174" s="164"/>
      <c r="N174" s="164"/>
      <c r="O174" s="164"/>
      <c r="P174" s="164"/>
      <c r="Q174" s="164"/>
      <c r="R174" s="164"/>
      <c r="S174" s="164"/>
      <c r="T174" s="164"/>
      <c r="U174" s="164"/>
      <c r="V174" s="164"/>
      <c r="W174" s="164"/>
      <c r="X174" s="164"/>
      <c r="Y174" s="164"/>
      <c r="Z174" s="164"/>
      <c r="AA174" s="164"/>
      <c r="AB174" s="164"/>
    </row>
    <row r="175">
      <c r="A175" s="164"/>
      <c r="B175" s="164"/>
      <c r="C175" s="9"/>
      <c r="D175" s="9"/>
      <c r="E175" s="9"/>
      <c r="F175" s="9"/>
      <c r="G175" s="164"/>
      <c r="H175" s="164"/>
      <c r="I175" s="164"/>
      <c r="J175" s="652"/>
      <c r="K175" s="164"/>
      <c r="L175" s="164"/>
      <c r="M175" s="164"/>
      <c r="N175" s="164"/>
      <c r="O175" s="164"/>
      <c r="P175" s="164"/>
      <c r="Q175" s="164"/>
      <c r="R175" s="164"/>
      <c r="S175" s="164"/>
      <c r="T175" s="164"/>
      <c r="U175" s="164"/>
      <c r="V175" s="164"/>
      <c r="W175" s="164"/>
      <c r="X175" s="164"/>
      <c r="Y175" s="164"/>
      <c r="Z175" s="164"/>
      <c r="AA175" s="164"/>
      <c r="AB175" s="164"/>
    </row>
    <row r="176">
      <c r="A176" s="164"/>
      <c r="B176" s="164"/>
      <c r="C176" s="9"/>
      <c r="D176" s="9"/>
      <c r="E176" s="9"/>
      <c r="F176" s="9"/>
      <c r="G176" s="164"/>
      <c r="H176" s="164"/>
      <c r="I176" s="164"/>
      <c r="J176" s="652"/>
      <c r="K176" s="164"/>
      <c r="L176" s="164"/>
      <c r="M176" s="164"/>
      <c r="N176" s="164"/>
      <c r="O176" s="164"/>
      <c r="P176" s="164"/>
      <c r="Q176" s="164"/>
      <c r="R176" s="164"/>
      <c r="S176" s="164"/>
      <c r="T176" s="164"/>
      <c r="U176" s="164"/>
      <c r="V176" s="164"/>
      <c r="W176" s="164"/>
      <c r="X176" s="164"/>
      <c r="Y176" s="164"/>
      <c r="Z176" s="164"/>
      <c r="AA176" s="164"/>
      <c r="AB176" s="164"/>
    </row>
    <row r="177">
      <c r="A177" s="164"/>
      <c r="B177" s="164"/>
      <c r="C177" s="9"/>
      <c r="D177" s="9"/>
      <c r="E177" s="9"/>
      <c r="F177" s="9"/>
      <c r="G177" s="164"/>
      <c r="H177" s="164"/>
      <c r="I177" s="164"/>
      <c r="J177" s="652"/>
      <c r="K177" s="164"/>
      <c r="L177" s="164"/>
      <c r="M177" s="164"/>
      <c r="N177" s="164"/>
      <c r="O177" s="164"/>
      <c r="P177" s="164"/>
      <c r="Q177" s="164"/>
      <c r="R177" s="164"/>
      <c r="S177" s="164"/>
      <c r="T177" s="164"/>
      <c r="U177" s="164"/>
      <c r="V177" s="164"/>
      <c r="W177" s="164"/>
      <c r="X177" s="164"/>
      <c r="Y177" s="164"/>
      <c r="Z177" s="164"/>
      <c r="AA177" s="164"/>
      <c r="AB177" s="164"/>
    </row>
    <row r="178">
      <c r="A178" s="164"/>
      <c r="B178" s="164"/>
      <c r="C178" s="9"/>
      <c r="D178" s="9"/>
      <c r="E178" s="9"/>
      <c r="F178" s="9"/>
      <c r="G178" s="164"/>
      <c r="H178" s="164"/>
      <c r="I178" s="164"/>
      <c r="J178" s="652"/>
      <c r="K178" s="164"/>
      <c r="L178" s="164"/>
      <c r="M178" s="164"/>
      <c r="N178" s="164"/>
      <c r="O178" s="164"/>
      <c r="P178" s="164"/>
      <c r="Q178" s="164"/>
      <c r="R178" s="164"/>
      <c r="S178" s="164"/>
      <c r="T178" s="164"/>
      <c r="U178" s="164"/>
      <c r="V178" s="164"/>
      <c r="W178" s="164"/>
      <c r="X178" s="164"/>
      <c r="Y178" s="164"/>
      <c r="Z178" s="164"/>
      <c r="AA178" s="164"/>
      <c r="AB178" s="164"/>
    </row>
    <row r="179">
      <c r="A179" s="164"/>
      <c r="B179" s="164"/>
      <c r="C179" s="9"/>
      <c r="D179" s="9"/>
      <c r="E179" s="9"/>
      <c r="F179" s="9"/>
      <c r="G179" s="164"/>
      <c r="H179" s="164"/>
      <c r="I179" s="164"/>
      <c r="J179" s="652"/>
      <c r="K179" s="164"/>
      <c r="L179" s="164"/>
      <c r="M179" s="164"/>
      <c r="N179" s="164"/>
      <c r="O179" s="164"/>
      <c r="P179" s="164"/>
      <c r="Q179" s="164"/>
      <c r="R179" s="164"/>
      <c r="S179" s="164"/>
      <c r="T179" s="164"/>
      <c r="U179" s="164"/>
      <c r="V179" s="164"/>
      <c r="W179" s="164"/>
      <c r="X179" s="164"/>
      <c r="Y179" s="164"/>
      <c r="Z179" s="164"/>
      <c r="AA179" s="164"/>
      <c r="AB179" s="164"/>
    </row>
    <row r="180">
      <c r="A180" s="164"/>
      <c r="B180" s="164"/>
      <c r="C180" s="9"/>
      <c r="D180" s="9"/>
      <c r="E180" s="9"/>
      <c r="F180" s="9"/>
      <c r="G180" s="164"/>
      <c r="H180" s="164"/>
      <c r="I180" s="164"/>
      <c r="J180" s="652"/>
      <c r="K180" s="164"/>
      <c r="L180" s="164"/>
      <c r="M180" s="164"/>
      <c r="N180" s="164"/>
      <c r="O180" s="164"/>
      <c r="P180" s="164"/>
      <c r="Q180" s="164"/>
      <c r="R180" s="164"/>
      <c r="S180" s="164"/>
      <c r="T180" s="164"/>
      <c r="U180" s="164"/>
      <c r="V180" s="164"/>
      <c r="W180" s="164"/>
      <c r="X180" s="164"/>
      <c r="Y180" s="164"/>
      <c r="Z180" s="164"/>
      <c r="AA180" s="164"/>
      <c r="AB180" s="164"/>
    </row>
    <row r="181">
      <c r="A181" s="164"/>
      <c r="B181" s="164"/>
      <c r="C181" s="32" t="s">
        <v>203</v>
      </c>
      <c r="D181" s="9"/>
      <c r="E181" s="9"/>
      <c r="F181" s="9"/>
      <c r="G181" s="164"/>
      <c r="H181" s="164"/>
      <c r="I181" s="164"/>
      <c r="J181" s="652"/>
      <c r="K181" s="164"/>
      <c r="L181" s="164"/>
      <c r="M181" s="164"/>
      <c r="N181" s="164"/>
      <c r="O181" s="164"/>
      <c r="P181" s="164"/>
      <c r="Q181" s="164"/>
      <c r="R181" s="164"/>
      <c r="S181" s="164"/>
      <c r="T181" s="164"/>
      <c r="U181" s="164"/>
      <c r="V181" s="164"/>
      <c r="W181" s="164"/>
      <c r="X181" s="164"/>
      <c r="Y181" s="164"/>
      <c r="Z181" s="164"/>
      <c r="AA181" s="164"/>
      <c r="AB181" s="164"/>
    </row>
    <row r="182">
      <c r="A182" s="164"/>
      <c r="B182" s="164"/>
      <c r="C182" s="9"/>
      <c r="D182" s="9"/>
      <c r="E182" s="9"/>
      <c r="F182" s="9"/>
      <c r="G182" s="164"/>
      <c r="H182" s="164"/>
      <c r="I182" s="164"/>
      <c r="J182" s="652"/>
      <c r="K182" s="164"/>
      <c r="L182" s="164"/>
      <c r="M182" s="164"/>
      <c r="N182" s="164"/>
      <c r="O182" s="164"/>
      <c r="P182" s="164"/>
      <c r="Q182" s="164"/>
      <c r="R182" s="164"/>
      <c r="S182" s="164"/>
      <c r="T182" s="164"/>
      <c r="U182" s="164"/>
      <c r="V182" s="164"/>
      <c r="W182" s="164"/>
      <c r="X182" s="164"/>
      <c r="Y182" s="164"/>
      <c r="Z182" s="164"/>
      <c r="AA182" s="164"/>
      <c r="AB182" s="164"/>
    </row>
    <row r="183">
      <c r="A183" s="164"/>
      <c r="B183" s="164"/>
      <c r="C183" s="9"/>
      <c r="D183" s="9"/>
      <c r="E183" s="9"/>
      <c r="F183" s="9"/>
      <c r="G183" s="164"/>
      <c r="H183" s="164"/>
      <c r="I183" s="164"/>
      <c r="J183" s="652"/>
      <c r="K183" s="164"/>
      <c r="L183" s="164"/>
      <c r="M183" s="164"/>
      <c r="N183" s="164"/>
      <c r="O183" s="164"/>
      <c r="P183" s="164"/>
      <c r="Q183" s="164"/>
      <c r="R183" s="164"/>
      <c r="S183" s="164"/>
      <c r="T183" s="164"/>
      <c r="U183" s="164"/>
      <c r="V183" s="164"/>
      <c r="W183" s="164"/>
      <c r="X183" s="164"/>
      <c r="Y183" s="164"/>
      <c r="Z183" s="164"/>
      <c r="AA183" s="164"/>
      <c r="AB183" s="164"/>
    </row>
    <row r="184">
      <c r="A184" s="164"/>
      <c r="B184" s="164"/>
      <c r="C184" s="9"/>
      <c r="D184" s="9"/>
      <c r="E184" s="9"/>
      <c r="F184" s="9"/>
      <c r="G184" s="164"/>
      <c r="H184" s="164"/>
      <c r="I184" s="164"/>
      <c r="J184" s="652"/>
      <c r="K184" s="164"/>
      <c r="L184" s="164"/>
      <c r="M184" s="164"/>
      <c r="N184" s="164"/>
      <c r="O184" s="164"/>
      <c r="P184" s="164"/>
      <c r="Q184" s="164"/>
      <c r="R184" s="164"/>
      <c r="S184" s="164"/>
      <c r="T184" s="164"/>
      <c r="U184" s="164"/>
      <c r="V184" s="164"/>
      <c r="W184" s="164"/>
      <c r="X184" s="164"/>
      <c r="Y184" s="164"/>
      <c r="Z184" s="164"/>
      <c r="AA184" s="164"/>
      <c r="AB184" s="164"/>
    </row>
    <row r="185">
      <c r="A185" s="164"/>
      <c r="B185" s="164"/>
      <c r="C185" s="9"/>
      <c r="D185" s="9"/>
      <c r="E185" s="9"/>
      <c r="F185" s="9"/>
      <c r="G185" s="164"/>
      <c r="H185" s="164"/>
      <c r="I185" s="164"/>
      <c r="J185" s="652"/>
      <c r="K185" s="164"/>
      <c r="L185" s="164"/>
      <c r="M185" s="164"/>
      <c r="N185" s="164"/>
      <c r="O185" s="164"/>
      <c r="P185" s="164"/>
      <c r="Q185" s="164"/>
      <c r="R185" s="164"/>
      <c r="S185" s="164"/>
      <c r="T185" s="164"/>
      <c r="U185" s="164"/>
      <c r="V185" s="164"/>
      <c r="W185" s="164"/>
      <c r="X185" s="164"/>
      <c r="Y185" s="164"/>
      <c r="Z185" s="164"/>
      <c r="AA185" s="164"/>
      <c r="AB185" s="164"/>
    </row>
    <row r="186">
      <c r="A186" s="164"/>
      <c r="B186" s="164"/>
      <c r="C186" s="9"/>
      <c r="D186" s="9"/>
      <c r="E186" s="9"/>
      <c r="F186" s="9"/>
      <c r="G186" s="164"/>
      <c r="H186" s="164"/>
      <c r="I186" s="164"/>
      <c r="J186" s="652"/>
      <c r="K186" s="164"/>
      <c r="L186" s="164"/>
      <c r="M186" s="164"/>
      <c r="N186" s="164"/>
      <c r="O186" s="164"/>
      <c r="P186" s="164"/>
      <c r="Q186" s="164"/>
      <c r="R186" s="164"/>
      <c r="S186" s="164"/>
      <c r="T186" s="164"/>
      <c r="U186" s="164"/>
      <c r="V186" s="164"/>
      <c r="W186" s="164"/>
      <c r="X186" s="164"/>
      <c r="Y186" s="164"/>
      <c r="Z186" s="164"/>
      <c r="AA186" s="164"/>
      <c r="AB186" s="164"/>
    </row>
    <row r="187">
      <c r="A187" s="164"/>
      <c r="B187" s="164"/>
      <c r="C187" s="9"/>
      <c r="D187" s="9"/>
      <c r="E187" s="9"/>
      <c r="F187" s="9"/>
      <c r="G187" s="164"/>
      <c r="H187" s="164"/>
      <c r="I187" s="164"/>
      <c r="J187" s="652"/>
      <c r="K187" s="164"/>
      <c r="L187" s="164"/>
      <c r="M187" s="164"/>
      <c r="N187" s="164"/>
      <c r="O187" s="164"/>
      <c r="P187" s="164"/>
      <c r="Q187" s="164"/>
      <c r="R187" s="164"/>
      <c r="S187" s="164"/>
      <c r="T187" s="164"/>
      <c r="U187" s="164"/>
      <c r="V187" s="164"/>
      <c r="W187" s="164"/>
      <c r="X187" s="164"/>
      <c r="Y187" s="164"/>
      <c r="Z187" s="164"/>
      <c r="AA187" s="164"/>
      <c r="AB187" s="164"/>
    </row>
    <row r="188">
      <c r="A188" s="164"/>
      <c r="B188" s="164"/>
      <c r="C188" s="9"/>
      <c r="D188" s="9"/>
      <c r="E188" s="9"/>
      <c r="F188" s="9"/>
      <c r="G188" s="164"/>
      <c r="H188" s="164"/>
      <c r="I188" s="164"/>
      <c r="J188" s="652"/>
      <c r="K188" s="164"/>
      <c r="L188" s="164"/>
      <c r="M188" s="164"/>
      <c r="N188" s="164"/>
      <c r="O188" s="164"/>
      <c r="P188" s="164"/>
      <c r="Q188" s="164"/>
      <c r="R188" s="164"/>
      <c r="S188" s="164"/>
      <c r="T188" s="164"/>
      <c r="U188" s="164"/>
      <c r="V188" s="164"/>
      <c r="W188" s="164"/>
      <c r="X188" s="164"/>
      <c r="Y188" s="164"/>
      <c r="Z188" s="164"/>
      <c r="AA188" s="164"/>
      <c r="AB188" s="164"/>
    </row>
    <row r="189">
      <c r="A189" s="164"/>
      <c r="B189" s="164"/>
      <c r="C189" s="9"/>
      <c r="D189" s="9"/>
      <c r="E189" s="9"/>
      <c r="F189" s="9"/>
      <c r="G189" s="164"/>
      <c r="H189" s="164"/>
      <c r="I189" s="164"/>
      <c r="J189" s="652"/>
      <c r="K189" s="164"/>
      <c r="L189" s="164"/>
      <c r="M189" s="164"/>
      <c r="N189" s="164"/>
      <c r="O189" s="164"/>
      <c r="P189" s="164"/>
      <c r="Q189" s="164"/>
      <c r="R189" s="164"/>
      <c r="S189" s="164"/>
      <c r="T189" s="164"/>
      <c r="U189" s="164"/>
      <c r="V189" s="164"/>
      <c r="W189" s="164"/>
      <c r="X189" s="164"/>
      <c r="Y189" s="164"/>
      <c r="Z189" s="164"/>
      <c r="AA189" s="164"/>
      <c r="AB189" s="164"/>
    </row>
    <row r="190">
      <c r="A190" s="164"/>
      <c r="B190" s="164"/>
      <c r="C190" s="9"/>
      <c r="D190" s="9"/>
      <c r="E190" s="9"/>
      <c r="F190" s="9"/>
      <c r="G190" s="164"/>
      <c r="H190" s="164"/>
      <c r="I190" s="164"/>
      <c r="J190" s="652"/>
      <c r="K190" s="164"/>
      <c r="L190" s="164"/>
      <c r="M190" s="164"/>
      <c r="N190" s="164"/>
      <c r="O190" s="164"/>
      <c r="P190" s="164"/>
      <c r="Q190" s="164"/>
      <c r="R190" s="164"/>
      <c r="S190" s="164"/>
      <c r="T190" s="164"/>
      <c r="U190" s="164"/>
      <c r="V190" s="164"/>
      <c r="W190" s="164"/>
      <c r="X190" s="164"/>
      <c r="Y190" s="164"/>
      <c r="Z190" s="164"/>
      <c r="AA190" s="164"/>
      <c r="AB190" s="164"/>
    </row>
    <row r="191">
      <c r="A191" s="164"/>
      <c r="B191" s="164"/>
      <c r="C191" s="9"/>
      <c r="D191" s="9"/>
      <c r="E191" s="9"/>
      <c r="F191" s="9"/>
      <c r="G191" s="164"/>
      <c r="H191" s="164"/>
      <c r="I191" s="164"/>
      <c r="J191" s="652"/>
      <c r="K191" s="164"/>
      <c r="L191" s="164"/>
      <c r="M191" s="164"/>
      <c r="N191" s="164"/>
      <c r="O191" s="164"/>
      <c r="P191" s="164"/>
      <c r="Q191" s="164"/>
      <c r="R191" s="164"/>
      <c r="S191" s="164"/>
      <c r="T191" s="164"/>
      <c r="U191" s="164"/>
      <c r="V191" s="164"/>
      <c r="W191" s="164"/>
      <c r="X191" s="164"/>
      <c r="Y191" s="164"/>
      <c r="Z191" s="164"/>
      <c r="AA191" s="164"/>
      <c r="AB191" s="164"/>
    </row>
    <row r="192">
      <c r="A192" s="164"/>
      <c r="B192" s="164"/>
      <c r="C192" s="9"/>
      <c r="D192" s="9"/>
      <c r="E192" s="9"/>
      <c r="F192" s="9"/>
      <c r="G192" s="164"/>
      <c r="H192" s="164"/>
      <c r="I192" s="164"/>
      <c r="J192" s="652"/>
      <c r="K192" s="164"/>
      <c r="L192" s="164"/>
      <c r="M192" s="164"/>
      <c r="N192" s="164"/>
      <c r="O192" s="164"/>
      <c r="P192" s="164"/>
      <c r="Q192" s="164"/>
      <c r="R192" s="164"/>
      <c r="S192" s="164"/>
      <c r="T192" s="164"/>
      <c r="U192" s="164"/>
      <c r="V192" s="164"/>
      <c r="W192" s="164"/>
      <c r="X192" s="164"/>
      <c r="Y192" s="164"/>
      <c r="Z192" s="164"/>
      <c r="AA192" s="164"/>
      <c r="AB192" s="164"/>
    </row>
    <row r="193">
      <c r="A193" s="164"/>
      <c r="B193" s="164"/>
      <c r="C193" s="9"/>
      <c r="D193" s="9"/>
      <c r="E193" s="9"/>
      <c r="F193" s="9"/>
      <c r="G193" s="164"/>
      <c r="H193" s="164"/>
      <c r="I193" s="164"/>
      <c r="J193" s="652"/>
      <c r="K193" s="164"/>
      <c r="L193" s="164"/>
      <c r="M193" s="164"/>
      <c r="N193" s="164"/>
      <c r="O193" s="164"/>
      <c r="P193" s="164"/>
      <c r="Q193" s="164"/>
      <c r="R193" s="164"/>
      <c r="S193" s="164"/>
      <c r="T193" s="164"/>
      <c r="U193" s="164"/>
      <c r="V193" s="164"/>
      <c r="W193" s="164"/>
      <c r="X193" s="164"/>
      <c r="Y193" s="164"/>
      <c r="Z193" s="164"/>
      <c r="AA193" s="164"/>
      <c r="AB193" s="164"/>
    </row>
    <row r="194">
      <c r="A194" s="164"/>
      <c r="B194" s="164"/>
      <c r="C194" s="9"/>
      <c r="D194" s="9"/>
      <c r="E194" s="9"/>
      <c r="F194" s="9"/>
      <c r="G194" s="164"/>
      <c r="H194" s="164"/>
      <c r="I194" s="164"/>
      <c r="J194" s="652"/>
      <c r="K194" s="164"/>
      <c r="L194" s="164"/>
      <c r="M194" s="164"/>
      <c r="N194" s="164"/>
      <c r="O194" s="164"/>
      <c r="P194" s="164"/>
      <c r="Q194" s="164"/>
      <c r="R194" s="164"/>
      <c r="S194" s="164"/>
      <c r="T194" s="164"/>
      <c r="U194" s="164"/>
      <c r="V194" s="164"/>
      <c r="W194" s="164"/>
      <c r="X194" s="164"/>
      <c r="Y194" s="164"/>
      <c r="Z194" s="164"/>
      <c r="AA194" s="164"/>
      <c r="AB194" s="164"/>
    </row>
    <row r="195">
      <c r="A195" s="164"/>
      <c r="B195" s="164"/>
      <c r="C195" s="9"/>
      <c r="D195" s="9"/>
      <c r="E195" s="9"/>
      <c r="F195" s="9"/>
      <c r="G195" s="164"/>
      <c r="H195" s="164"/>
      <c r="I195" s="164"/>
      <c r="J195" s="652"/>
      <c r="K195" s="164"/>
      <c r="L195" s="164"/>
      <c r="M195" s="164"/>
      <c r="N195" s="164"/>
      <c r="O195" s="164"/>
      <c r="P195" s="164"/>
      <c r="Q195" s="164"/>
      <c r="R195" s="164"/>
      <c r="S195" s="164"/>
      <c r="T195" s="164"/>
      <c r="U195" s="164"/>
      <c r="V195" s="164"/>
      <c r="W195" s="164"/>
      <c r="X195" s="164"/>
      <c r="Y195" s="164"/>
      <c r="Z195" s="164"/>
      <c r="AA195" s="164"/>
      <c r="AB195" s="164"/>
    </row>
    <row r="196">
      <c r="A196" s="164"/>
      <c r="B196" s="164"/>
      <c r="C196" s="9"/>
      <c r="D196" s="9"/>
      <c r="E196" s="9"/>
      <c r="F196" s="9"/>
      <c r="G196" s="164"/>
      <c r="H196" s="164"/>
      <c r="I196" s="164"/>
      <c r="J196" s="652"/>
      <c r="K196" s="164"/>
      <c r="L196" s="164"/>
      <c r="M196" s="164"/>
      <c r="N196" s="164"/>
      <c r="O196" s="164"/>
      <c r="P196" s="164"/>
      <c r="Q196" s="164"/>
      <c r="R196" s="164"/>
      <c r="S196" s="164"/>
      <c r="T196" s="164"/>
      <c r="U196" s="164"/>
      <c r="V196" s="164"/>
      <c r="W196" s="164"/>
      <c r="X196" s="164"/>
      <c r="Y196" s="164"/>
      <c r="Z196" s="164"/>
      <c r="AA196" s="164"/>
      <c r="AB196" s="164"/>
    </row>
    <row r="197">
      <c r="A197" s="164"/>
      <c r="B197" s="164"/>
      <c r="C197" s="9"/>
      <c r="D197" s="9"/>
      <c r="E197" s="9"/>
      <c r="F197" s="9"/>
      <c r="G197" s="164"/>
      <c r="H197" s="164"/>
      <c r="I197" s="164"/>
      <c r="J197" s="652"/>
      <c r="K197" s="164"/>
      <c r="L197" s="164"/>
      <c r="M197" s="164"/>
      <c r="N197" s="164"/>
      <c r="O197" s="164"/>
      <c r="P197" s="164"/>
      <c r="Q197" s="164"/>
      <c r="R197" s="164"/>
      <c r="S197" s="164"/>
      <c r="T197" s="164"/>
      <c r="U197" s="164"/>
      <c r="V197" s="164"/>
      <c r="W197" s="164"/>
      <c r="X197" s="164"/>
      <c r="Y197" s="164"/>
      <c r="Z197" s="164"/>
      <c r="AA197" s="164"/>
      <c r="AB197" s="164"/>
    </row>
    <row r="198">
      <c r="A198" s="164"/>
      <c r="B198" s="164"/>
      <c r="C198" s="9"/>
      <c r="D198" s="9"/>
      <c r="E198" s="9"/>
      <c r="F198" s="9"/>
      <c r="G198" s="164"/>
      <c r="H198" s="164"/>
      <c r="I198" s="164"/>
      <c r="J198" s="652"/>
      <c r="K198" s="164"/>
      <c r="L198" s="164"/>
      <c r="M198" s="164"/>
      <c r="N198" s="164"/>
      <c r="O198" s="164"/>
      <c r="P198" s="164"/>
      <c r="Q198" s="164"/>
      <c r="R198" s="164"/>
      <c r="S198" s="164"/>
      <c r="T198" s="164"/>
      <c r="U198" s="164"/>
      <c r="V198" s="164"/>
      <c r="W198" s="164"/>
      <c r="X198" s="164"/>
      <c r="Y198" s="164"/>
      <c r="Z198" s="164"/>
      <c r="AA198" s="164"/>
      <c r="AB198" s="164"/>
    </row>
    <row r="199">
      <c r="A199" s="164"/>
      <c r="B199" s="164"/>
      <c r="C199" s="9"/>
      <c r="D199" s="9"/>
      <c r="E199" s="9"/>
      <c r="F199" s="9"/>
      <c r="G199" s="164"/>
      <c r="H199" s="164"/>
      <c r="I199" s="164"/>
      <c r="J199" s="652"/>
      <c r="K199" s="164"/>
      <c r="L199" s="164"/>
      <c r="M199" s="164"/>
      <c r="N199" s="164"/>
      <c r="O199" s="164"/>
      <c r="P199" s="164"/>
      <c r="Q199" s="164"/>
      <c r="R199" s="164"/>
      <c r="S199" s="164"/>
      <c r="T199" s="164"/>
      <c r="U199" s="164"/>
      <c r="V199" s="164"/>
      <c r="W199" s="164"/>
      <c r="X199" s="164"/>
      <c r="Y199" s="164"/>
      <c r="Z199" s="164"/>
      <c r="AA199" s="164"/>
      <c r="AB199" s="164"/>
    </row>
    <row r="200">
      <c r="A200" s="164"/>
      <c r="B200" s="164"/>
      <c r="C200" s="9"/>
      <c r="D200" s="9"/>
      <c r="E200" s="9"/>
      <c r="F200" s="9"/>
      <c r="G200" s="164"/>
      <c r="H200" s="164"/>
      <c r="I200" s="164"/>
      <c r="J200" s="652"/>
      <c r="K200" s="164"/>
      <c r="L200" s="164"/>
      <c r="M200" s="164"/>
      <c r="N200" s="164"/>
      <c r="O200" s="164"/>
      <c r="P200" s="164"/>
      <c r="Q200" s="164"/>
      <c r="R200" s="164"/>
      <c r="S200" s="164"/>
      <c r="T200" s="164"/>
      <c r="U200" s="164"/>
      <c r="V200" s="164"/>
      <c r="W200" s="164"/>
      <c r="X200" s="164"/>
      <c r="Y200" s="164"/>
      <c r="Z200" s="164"/>
      <c r="AA200" s="164"/>
      <c r="AB200" s="164"/>
    </row>
    <row r="201">
      <c r="A201" s="164"/>
      <c r="B201" s="164"/>
      <c r="C201" s="9"/>
      <c r="D201" s="9"/>
      <c r="E201" s="9"/>
      <c r="F201" s="9"/>
      <c r="G201" s="164"/>
      <c r="H201" s="164"/>
      <c r="I201" s="164"/>
      <c r="J201" s="652"/>
      <c r="K201" s="164"/>
      <c r="L201" s="164"/>
      <c r="M201" s="164"/>
      <c r="N201" s="164"/>
      <c r="O201" s="164"/>
      <c r="P201" s="164"/>
      <c r="Q201" s="164"/>
      <c r="R201" s="164"/>
      <c r="S201" s="164"/>
      <c r="T201" s="164"/>
      <c r="U201" s="164"/>
      <c r="V201" s="164"/>
      <c r="W201" s="164"/>
      <c r="X201" s="164"/>
      <c r="Y201" s="164"/>
      <c r="Z201" s="164"/>
      <c r="AA201" s="164"/>
      <c r="AB201" s="164"/>
    </row>
    <row r="202">
      <c r="A202" s="164"/>
      <c r="B202" s="164"/>
      <c r="C202" s="9"/>
      <c r="D202" s="9"/>
      <c r="E202" s="9"/>
      <c r="F202" s="9"/>
      <c r="G202" s="164"/>
      <c r="H202" s="164"/>
      <c r="I202" s="164"/>
      <c r="J202" s="652"/>
      <c r="K202" s="164"/>
      <c r="L202" s="164"/>
      <c r="M202" s="164"/>
      <c r="N202" s="164"/>
      <c r="O202" s="164"/>
      <c r="P202" s="164"/>
      <c r="Q202" s="164"/>
      <c r="R202" s="164"/>
      <c r="S202" s="164"/>
      <c r="T202" s="164"/>
      <c r="U202" s="164"/>
      <c r="V202" s="164"/>
      <c r="W202" s="164"/>
      <c r="X202" s="164"/>
      <c r="Y202" s="164"/>
      <c r="Z202" s="164"/>
      <c r="AA202" s="164"/>
      <c r="AB202" s="164"/>
    </row>
    <row r="203">
      <c r="A203" s="164"/>
      <c r="B203" s="164"/>
      <c r="C203" s="9"/>
      <c r="D203" s="9"/>
      <c r="E203" s="9"/>
      <c r="F203" s="9"/>
      <c r="G203" s="164"/>
      <c r="H203" s="164"/>
      <c r="I203" s="164"/>
      <c r="J203" s="652"/>
      <c r="K203" s="164"/>
      <c r="L203" s="164"/>
      <c r="M203" s="164"/>
      <c r="N203" s="164"/>
      <c r="O203" s="164"/>
      <c r="P203" s="164"/>
      <c r="Q203" s="164"/>
      <c r="R203" s="164"/>
      <c r="S203" s="164"/>
      <c r="T203" s="164"/>
      <c r="U203" s="164"/>
      <c r="V203" s="164"/>
      <c r="W203" s="164"/>
      <c r="X203" s="164"/>
      <c r="Y203" s="164"/>
      <c r="Z203" s="164"/>
      <c r="AA203" s="164"/>
      <c r="AB203" s="164"/>
    </row>
    <row r="204">
      <c r="A204" s="164"/>
      <c r="B204" s="164"/>
      <c r="C204" s="9"/>
      <c r="D204" s="9"/>
      <c r="E204" s="9"/>
      <c r="F204" s="9"/>
      <c r="G204" s="164"/>
      <c r="H204" s="164"/>
      <c r="I204" s="164"/>
      <c r="J204" s="652"/>
      <c r="K204" s="164"/>
      <c r="L204" s="164"/>
      <c r="M204" s="164"/>
      <c r="N204" s="164"/>
      <c r="O204" s="164"/>
      <c r="P204" s="164"/>
      <c r="Q204" s="164"/>
      <c r="R204" s="164"/>
      <c r="S204" s="164"/>
      <c r="T204" s="164"/>
      <c r="U204" s="164"/>
      <c r="V204" s="164"/>
      <c r="W204" s="164"/>
      <c r="X204" s="164"/>
      <c r="Y204" s="164"/>
      <c r="Z204" s="164"/>
      <c r="AA204" s="164"/>
      <c r="AB204" s="164"/>
    </row>
    <row r="205">
      <c r="A205" s="164"/>
      <c r="B205" s="164"/>
      <c r="C205" s="9"/>
      <c r="D205" s="9"/>
      <c r="E205" s="9"/>
      <c r="F205" s="9"/>
      <c r="G205" s="164"/>
      <c r="H205" s="164"/>
      <c r="I205" s="164"/>
      <c r="J205" s="652"/>
      <c r="K205" s="164"/>
      <c r="L205" s="164"/>
      <c r="M205" s="164"/>
      <c r="N205" s="164"/>
      <c r="O205" s="164"/>
      <c r="P205" s="164"/>
      <c r="Q205" s="164"/>
      <c r="R205" s="164"/>
      <c r="S205" s="164"/>
      <c r="T205" s="164"/>
      <c r="U205" s="164"/>
      <c r="V205" s="164"/>
      <c r="W205" s="164"/>
      <c r="X205" s="164"/>
      <c r="Y205" s="164"/>
      <c r="Z205" s="164"/>
      <c r="AA205" s="164"/>
      <c r="AB205" s="164"/>
    </row>
    <row r="206">
      <c r="A206" s="164"/>
      <c r="B206" s="164"/>
      <c r="C206" s="9"/>
      <c r="D206" s="9"/>
      <c r="E206" s="9"/>
      <c r="F206" s="9"/>
      <c r="G206" s="164"/>
      <c r="H206" s="164"/>
      <c r="I206" s="164"/>
      <c r="J206" s="652"/>
      <c r="K206" s="164"/>
      <c r="L206" s="164"/>
      <c r="M206" s="164"/>
      <c r="N206" s="164"/>
      <c r="O206" s="164"/>
      <c r="P206" s="164"/>
      <c r="Q206" s="164"/>
      <c r="R206" s="164"/>
      <c r="S206" s="164"/>
      <c r="T206" s="164"/>
      <c r="U206" s="164"/>
      <c r="V206" s="164"/>
      <c r="W206" s="164"/>
      <c r="X206" s="164"/>
      <c r="Y206" s="164"/>
      <c r="Z206" s="164"/>
      <c r="AA206" s="164"/>
      <c r="AB206" s="164"/>
    </row>
    <row r="207">
      <c r="A207" s="164"/>
      <c r="B207" s="164"/>
      <c r="C207" s="9"/>
      <c r="D207" s="9"/>
      <c r="E207" s="9"/>
      <c r="F207" s="9"/>
      <c r="G207" s="164"/>
      <c r="H207" s="164"/>
      <c r="I207" s="164"/>
      <c r="J207" s="652"/>
      <c r="K207" s="164"/>
      <c r="L207" s="164"/>
      <c r="M207" s="164"/>
      <c r="N207" s="164"/>
      <c r="O207" s="164"/>
      <c r="P207" s="164"/>
      <c r="Q207" s="164"/>
      <c r="R207" s="164"/>
      <c r="S207" s="164"/>
      <c r="T207" s="164"/>
      <c r="U207" s="164"/>
      <c r="V207" s="164"/>
      <c r="W207" s="164"/>
      <c r="X207" s="164"/>
      <c r="Y207" s="164"/>
      <c r="Z207" s="164"/>
      <c r="AA207" s="164"/>
      <c r="AB207" s="164"/>
    </row>
    <row r="208">
      <c r="A208" s="164"/>
      <c r="B208" s="164"/>
      <c r="C208" s="9"/>
      <c r="D208" s="9"/>
      <c r="E208" s="9"/>
      <c r="F208" s="9"/>
      <c r="G208" s="164"/>
      <c r="H208" s="164"/>
      <c r="I208" s="164"/>
      <c r="J208" s="652"/>
      <c r="K208" s="164"/>
      <c r="L208" s="164"/>
      <c r="M208" s="164"/>
      <c r="N208" s="164"/>
      <c r="O208" s="164"/>
      <c r="P208" s="164"/>
      <c r="Q208" s="164"/>
      <c r="R208" s="164"/>
      <c r="S208" s="164"/>
      <c r="T208" s="164"/>
      <c r="U208" s="164"/>
      <c r="V208" s="164"/>
      <c r="W208" s="164"/>
      <c r="X208" s="164"/>
      <c r="Y208" s="164"/>
      <c r="Z208" s="164"/>
      <c r="AA208" s="164"/>
      <c r="AB208" s="164"/>
    </row>
    <row r="209">
      <c r="A209" s="164"/>
      <c r="B209" s="164"/>
      <c r="C209" s="9"/>
      <c r="D209" s="9"/>
      <c r="E209" s="9"/>
      <c r="F209" s="9"/>
      <c r="G209" s="164"/>
      <c r="H209" s="164"/>
      <c r="I209" s="164"/>
      <c r="J209" s="652"/>
      <c r="K209" s="164"/>
      <c r="L209" s="164"/>
      <c r="M209" s="164"/>
      <c r="N209" s="164"/>
      <c r="O209" s="164"/>
      <c r="P209" s="164"/>
      <c r="Q209" s="164"/>
      <c r="R209" s="164"/>
      <c r="S209" s="164"/>
      <c r="T209" s="164"/>
      <c r="U209" s="164"/>
      <c r="V209" s="164"/>
      <c r="W209" s="164"/>
      <c r="X209" s="164"/>
      <c r="Y209" s="164"/>
      <c r="Z209" s="164"/>
      <c r="AA209" s="164"/>
      <c r="AB209" s="164"/>
    </row>
    <row r="210">
      <c r="A210" s="164"/>
      <c r="B210" s="164"/>
      <c r="C210" s="9"/>
      <c r="D210" s="9"/>
      <c r="E210" s="9"/>
      <c r="F210" s="9"/>
      <c r="G210" s="164"/>
      <c r="H210" s="164"/>
      <c r="I210" s="164"/>
      <c r="J210" s="652"/>
      <c r="K210" s="164"/>
      <c r="L210" s="164"/>
      <c r="M210" s="164"/>
      <c r="N210" s="164"/>
      <c r="O210" s="164"/>
      <c r="P210" s="164"/>
      <c r="Q210" s="164"/>
      <c r="R210" s="164"/>
      <c r="S210" s="164"/>
      <c r="T210" s="164"/>
      <c r="U210" s="164"/>
      <c r="V210" s="164"/>
      <c r="W210" s="164"/>
      <c r="X210" s="164"/>
      <c r="Y210" s="164"/>
      <c r="Z210" s="164"/>
      <c r="AA210" s="164"/>
      <c r="AB210" s="164"/>
    </row>
    <row r="211">
      <c r="A211" s="164"/>
      <c r="B211" s="164"/>
      <c r="C211" s="9"/>
      <c r="D211" s="9"/>
      <c r="E211" s="9"/>
      <c r="F211" s="9"/>
      <c r="G211" s="164"/>
      <c r="H211" s="164"/>
      <c r="I211" s="164"/>
      <c r="J211" s="652"/>
      <c r="K211" s="164"/>
      <c r="L211" s="164"/>
      <c r="M211" s="164"/>
      <c r="N211" s="164"/>
      <c r="O211" s="164"/>
      <c r="P211" s="164"/>
      <c r="Q211" s="164"/>
      <c r="R211" s="164"/>
      <c r="S211" s="164"/>
      <c r="T211" s="164"/>
      <c r="U211" s="164"/>
      <c r="V211" s="164"/>
      <c r="W211" s="164"/>
      <c r="X211" s="164"/>
      <c r="Y211" s="164"/>
      <c r="Z211" s="164"/>
      <c r="AA211" s="164"/>
      <c r="AB211" s="164"/>
    </row>
    <row r="212">
      <c r="A212" s="164"/>
      <c r="B212" s="164"/>
      <c r="C212" s="9"/>
      <c r="D212" s="9"/>
      <c r="E212" s="9"/>
      <c r="F212" s="9"/>
      <c r="G212" s="164"/>
      <c r="H212" s="164"/>
      <c r="I212" s="164"/>
      <c r="J212" s="652"/>
      <c r="K212" s="164"/>
      <c r="L212" s="164"/>
      <c r="M212" s="164"/>
      <c r="N212" s="164"/>
      <c r="O212" s="164"/>
      <c r="P212" s="164"/>
      <c r="Q212" s="164"/>
      <c r="R212" s="164"/>
      <c r="S212" s="164"/>
      <c r="T212" s="164"/>
      <c r="U212" s="164"/>
      <c r="V212" s="164"/>
      <c r="W212" s="164"/>
      <c r="X212" s="164"/>
      <c r="Y212" s="164"/>
      <c r="Z212" s="164"/>
      <c r="AA212" s="164"/>
      <c r="AB212" s="164"/>
    </row>
    <row r="213">
      <c r="A213" s="164"/>
      <c r="B213" s="164"/>
      <c r="C213" s="9"/>
      <c r="D213" s="9"/>
      <c r="E213" s="9"/>
      <c r="F213" s="9"/>
      <c r="G213" s="164"/>
      <c r="H213" s="164"/>
      <c r="I213" s="164"/>
      <c r="J213" s="652"/>
      <c r="K213" s="164"/>
      <c r="L213" s="164"/>
      <c r="M213" s="164"/>
      <c r="N213" s="164"/>
      <c r="O213" s="164"/>
      <c r="P213" s="164"/>
      <c r="Q213" s="164"/>
      <c r="R213" s="164"/>
      <c r="S213" s="164"/>
      <c r="T213" s="164"/>
      <c r="U213" s="164"/>
      <c r="V213" s="164"/>
      <c r="W213" s="164"/>
      <c r="X213" s="164"/>
      <c r="Y213" s="164"/>
      <c r="Z213" s="164"/>
      <c r="AA213" s="164"/>
      <c r="AB213" s="164"/>
    </row>
    <row r="214">
      <c r="A214" s="164"/>
      <c r="B214" s="164"/>
      <c r="C214" s="9"/>
      <c r="D214" s="9"/>
      <c r="E214" s="9"/>
      <c r="F214" s="9"/>
      <c r="G214" s="164"/>
      <c r="H214" s="164"/>
      <c r="I214" s="164"/>
      <c r="J214" s="652"/>
      <c r="K214" s="164"/>
      <c r="L214" s="164"/>
      <c r="M214" s="164"/>
      <c r="N214" s="164"/>
      <c r="O214" s="164"/>
      <c r="P214" s="164"/>
      <c r="Q214" s="164"/>
      <c r="R214" s="164"/>
      <c r="S214" s="164"/>
      <c r="T214" s="164"/>
      <c r="U214" s="164"/>
      <c r="V214" s="164"/>
      <c r="W214" s="164"/>
      <c r="X214" s="164"/>
      <c r="Y214" s="164"/>
      <c r="Z214" s="164"/>
      <c r="AA214" s="164"/>
      <c r="AB214" s="164"/>
    </row>
    <row r="215">
      <c r="A215" s="164"/>
      <c r="B215" s="164"/>
      <c r="C215" s="9"/>
      <c r="D215" s="9"/>
      <c r="E215" s="9"/>
      <c r="F215" s="9"/>
      <c r="G215" s="164"/>
      <c r="H215" s="164"/>
      <c r="I215" s="164"/>
      <c r="J215" s="652"/>
      <c r="K215" s="164"/>
      <c r="L215" s="164"/>
      <c r="M215" s="164"/>
      <c r="N215" s="164"/>
      <c r="O215" s="164"/>
      <c r="P215" s="164"/>
      <c r="Q215" s="164"/>
      <c r="R215" s="164"/>
      <c r="S215" s="164"/>
      <c r="T215" s="164"/>
      <c r="U215" s="164"/>
      <c r="V215" s="164"/>
      <c r="W215" s="164"/>
      <c r="X215" s="164"/>
      <c r="Y215" s="164"/>
      <c r="Z215" s="164"/>
      <c r="AA215" s="164"/>
      <c r="AB215" s="164"/>
    </row>
    <row r="216">
      <c r="A216" s="164"/>
      <c r="B216" s="164"/>
      <c r="C216" s="9"/>
      <c r="D216" s="9"/>
      <c r="E216" s="9"/>
      <c r="F216" s="9"/>
      <c r="G216" s="164"/>
      <c r="H216" s="164"/>
      <c r="I216" s="164"/>
      <c r="J216" s="652"/>
      <c r="K216" s="164"/>
      <c r="L216" s="164"/>
      <c r="M216" s="164"/>
      <c r="N216" s="164"/>
      <c r="O216" s="164"/>
      <c r="P216" s="164"/>
      <c r="Q216" s="164"/>
      <c r="R216" s="164"/>
      <c r="S216" s="164"/>
      <c r="T216" s="164"/>
      <c r="U216" s="164"/>
      <c r="V216" s="164"/>
      <c r="W216" s="164"/>
      <c r="X216" s="164"/>
      <c r="Y216" s="164"/>
      <c r="Z216" s="164"/>
      <c r="AA216" s="164"/>
      <c r="AB216" s="164"/>
    </row>
    <row r="217">
      <c r="A217" s="164"/>
      <c r="B217" s="164"/>
      <c r="C217" s="9"/>
      <c r="D217" s="9"/>
      <c r="E217" s="9"/>
      <c r="F217" s="9"/>
      <c r="G217" s="164"/>
      <c r="H217" s="164"/>
      <c r="I217" s="164"/>
      <c r="J217" s="652"/>
      <c r="K217" s="164"/>
      <c r="L217" s="164"/>
      <c r="M217" s="164"/>
      <c r="N217" s="164"/>
      <c r="O217" s="164"/>
      <c r="P217" s="164"/>
      <c r="Q217" s="164"/>
      <c r="R217" s="164"/>
      <c r="S217" s="164"/>
      <c r="T217" s="164"/>
      <c r="U217" s="164"/>
      <c r="V217" s="164"/>
      <c r="W217" s="164"/>
      <c r="X217" s="164"/>
      <c r="Y217" s="164"/>
      <c r="Z217" s="164"/>
      <c r="AA217" s="164"/>
      <c r="AB217" s="164"/>
    </row>
    <row r="218">
      <c r="A218" s="164"/>
      <c r="B218" s="164"/>
      <c r="C218" s="9"/>
      <c r="D218" s="9"/>
      <c r="E218" s="9"/>
      <c r="F218" s="9"/>
      <c r="G218" s="164"/>
      <c r="H218" s="164"/>
      <c r="I218" s="164"/>
      <c r="J218" s="652"/>
      <c r="K218" s="164"/>
      <c r="L218" s="164"/>
      <c r="M218" s="164"/>
      <c r="N218" s="164"/>
      <c r="O218" s="164"/>
      <c r="P218" s="164"/>
      <c r="Q218" s="164"/>
      <c r="R218" s="164"/>
      <c r="S218" s="164"/>
      <c r="T218" s="164"/>
      <c r="U218" s="164"/>
      <c r="V218" s="164"/>
      <c r="W218" s="164"/>
      <c r="X218" s="164"/>
      <c r="Y218" s="164"/>
      <c r="Z218" s="164"/>
      <c r="AA218" s="164"/>
      <c r="AB218" s="164"/>
    </row>
    <row r="219">
      <c r="A219" s="164"/>
      <c r="B219" s="164"/>
      <c r="C219" s="9"/>
      <c r="D219" s="9"/>
      <c r="E219" s="9"/>
      <c r="F219" s="9"/>
      <c r="G219" s="164"/>
      <c r="H219" s="164"/>
      <c r="I219" s="164"/>
      <c r="J219" s="652"/>
      <c r="K219" s="164"/>
      <c r="L219" s="164"/>
      <c r="M219" s="164"/>
      <c r="N219" s="164"/>
      <c r="O219" s="164"/>
      <c r="P219" s="164"/>
      <c r="Q219" s="164"/>
      <c r="R219" s="164"/>
      <c r="S219" s="164"/>
      <c r="T219" s="164"/>
      <c r="U219" s="164"/>
      <c r="V219" s="164"/>
      <c r="W219" s="164"/>
      <c r="X219" s="164"/>
      <c r="Y219" s="164"/>
      <c r="Z219" s="164"/>
      <c r="AA219" s="164"/>
      <c r="AB219" s="164"/>
    </row>
    <row r="220">
      <c r="A220" s="164"/>
      <c r="B220" s="164"/>
      <c r="C220" s="9"/>
      <c r="D220" s="9"/>
      <c r="E220" s="9"/>
      <c r="F220" s="9"/>
      <c r="G220" s="164"/>
      <c r="H220" s="164"/>
      <c r="I220" s="164"/>
      <c r="J220" s="652"/>
      <c r="K220" s="164"/>
      <c r="L220" s="164"/>
      <c r="M220" s="164"/>
      <c r="N220" s="164"/>
      <c r="O220" s="164"/>
      <c r="P220" s="164"/>
      <c r="Q220" s="164"/>
      <c r="R220" s="164"/>
      <c r="S220" s="164"/>
      <c r="T220" s="164"/>
      <c r="U220" s="164"/>
      <c r="V220" s="164"/>
      <c r="W220" s="164"/>
      <c r="X220" s="164"/>
      <c r="Y220" s="164"/>
      <c r="Z220" s="164"/>
      <c r="AA220" s="164"/>
      <c r="AB220" s="164"/>
    </row>
    <row r="221">
      <c r="A221" s="164"/>
      <c r="B221" s="164"/>
      <c r="C221" s="9"/>
      <c r="D221" s="9"/>
      <c r="E221" s="9"/>
      <c r="F221" s="9"/>
      <c r="G221" s="164"/>
      <c r="H221" s="164"/>
      <c r="I221" s="164"/>
      <c r="J221" s="652"/>
      <c r="K221" s="164"/>
      <c r="L221" s="164"/>
      <c r="M221" s="164"/>
      <c r="N221" s="164"/>
      <c r="O221" s="164"/>
      <c r="P221" s="164"/>
      <c r="Q221" s="164"/>
      <c r="R221" s="164"/>
      <c r="S221" s="164"/>
      <c r="T221" s="164"/>
      <c r="U221" s="164"/>
      <c r="V221" s="164"/>
      <c r="W221" s="164"/>
      <c r="X221" s="164"/>
      <c r="Y221" s="164"/>
      <c r="Z221" s="164"/>
      <c r="AA221" s="164"/>
      <c r="AB221" s="164"/>
    </row>
    <row r="222">
      <c r="A222" s="164"/>
      <c r="B222" s="164"/>
      <c r="C222" s="9"/>
      <c r="D222" s="9"/>
      <c r="E222" s="9"/>
      <c r="F222" s="9"/>
      <c r="G222" s="164"/>
      <c r="H222" s="164"/>
      <c r="I222" s="164"/>
      <c r="J222" s="652"/>
      <c r="K222" s="164"/>
      <c r="L222" s="164"/>
      <c r="M222" s="164"/>
      <c r="N222" s="164"/>
      <c r="O222" s="164"/>
      <c r="P222" s="164"/>
      <c r="Q222" s="164"/>
      <c r="R222" s="164"/>
      <c r="S222" s="164"/>
      <c r="T222" s="164"/>
      <c r="U222" s="164"/>
      <c r="V222" s="164"/>
      <c r="W222" s="164"/>
      <c r="X222" s="164"/>
      <c r="Y222" s="164"/>
      <c r="Z222" s="164"/>
      <c r="AA222" s="164"/>
      <c r="AB222" s="164"/>
    </row>
    <row r="223">
      <c r="A223" s="164"/>
      <c r="B223" s="164"/>
      <c r="C223" s="9"/>
      <c r="D223" s="9"/>
      <c r="E223" s="9"/>
      <c r="F223" s="9"/>
      <c r="G223" s="164"/>
      <c r="H223" s="164"/>
      <c r="I223" s="164"/>
      <c r="J223" s="652"/>
      <c r="K223" s="164"/>
      <c r="L223" s="164"/>
      <c r="M223" s="164"/>
      <c r="N223" s="164"/>
      <c r="O223" s="164"/>
      <c r="P223" s="164"/>
      <c r="Q223" s="164"/>
      <c r="R223" s="164"/>
      <c r="S223" s="164"/>
      <c r="T223" s="164"/>
      <c r="U223" s="164"/>
      <c r="V223" s="164"/>
      <c r="W223" s="164"/>
      <c r="X223" s="164"/>
      <c r="Y223" s="164"/>
      <c r="Z223" s="164"/>
      <c r="AA223" s="164"/>
      <c r="AB223" s="164"/>
    </row>
    <row r="224">
      <c r="A224" s="164"/>
      <c r="B224" s="164"/>
      <c r="C224" s="9"/>
      <c r="D224" s="9"/>
      <c r="E224" s="9"/>
      <c r="F224" s="9"/>
      <c r="G224" s="164"/>
      <c r="H224" s="164"/>
      <c r="I224" s="164"/>
      <c r="J224" s="652"/>
      <c r="K224" s="164"/>
      <c r="L224" s="164"/>
      <c r="M224" s="164"/>
      <c r="N224" s="164"/>
      <c r="O224" s="164"/>
      <c r="P224" s="164"/>
      <c r="Q224" s="164"/>
      <c r="R224" s="164"/>
      <c r="S224" s="164"/>
      <c r="T224" s="164"/>
      <c r="U224" s="164"/>
      <c r="V224" s="164"/>
      <c r="W224" s="164"/>
      <c r="X224" s="164"/>
      <c r="Y224" s="164"/>
      <c r="Z224" s="164"/>
      <c r="AA224" s="164"/>
      <c r="AB224" s="164"/>
    </row>
    <row r="225">
      <c r="A225" s="164"/>
      <c r="B225" s="164"/>
      <c r="C225" s="9"/>
      <c r="D225" s="9"/>
      <c r="E225" s="9"/>
      <c r="F225" s="9"/>
      <c r="G225" s="164"/>
      <c r="H225" s="164"/>
      <c r="I225" s="164"/>
      <c r="J225" s="652"/>
      <c r="K225" s="164"/>
      <c r="L225" s="164"/>
      <c r="M225" s="164"/>
      <c r="N225" s="164"/>
      <c r="O225" s="164"/>
      <c r="P225" s="164"/>
      <c r="Q225" s="164"/>
      <c r="R225" s="164"/>
      <c r="S225" s="164"/>
      <c r="T225" s="164"/>
      <c r="U225" s="164"/>
      <c r="V225" s="164"/>
      <c r="W225" s="164"/>
      <c r="X225" s="164"/>
      <c r="Y225" s="164"/>
      <c r="Z225" s="164"/>
      <c r="AA225" s="164"/>
      <c r="AB225" s="164"/>
    </row>
    <row r="226">
      <c r="A226" s="164"/>
      <c r="B226" s="164"/>
      <c r="C226" s="9"/>
      <c r="D226" s="9"/>
      <c r="E226" s="9"/>
      <c r="F226" s="9"/>
      <c r="G226" s="164"/>
      <c r="H226" s="164"/>
      <c r="I226" s="164"/>
      <c r="J226" s="652"/>
      <c r="K226" s="164"/>
      <c r="L226" s="164"/>
      <c r="M226" s="164"/>
      <c r="N226" s="164"/>
      <c r="O226" s="164"/>
      <c r="P226" s="164"/>
      <c r="Q226" s="164"/>
      <c r="R226" s="164"/>
      <c r="S226" s="164"/>
      <c r="T226" s="164"/>
      <c r="U226" s="164"/>
      <c r="V226" s="164"/>
      <c r="W226" s="164"/>
      <c r="X226" s="164"/>
      <c r="Y226" s="164"/>
      <c r="Z226" s="164"/>
      <c r="AA226" s="164"/>
      <c r="AB226" s="164"/>
    </row>
    <row r="227">
      <c r="A227" s="164"/>
      <c r="B227" s="164"/>
      <c r="C227" s="9"/>
      <c r="D227" s="9"/>
      <c r="E227" s="9"/>
      <c r="F227" s="9"/>
      <c r="G227" s="164"/>
      <c r="H227" s="164"/>
      <c r="I227" s="164"/>
      <c r="J227" s="652"/>
      <c r="K227" s="164"/>
      <c r="L227" s="164"/>
      <c r="M227" s="164"/>
      <c r="N227" s="164"/>
      <c r="O227" s="164"/>
      <c r="P227" s="164"/>
      <c r="Q227" s="164"/>
      <c r="R227" s="164"/>
      <c r="S227" s="164"/>
      <c r="T227" s="164"/>
      <c r="U227" s="164"/>
      <c r="V227" s="164"/>
      <c r="W227" s="164"/>
      <c r="X227" s="164"/>
      <c r="Y227" s="164"/>
      <c r="Z227" s="164"/>
      <c r="AA227" s="164"/>
      <c r="AB227" s="164"/>
    </row>
    <row r="228">
      <c r="A228" s="164"/>
      <c r="B228" s="164"/>
      <c r="C228" s="9"/>
      <c r="D228" s="9"/>
      <c r="E228" s="9"/>
      <c r="F228" s="9"/>
      <c r="G228" s="164"/>
      <c r="H228" s="164"/>
      <c r="I228" s="164"/>
      <c r="J228" s="652"/>
      <c r="K228" s="164"/>
      <c r="L228" s="164"/>
      <c r="M228" s="164"/>
      <c r="N228" s="164"/>
      <c r="O228" s="164"/>
      <c r="P228" s="164"/>
      <c r="Q228" s="164"/>
      <c r="R228" s="164"/>
      <c r="S228" s="164"/>
      <c r="T228" s="164"/>
      <c r="U228" s="164"/>
      <c r="V228" s="164"/>
      <c r="W228" s="164"/>
      <c r="X228" s="164"/>
      <c r="Y228" s="164"/>
      <c r="Z228" s="164"/>
      <c r="AA228" s="164"/>
      <c r="AB228" s="164"/>
    </row>
    <row r="229">
      <c r="A229" s="164"/>
      <c r="B229" s="164"/>
      <c r="C229" s="9"/>
      <c r="D229" s="9"/>
      <c r="E229" s="9"/>
      <c r="F229" s="9"/>
      <c r="G229" s="164"/>
      <c r="H229" s="164"/>
      <c r="I229" s="164"/>
      <c r="J229" s="652"/>
      <c r="K229" s="164"/>
      <c r="L229" s="164"/>
      <c r="M229" s="164"/>
      <c r="N229" s="164"/>
      <c r="O229" s="164"/>
      <c r="P229" s="164"/>
      <c r="Q229" s="164"/>
      <c r="R229" s="164"/>
      <c r="S229" s="164"/>
      <c r="T229" s="164"/>
      <c r="U229" s="164"/>
      <c r="V229" s="164"/>
      <c r="W229" s="164"/>
      <c r="X229" s="164"/>
      <c r="Y229" s="164"/>
      <c r="Z229" s="164"/>
      <c r="AA229" s="164"/>
      <c r="AB229" s="164"/>
    </row>
    <row r="230">
      <c r="A230" s="164"/>
      <c r="B230" s="164"/>
      <c r="C230" s="9"/>
      <c r="D230" s="9"/>
      <c r="E230" s="9"/>
      <c r="F230" s="9"/>
      <c r="G230" s="164"/>
      <c r="H230" s="164"/>
      <c r="I230" s="164"/>
      <c r="J230" s="652"/>
      <c r="K230" s="164"/>
      <c r="L230" s="164"/>
      <c r="M230" s="164"/>
      <c r="N230" s="164"/>
      <c r="O230" s="164"/>
      <c r="P230" s="164"/>
      <c r="Q230" s="164"/>
      <c r="R230" s="164"/>
      <c r="S230" s="164"/>
      <c r="T230" s="164"/>
      <c r="U230" s="164"/>
      <c r="V230" s="164"/>
      <c r="W230" s="164"/>
      <c r="X230" s="164"/>
      <c r="Y230" s="164"/>
      <c r="Z230" s="164"/>
      <c r="AA230" s="164"/>
      <c r="AB230" s="164"/>
    </row>
    <row r="231">
      <c r="A231" s="164"/>
      <c r="B231" s="164"/>
      <c r="C231" s="9"/>
      <c r="D231" s="9"/>
      <c r="E231" s="9"/>
      <c r="F231" s="9"/>
      <c r="G231" s="164"/>
      <c r="H231" s="164"/>
      <c r="I231" s="164"/>
      <c r="J231" s="652"/>
      <c r="K231" s="164"/>
      <c r="L231" s="164"/>
      <c r="M231" s="164"/>
      <c r="N231" s="164"/>
      <c r="O231" s="164"/>
      <c r="P231" s="164"/>
      <c r="Q231" s="164"/>
      <c r="R231" s="164"/>
      <c r="S231" s="164"/>
      <c r="T231" s="164"/>
      <c r="U231" s="164"/>
      <c r="V231" s="164"/>
      <c r="W231" s="164"/>
      <c r="X231" s="164"/>
      <c r="Y231" s="164"/>
      <c r="Z231" s="164"/>
      <c r="AA231" s="164"/>
      <c r="AB231" s="164"/>
    </row>
    <row r="232">
      <c r="A232" s="164"/>
      <c r="B232" s="164"/>
      <c r="C232" s="9"/>
      <c r="D232" s="9"/>
      <c r="E232" s="9"/>
      <c r="F232" s="9"/>
      <c r="G232" s="164"/>
      <c r="H232" s="164"/>
      <c r="I232" s="164"/>
      <c r="J232" s="652"/>
      <c r="K232" s="164"/>
      <c r="L232" s="164"/>
      <c r="M232" s="164"/>
      <c r="N232" s="164"/>
      <c r="O232" s="164"/>
      <c r="P232" s="164"/>
      <c r="Q232" s="164"/>
      <c r="R232" s="164"/>
      <c r="S232" s="164"/>
      <c r="T232" s="164"/>
      <c r="U232" s="164"/>
      <c r="V232" s="164"/>
      <c r="W232" s="164"/>
      <c r="X232" s="164"/>
      <c r="Y232" s="164"/>
      <c r="Z232" s="164"/>
      <c r="AA232" s="164"/>
      <c r="AB232" s="164"/>
    </row>
    <row r="233">
      <c r="A233" s="164"/>
      <c r="B233" s="164"/>
      <c r="C233" s="9"/>
      <c r="D233" s="9"/>
      <c r="E233" s="9"/>
      <c r="F233" s="9"/>
      <c r="G233" s="164"/>
      <c r="H233" s="164"/>
      <c r="I233" s="164"/>
      <c r="J233" s="652"/>
      <c r="K233" s="164"/>
      <c r="L233" s="164"/>
      <c r="M233" s="164"/>
      <c r="N233" s="164"/>
      <c r="O233" s="164"/>
      <c r="P233" s="164"/>
      <c r="Q233" s="164"/>
      <c r="R233" s="164"/>
      <c r="S233" s="164"/>
      <c r="T233" s="164"/>
      <c r="U233" s="164"/>
      <c r="V233" s="164"/>
      <c r="W233" s="164"/>
      <c r="X233" s="164"/>
      <c r="Y233" s="164"/>
      <c r="Z233" s="164"/>
      <c r="AA233" s="164"/>
      <c r="AB233" s="164"/>
    </row>
    <row r="234">
      <c r="A234" s="164"/>
      <c r="B234" s="164"/>
      <c r="C234" s="9"/>
      <c r="D234" s="9"/>
      <c r="E234" s="9"/>
      <c r="F234" s="9"/>
      <c r="G234" s="164"/>
      <c r="H234" s="164"/>
      <c r="I234" s="164"/>
      <c r="J234" s="652"/>
      <c r="K234" s="164"/>
      <c r="L234" s="164"/>
      <c r="M234" s="164"/>
      <c r="N234" s="164"/>
      <c r="O234" s="164"/>
      <c r="P234" s="164"/>
      <c r="Q234" s="164"/>
      <c r="R234" s="164"/>
      <c r="S234" s="164"/>
      <c r="T234" s="164"/>
      <c r="U234" s="164"/>
      <c r="V234" s="164"/>
      <c r="W234" s="164"/>
      <c r="X234" s="164"/>
      <c r="Y234" s="164"/>
      <c r="Z234" s="164"/>
      <c r="AA234" s="164"/>
      <c r="AB234" s="164"/>
    </row>
    <row r="235">
      <c r="A235" s="164"/>
      <c r="B235" s="164"/>
      <c r="C235" s="9"/>
      <c r="D235" s="9"/>
      <c r="E235" s="9"/>
      <c r="F235" s="9"/>
      <c r="G235" s="164"/>
      <c r="H235" s="164"/>
      <c r="I235" s="164"/>
      <c r="J235" s="652"/>
      <c r="K235" s="164"/>
      <c r="L235" s="164"/>
      <c r="M235" s="164"/>
      <c r="N235" s="164"/>
      <c r="O235" s="164"/>
      <c r="P235" s="164"/>
      <c r="Q235" s="164"/>
      <c r="R235" s="164"/>
      <c r="S235" s="164"/>
      <c r="T235" s="164"/>
      <c r="U235" s="164"/>
      <c r="V235" s="164"/>
      <c r="W235" s="164"/>
      <c r="X235" s="164"/>
      <c r="Y235" s="164"/>
      <c r="Z235" s="164"/>
      <c r="AA235" s="164"/>
      <c r="AB235" s="164"/>
    </row>
    <row r="236">
      <c r="A236" s="164"/>
      <c r="B236" s="164"/>
      <c r="C236" s="9"/>
      <c r="D236" s="9"/>
      <c r="E236" s="9"/>
      <c r="F236" s="9"/>
      <c r="G236" s="164"/>
      <c r="H236" s="164"/>
      <c r="I236" s="164"/>
      <c r="J236" s="652"/>
      <c r="K236" s="164"/>
      <c r="L236" s="164"/>
      <c r="M236" s="164"/>
      <c r="N236" s="164"/>
      <c r="O236" s="164"/>
      <c r="P236" s="164"/>
      <c r="Q236" s="164"/>
      <c r="R236" s="164"/>
      <c r="S236" s="164"/>
      <c r="T236" s="164"/>
      <c r="U236" s="164"/>
      <c r="V236" s="164"/>
      <c r="W236" s="164"/>
      <c r="X236" s="164"/>
      <c r="Y236" s="164"/>
      <c r="Z236" s="164"/>
      <c r="AA236" s="164"/>
      <c r="AB236" s="164"/>
    </row>
    <row r="237">
      <c r="A237" s="164"/>
      <c r="B237" s="164"/>
      <c r="C237" s="9"/>
      <c r="D237" s="9"/>
      <c r="E237" s="9"/>
      <c r="F237" s="9"/>
      <c r="G237" s="164"/>
      <c r="H237" s="164"/>
      <c r="I237" s="164"/>
      <c r="J237" s="652"/>
      <c r="K237" s="164"/>
      <c r="L237" s="164"/>
      <c r="M237" s="164"/>
      <c r="N237" s="164"/>
      <c r="O237" s="164"/>
      <c r="P237" s="164"/>
      <c r="Q237" s="164"/>
      <c r="R237" s="164"/>
      <c r="S237" s="164"/>
      <c r="T237" s="164"/>
      <c r="U237" s="164"/>
      <c r="V237" s="164"/>
      <c r="W237" s="164"/>
      <c r="X237" s="164"/>
      <c r="Y237" s="164"/>
      <c r="Z237" s="164"/>
      <c r="AA237" s="164"/>
      <c r="AB237" s="164"/>
    </row>
    <row r="238">
      <c r="A238" s="164"/>
      <c r="B238" s="164"/>
      <c r="C238" s="9"/>
      <c r="D238" s="9"/>
      <c r="E238" s="9"/>
      <c r="F238" s="9"/>
      <c r="G238" s="164"/>
      <c r="H238" s="164"/>
      <c r="I238" s="164"/>
      <c r="J238" s="652"/>
      <c r="K238" s="164"/>
      <c r="L238" s="164"/>
      <c r="M238" s="164"/>
      <c r="N238" s="164"/>
      <c r="O238" s="164"/>
      <c r="P238" s="164"/>
      <c r="Q238" s="164"/>
      <c r="R238" s="164"/>
      <c r="S238" s="164"/>
      <c r="T238" s="164"/>
      <c r="U238" s="164"/>
      <c r="V238" s="164"/>
      <c r="W238" s="164"/>
      <c r="X238" s="164"/>
      <c r="Y238" s="164"/>
      <c r="Z238" s="164"/>
      <c r="AA238" s="164"/>
      <c r="AB238" s="164"/>
    </row>
    <row r="239">
      <c r="A239" s="164"/>
      <c r="B239" s="164"/>
      <c r="C239" s="9"/>
      <c r="D239" s="9"/>
      <c r="E239" s="9"/>
      <c r="F239" s="9"/>
      <c r="G239" s="164"/>
      <c r="H239" s="164"/>
      <c r="I239" s="164"/>
      <c r="J239" s="652"/>
      <c r="K239" s="164"/>
      <c r="L239" s="164"/>
      <c r="M239" s="164"/>
      <c r="N239" s="164"/>
      <c r="O239" s="164"/>
      <c r="P239" s="164"/>
      <c r="Q239" s="164"/>
      <c r="R239" s="164"/>
      <c r="S239" s="164"/>
      <c r="T239" s="164"/>
      <c r="U239" s="164"/>
      <c r="V239" s="164"/>
      <c r="W239" s="164"/>
      <c r="X239" s="164"/>
      <c r="Y239" s="164"/>
      <c r="Z239" s="164"/>
      <c r="AA239" s="164"/>
      <c r="AB239" s="164"/>
    </row>
    <row r="240">
      <c r="A240" s="164"/>
      <c r="B240" s="164"/>
      <c r="C240" s="9"/>
      <c r="D240" s="9"/>
      <c r="E240" s="9"/>
      <c r="F240" s="9"/>
      <c r="G240" s="164"/>
      <c r="H240" s="164"/>
      <c r="I240" s="164"/>
      <c r="J240" s="652"/>
      <c r="K240" s="164"/>
      <c r="L240" s="164"/>
      <c r="M240" s="164"/>
      <c r="N240" s="164"/>
      <c r="O240" s="164"/>
      <c r="P240" s="164"/>
      <c r="Q240" s="164"/>
      <c r="R240" s="164"/>
      <c r="S240" s="164"/>
      <c r="T240" s="164"/>
      <c r="U240" s="164"/>
      <c r="V240" s="164"/>
      <c r="W240" s="164"/>
      <c r="X240" s="164"/>
      <c r="Y240" s="164"/>
      <c r="Z240" s="164"/>
      <c r="AA240" s="164"/>
      <c r="AB240" s="164"/>
    </row>
    <row r="241">
      <c r="A241" s="164"/>
      <c r="B241" s="164"/>
      <c r="C241" s="9"/>
      <c r="D241" s="9"/>
      <c r="E241" s="9"/>
      <c r="F241" s="9"/>
      <c r="G241" s="164"/>
      <c r="H241" s="164"/>
      <c r="I241" s="164"/>
      <c r="J241" s="652"/>
      <c r="K241" s="164"/>
      <c r="L241" s="164"/>
      <c r="M241" s="164"/>
      <c r="N241" s="164"/>
      <c r="O241" s="164"/>
      <c r="P241" s="164"/>
      <c r="Q241" s="164"/>
      <c r="R241" s="164"/>
      <c r="S241" s="164"/>
      <c r="T241" s="164"/>
      <c r="U241" s="164"/>
      <c r="V241" s="164"/>
      <c r="W241" s="164"/>
      <c r="X241" s="164"/>
      <c r="Y241" s="164"/>
      <c r="Z241" s="164"/>
      <c r="AA241" s="164"/>
      <c r="AB241" s="164"/>
    </row>
    <row r="242">
      <c r="A242" s="164"/>
      <c r="B242" s="164"/>
      <c r="C242" s="9"/>
      <c r="D242" s="9"/>
      <c r="E242" s="9"/>
      <c r="F242" s="9"/>
      <c r="G242" s="164"/>
      <c r="H242" s="164"/>
      <c r="I242" s="164"/>
      <c r="J242" s="652"/>
      <c r="K242" s="164"/>
      <c r="L242" s="164"/>
      <c r="M242" s="164"/>
      <c r="N242" s="164"/>
      <c r="O242" s="164"/>
      <c r="P242" s="164"/>
      <c r="Q242" s="164"/>
      <c r="R242" s="164"/>
      <c r="S242" s="164"/>
      <c r="T242" s="164"/>
      <c r="U242" s="164"/>
      <c r="V242" s="164"/>
      <c r="W242" s="164"/>
      <c r="X242" s="164"/>
      <c r="Y242" s="164"/>
      <c r="Z242" s="164"/>
      <c r="AA242" s="164"/>
      <c r="AB242" s="164"/>
    </row>
    <row r="243">
      <c r="A243" s="164"/>
      <c r="B243" s="164"/>
      <c r="C243" s="9"/>
      <c r="D243" s="9"/>
      <c r="E243" s="9"/>
      <c r="F243" s="9"/>
      <c r="G243" s="164"/>
      <c r="H243" s="164"/>
      <c r="I243" s="164"/>
      <c r="J243" s="652"/>
      <c r="K243" s="164"/>
      <c r="L243" s="164"/>
      <c r="M243" s="164"/>
      <c r="N243" s="164"/>
      <c r="O243" s="164"/>
      <c r="P243" s="164"/>
      <c r="Q243" s="164"/>
      <c r="R243" s="164"/>
      <c r="S243" s="164"/>
      <c r="T243" s="164"/>
      <c r="U243" s="164"/>
      <c r="V243" s="164"/>
      <c r="W243" s="164"/>
      <c r="X243" s="164"/>
      <c r="Y243" s="164"/>
      <c r="Z243" s="164"/>
      <c r="AA243" s="164"/>
      <c r="AB243" s="164"/>
    </row>
    <row r="244">
      <c r="A244" s="164"/>
      <c r="B244" s="164"/>
      <c r="C244" s="9"/>
      <c r="D244" s="9"/>
      <c r="E244" s="9"/>
      <c r="F244" s="9"/>
      <c r="G244" s="164"/>
      <c r="H244" s="164"/>
      <c r="I244" s="164"/>
      <c r="J244" s="652"/>
      <c r="K244" s="164"/>
      <c r="L244" s="164"/>
      <c r="M244" s="164"/>
      <c r="N244" s="164"/>
      <c r="O244" s="164"/>
      <c r="P244" s="164"/>
      <c r="Q244" s="164"/>
      <c r="R244" s="164"/>
      <c r="S244" s="164"/>
      <c r="T244" s="164"/>
      <c r="U244" s="164"/>
      <c r="V244" s="164"/>
      <c r="W244" s="164"/>
      <c r="X244" s="164"/>
      <c r="Y244" s="164"/>
      <c r="Z244" s="164"/>
      <c r="AA244" s="164"/>
      <c r="AB244" s="164"/>
    </row>
    <row r="245">
      <c r="A245" s="164"/>
      <c r="B245" s="164"/>
      <c r="C245" s="9"/>
      <c r="D245" s="9"/>
      <c r="E245" s="9"/>
      <c r="F245" s="9"/>
      <c r="G245" s="164"/>
      <c r="H245" s="164"/>
      <c r="I245" s="164"/>
      <c r="J245" s="652"/>
      <c r="K245" s="164"/>
      <c r="L245" s="164"/>
      <c r="M245" s="164"/>
      <c r="N245" s="164"/>
      <c r="O245" s="164"/>
      <c r="P245" s="164"/>
      <c r="Q245" s="164"/>
      <c r="R245" s="164"/>
      <c r="S245" s="164"/>
      <c r="T245" s="164"/>
      <c r="U245" s="164"/>
      <c r="V245" s="164"/>
      <c r="W245" s="164"/>
      <c r="X245" s="164"/>
      <c r="Y245" s="164"/>
      <c r="Z245" s="164"/>
      <c r="AA245" s="164"/>
      <c r="AB245" s="164"/>
    </row>
    <row r="246">
      <c r="A246" s="164"/>
      <c r="B246" s="164"/>
      <c r="C246" s="9"/>
      <c r="D246" s="9"/>
      <c r="E246" s="9"/>
      <c r="F246" s="9"/>
      <c r="G246" s="164"/>
      <c r="H246" s="164"/>
      <c r="I246" s="164"/>
      <c r="J246" s="652"/>
      <c r="K246" s="164"/>
      <c r="L246" s="164"/>
      <c r="M246" s="164"/>
      <c r="N246" s="164"/>
      <c r="O246" s="164"/>
      <c r="P246" s="164"/>
      <c r="Q246" s="164"/>
      <c r="R246" s="164"/>
      <c r="S246" s="164"/>
      <c r="T246" s="164"/>
      <c r="U246" s="164"/>
      <c r="V246" s="164"/>
      <c r="W246" s="164"/>
      <c r="X246" s="164"/>
      <c r="Y246" s="164"/>
      <c r="Z246" s="164"/>
      <c r="AA246" s="164"/>
      <c r="AB246" s="164"/>
    </row>
    <row r="247">
      <c r="A247" s="164"/>
      <c r="B247" s="164"/>
      <c r="C247" s="9"/>
      <c r="D247" s="9"/>
      <c r="E247" s="9"/>
      <c r="F247" s="9"/>
      <c r="G247" s="164"/>
      <c r="H247" s="164"/>
      <c r="I247" s="164"/>
      <c r="J247" s="652"/>
      <c r="K247" s="164"/>
      <c r="L247" s="164"/>
      <c r="M247" s="164"/>
      <c r="N247" s="164"/>
      <c r="O247" s="164"/>
      <c r="P247" s="164"/>
      <c r="Q247" s="164"/>
      <c r="R247" s="164"/>
      <c r="S247" s="164"/>
      <c r="T247" s="164"/>
      <c r="U247" s="164"/>
      <c r="V247" s="164"/>
      <c r="W247" s="164"/>
      <c r="X247" s="164"/>
      <c r="Y247" s="164"/>
      <c r="Z247" s="164"/>
      <c r="AA247" s="164"/>
      <c r="AB247" s="164"/>
    </row>
    <row r="248">
      <c r="A248" s="164"/>
      <c r="B248" s="164"/>
      <c r="C248" s="9"/>
      <c r="D248" s="9"/>
      <c r="E248" s="9"/>
      <c r="F248" s="9"/>
      <c r="G248" s="164"/>
      <c r="H248" s="164"/>
      <c r="I248" s="164"/>
      <c r="J248" s="652"/>
      <c r="K248" s="164"/>
      <c r="L248" s="164"/>
      <c r="M248" s="164"/>
      <c r="N248" s="164"/>
      <c r="O248" s="164"/>
      <c r="P248" s="164"/>
      <c r="Q248" s="164"/>
      <c r="R248" s="164"/>
      <c r="S248" s="164"/>
      <c r="T248" s="164"/>
      <c r="U248" s="164"/>
      <c r="V248" s="164"/>
      <c r="W248" s="164"/>
      <c r="X248" s="164"/>
      <c r="Y248" s="164"/>
      <c r="Z248" s="164"/>
      <c r="AA248" s="164"/>
      <c r="AB248" s="164"/>
    </row>
    <row r="249">
      <c r="A249" s="164"/>
      <c r="B249" s="164"/>
      <c r="C249" s="9"/>
      <c r="D249" s="9"/>
      <c r="E249" s="9"/>
      <c r="F249" s="9"/>
      <c r="G249" s="164"/>
      <c r="H249" s="164"/>
      <c r="I249" s="164"/>
      <c r="J249" s="652"/>
      <c r="K249" s="164"/>
      <c r="L249" s="164"/>
      <c r="M249" s="164"/>
      <c r="N249" s="164"/>
      <c r="O249" s="164"/>
      <c r="P249" s="164"/>
      <c r="Q249" s="164"/>
      <c r="R249" s="164"/>
      <c r="S249" s="164"/>
      <c r="T249" s="164"/>
      <c r="U249" s="164"/>
      <c r="V249" s="164"/>
      <c r="W249" s="164"/>
      <c r="X249" s="164"/>
      <c r="Y249" s="164"/>
      <c r="Z249" s="164"/>
      <c r="AA249" s="164"/>
      <c r="AB249" s="164"/>
    </row>
    <row r="250">
      <c r="A250" s="164"/>
      <c r="B250" s="164"/>
      <c r="C250" s="9"/>
      <c r="D250" s="9"/>
      <c r="E250" s="9"/>
      <c r="F250" s="9"/>
      <c r="G250" s="164"/>
      <c r="H250" s="164"/>
      <c r="I250" s="164"/>
      <c r="J250" s="652"/>
      <c r="K250" s="164"/>
      <c r="L250" s="164"/>
      <c r="M250" s="164"/>
      <c r="N250" s="164"/>
      <c r="O250" s="164"/>
      <c r="P250" s="164"/>
      <c r="Q250" s="164"/>
      <c r="R250" s="164"/>
      <c r="S250" s="164"/>
      <c r="T250" s="164"/>
      <c r="U250" s="164"/>
      <c r="V250" s="164"/>
      <c r="W250" s="164"/>
      <c r="X250" s="164"/>
      <c r="Y250" s="164"/>
      <c r="Z250" s="164"/>
      <c r="AA250" s="164"/>
      <c r="AB250" s="164"/>
    </row>
    <row r="251">
      <c r="A251" s="164"/>
      <c r="B251" s="164"/>
      <c r="C251" s="9"/>
      <c r="D251" s="9"/>
      <c r="E251" s="9"/>
      <c r="F251" s="9"/>
      <c r="G251" s="164"/>
      <c r="H251" s="164"/>
      <c r="I251" s="164"/>
      <c r="J251" s="652"/>
      <c r="K251" s="164"/>
      <c r="L251" s="164"/>
      <c r="M251" s="164"/>
      <c r="N251" s="164"/>
      <c r="O251" s="164"/>
      <c r="P251" s="164"/>
      <c r="Q251" s="164"/>
      <c r="R251" s="164"/>
      <c r="S251" s="164"/>
      <c r="T251" s="164"/>
      <c r="U251" s="164"/>
      <c r="V251" s="164"/>
      <c r="W251" s="164"/>
      <c r="X251" s="164"/>
      <c r="Y251" s="164"/>
      <c r="Z251" s="164"/>
      <c r="AA251" s="164"/>
      <c r="AB251" s="164"/>
    </row>
    <row r="252">
      <c r="A252" s="164"/>
      <c r="B252" s="164"/>
      <c r="C252" s="9"/>
      <c r="D252" s="9"/>
      <c r="E252" s="9"/>
      <c r="F252" s="9"/>
      <c r="G252" s="164"/>
      <c r="H252" s="164"/>
      <c r="I252" s="164"/>
      <c r="J252" s="652"/>
      <c r="K252" s="164"/>
      <c r="L252" s="164"/>
      <c r="M252" s="164"/>
      <c r="N252" s="164"/>
      <c r="O252" s="164"/>
      <c r="P252" s="164"/>
      <c r="Q252" s="164"/>
      <c r="R252" s="164"/>
      <c r="S252" s="164"/>
      <c r="T252" s="164"/>
      <c r="U252" s="164"/>
      <c r="V252" s="164"/>
      <c r="W252" s="164"/>
      <c r="X252" s="164"/>
      <c r="Y252" s="164"/>
      <c r="Z252" s="164"/>
      <c r="AA252" s="164"/>
      <c r="AB252" s="164"/>
    </row>
    <row r="253">
      <c r="A253" s="164"/>
      <c r="B253" s="164"/>
      <c r="C253" s="9"/>
      <c r="D253" s="9"/>
      <c r="E253" s="9"/>
      <c r="F253" s="9"/>
      <c r="G253" s="164"/>
      <c r="H253" s="164"/>
      <c r="I253" s="164"/>
      <c r="J253" s="652"/>
      <c r="K253" s="164"/>
      <c r="L253" s="164"/>
      <c r="M253" s="164"/>
      <c r="N253" s="164"/>
      <c r="O253" s="164"/>
      <c r="P253" s="164"/>
      <c r="Q253" s="164"/>
      <c r="R253" s="164"/>
      <c r="S253" s="164"/>
      <c r="T253" s="164"/>
      <c r="U253" s="164"/>
      <c r="V253" s="164"/>
      <c r="W253" s="164"/>
      <c r="X253" s="164"/>
      <c r="Y253" s="164"/>
      <c r="Z253" s="164"/>
      <c r="AA253" s="164"/>
      <c r="AB253" s="164"/>
    </row>
    <row r="254">
      <c r="A254" s="164"/>
      <c r="B254" s="164"/>
      <c r="C254" s="9"/>
      <c r="D254" s="9"/>
      <c r="E254" s="9"/>
      <c r="F254" s="9"/>
      <c r="G254" s="164"/>
      <c r="H254" s="164"/>
      <c r="I254" s="164"/>
      <c r="J254" s="652"/>
      <c r="K254" s="164"/>
      <c r="L254" s="164"/>
      <c r="M254" s="164"/>
      <c r="N254" s="164"/>
      <c r="O254" s="164"/>
      <c r="P254" s="164"/>
      <c r="Q254" s="164"/>
      <c r="R254" s="164"/>
      <c r="S254" s="164"/>
      <c r="T254" s="164"/>
      <c r="U254" s="164"/>
      <c r="V254" s="164"/>
      <c r="W254" s="164"/>
      <c r="X254" s="164"/>
      <c r="Y254" s="164"/>
      <c r="Z254" s="164"/>
      <c r="AA254" s="164"/>
      <c r="AB254" s="164"/>
    </row>
    <row r="255">
      <c r="A255" s="164"/>
      <c r="B255" s="164"/>
      <c r="C255" s="9"/>
      <c r="D255" s="9"/>
      <c r="E255" s="9"/>
      <c r="F255" s="9"/>
      <c r="G255" s="164"/>
      <c r="H255" s="164"/>
      <c r="I255" s="164"/>
      <c r="J255" s="652"/>
      <c r="K255" s="164"/>
      <c r="L255" s="164"/>
      <c r="M255" s="164"/>
      <c r="N255" s="164"/>
      <c r="O255" s="164"/>
      <c r="P255" s="164"/>
      <c r="Q255" s="164"/>
      <c r="R255" s="164"/>
      <c r="S255" s="164"/>
      <c r="T255" s="164"/>
      <c r="U255" s="164"/>
      <c r="V255" s="164"/>
      <c r="W255" s="164"/>
      <c r="X255" s="164"/>
      <c r="Y255" s="164"/>
      <c r="Z255" s="164"/>
      <c r="AA255" s="164"/>
      <c r="AB255" s="164"/>
    </row>
    <row r="256">
      <c r="A256" s="164"/>
      <c r="B256" s="164"/>
      <c r="C256" s="9"/>
      <c r="D256" s="9"/>
      <c r="E256" s="9"/>
      <c r="F256" s="9"/>
      <c r="G256" s="164"/>
      <c r="H256" s="164"/>
      <c r="I256" s="164"/>
      <c r="J256" s="652"/>
      <c r="K256" s="164"/>
      <c r="L256" s="164"/>
      <c r="M256" s="164"/>
      <c r="N256" s="164"/>
      <c r="O256" s="164"/>
      <c r="P256" s="164"/>
      <c r="Q256" s="164"/>
      <c r="R256" s="164"/>
      <c r="S256" s="164"/>
      <c r="T256" s="164"/>
      <c r="U256" s="164"/>
      <c r="V256" s="164"/>
      <c r="W256" s="164"/>
      <c r="X256" s="164"/>
      <c r="Y256" s="164"/>
      <c r="Z256" s="164"/>
      <c r="AA256" s="164"/>
      <c r="AB256" s="164"/>
    </row>
    <row r="257">
      <c r="A257" s="164"/>
      <c r="B257" s="164"/>
      <c r="C257" s="9"/>
      <c r="D257" s="9"/>
      <c r="E257" s="9"/>
      <c r="F257" s="9"/>
      <c r="G257" s="164"/>
      <c r="H257" s="164"/>
      <c r="I257" s="164"/>
      <c r="J257" s="652"/>
      <c r="K257" s="164"/>
      <c r="L257" s="164"/>
      <c r="M257" s="164"/>
      <c r="N257" s="164"/>
      <c r="O257" s="164"/>
      <c r="P257" s="164"/>
      <c r="Q257" s="164"/>
      <c r="R257" s="164"/>
      <c r="S257" s="164"/>
      <c r="T257" s="164"/>
      <c r="U257" s="164"/>
      <c r="V257" s="164"/>
      <c r="W257" s="164"/>
      <c r="X257" s="164"/>
      <c r="Y257" s="164"/>
      <c r="Z257" s="164"/>
      <c r="AA257" s="164"/>
      <c r="AB257" s="164"/>
    </row>
    <row r="258">
      <c r="A258" s="164"/>
      <c r="B258" s="164"/>
      <c r="C258" s="9"/>
      <c r="D258" s="9"/>
      <c r="E258" s="9"/>
      <c r="F258" s="9"/>
      <c r="G258" s="164"/>
      <c r="H258" s="164"/>
      <c r="I258" s="164"/>
      <c r="J258" s="652"/>
      <c r="K258" s="164"/>
      <c r="L258" s="164"/>
      <c r="M258" s="164"/>
      <c r="N258" s="164"/>
      <c r="O258" s="164"/>
      <c r="P258" s="164"/>
      <c r="Q258" s="164"/>
      <c r="R258" s="164"/>
      <c r="S258" s="164"/>
      <c r="T258" s="164"/>
      <c r="U258" s="164"/>
      <c r="V258" s="164"/>
      <c r="W258" s="164"/>
      <c r="X258" s="164"/>
      <c r="Y258" s="164"/>
      <c r="Z258" s="164"/>
      <c r="AA258" s="164"/>
      <c r="AB258" s="164"/>
    </row>
    <row r="259">
      <c r="A259" s="164"/>
      <c r="B259" s="164"/>
      <c r="C259" s="9"/>
      <c r="D259" s="9"/>
      <c r="E259" s="9"/>
      <c r="F259" s="9"/>
      <c r="G259" s="164"/>
      <c r="H259" s="164"/>
      <c r="I259" s="164"/>
      <c r="J259" s="652"/>
      <c r="K259" s="164"/>
      <c r="L259" s="164"/>
      <c r="M259" s="164"/>
      <c r="N259" s="164"/>
      <c r="O259" s="164"/>
      <c r="P259" s="164"/>
      <c r="Q259" s="164"/>
      <c r="R259" s="164"/>
      <c r="S259" s="164"/>
      <c r="T259" s="164"/>
      <c r="U259" s="164"/>
      <c r="V259" s="164"/>
      <c r="W259" s="164"/>
      <c r="X259" s="164"/>
      <c r="Y259" s="164"/>
      <c r="Z259" s="164"/>
      <c r="AA259" s="164"/>
      <c r="AB259" s="164"/>
    </row>
    <row r="260">
      <c r="A260" s="164"/>
      <c r="B260" s="164"/>
      <c r="C260" s="9"/>
      <c r="D260" s="9"/>
      <c r="E260" s="9"/>
      <c r="F260" s="9"/>
      <c r="G260" s="164"/>
      <c r="H260" s="164"/>
      <c r="I260" s="164"/>
      <c r="J260" s="652"/>
      <c r="K260" s="164"/>
      <c r="L260" s="164"/>
      <c r="M260" s="164"/>
      <c r="N260" s="164"/>
      <c r="O260" s="164"/>
      <c r="P260" s="164"/>
      <c r="Q260" s="164"/>
      <c r="R260" s="164"/>
      <c r="S260" s="164"/>
      <c r="T260" s="164"/>
      <c r="U260" s="164"/>
      <c r="V260" s="164"/>
      <c r="W260" s="164"/>
      <c r="X260" s="164"/>
      <c r="Y260" s="164"/>
      <c r="Z260" s="164"/>
      <c r="AA260" s="164"/>
      <c r="AB260" s="164"/>
    </row>
    <row r="261">
      <c r="A261" s="164"/>
      <c r="B261" s="164"/>
      <c r="C261" s="9"/>
      <c r="D261" s="9"/>
      <c r="E261" s="9"/>
      <c r="F261" s="9"/>
      <c r="G261" s="164"/>
      <c r="H261" s="164"/>
      <c r="I261" s="164"/>
      <c r="J261" s="652"/>
      <c r="K261" s="164"/>
      <c r="L261" s="164"/>
      <c r="M261" s="164"/>
      <c r="N261" s="164"/>
      <c r="O261" s="164"/>
      <c r="P261" s="164"/>
      <c r="Q261" s="164"/>
      <c r="R261" s="164"/>
      <c r="S261" s="164"/>
      <c r="T261" s="164"/>
      <c r="U261" s="164"/>
      <c r="V261" s="164"/>
      <c r="W261" s="164"/>
      <c r="X261" s="164"/>
      <c r="Y261" s="164"/>
      <c r="Z261" s="164"/>
      <c r="AA261" s="164"/>
      <c r="AB261" s="164"/>
    </row>
    <row r="262">
      <c r="A262" s="164"/>
      <c r="B262" s="164"/>
      <c r="C262" s="9"/>
      <c r="D262" s="9"/>
      <c r="E262" s="9"/>
      <c r="F262" s="9"/>
      <c r="G262" s="164"/>
      <c r="H262" s="164"/>
      <c r="I262" s="164"/>
      <c r="J262" s="652"/>
      <c r="K262" s="164"/>
      <c r="L262" s="164"/>
      <c r="M262" s="164"/>
      <c r="N262" s="164"/>
      <c r="O262" s="164"/>
      <c r="P262" s="164"/>
      <c r="Q262" s="164"/>
      <c r="R262" s="164"/>
      <c r="S262" s="164"/>
      <c r="T262" s="164"/>
      <c r="U262" s="164"/>
      <c r="V262" s="164"/>
      <c r="W262" s="164"/>
      <c r="X262" s="164"/>
      <c r="Y262" s="164"/>
      <c r="Z262" s="164"/>
      <c r="AA262" s="164"/>
      <c r="AB262" s="164"/>
    </row>
    <row r="263">
      <c r="A263" s="164"/>
      <c r="B263" s="164"/>
      <c r="C263" s="9"/>
      <c r="D263" s="9"/>
      <c r="E263" s="9"/>
      <c r="F263" s="9"/>
      <c r="G263" s="164"/>
      <c r="H263" s="164"/>
      <c r="I263" s="164"/>
      <c r="J263" s="652"/>
      <c r="K263" s="164"/>
      <c r="L263" s="164"/>
      <c r="M263" s="164"/>
      <c r="N263" s="164"/>
      <c r="O263" s="164"/>
      <c r="P263" s="164"/>
      <c r="Q263" s="164"/>
      <c r="R263" s="164"/>
      <c r="S263" s="164"/>
      <c r="T263" s="164"/>
      <c r="U263" s="164"/>
      <c r="V263" s="164"/>
      <c r="W263" s="164"/>
      <c r="X263" s="164"/>
      <c r="Y263" s="164"/>
      <c r="Z263" s="164"/>
      <c r="AA263" s="164"/>
      <c r="AB263" s="164"/>
    </row>
    <row r="264">
      <c r="A264" s="164"/>
      <c r="B264" s="164"/>
      <c r="C264" s="9"/>
      <c r="D264" s="9"/>
      <c r="E264" s="9"/>
      <c r="F264" s="9"/>
      <c r="G264" s="164"/>
      <c r="H264" s="164"/>
      <c r="I264" s="164"/>
      <c r="J264" s="652"/>
      <c r="K264" s="164"/>
      <c r="L264" s="164"/>
      <c r="M264" s="164"/>
      <c r="N264" s="164"/>
      <c r="O264" s="164"/>
      <c r="P264" s="164"/>
      <c r="Q264" s="164"/>
      <c r="R264" s="164"/>
      <c r="S264" s="164"/>
      <c r="T264" s="164"/>
      <c r="U264" s="164"/>
      <c r="V264" s="164"/>
      <c r="W264" s="164"/>
      <c r="X264" s="164"/>
      <c r="Y264" s="164"/>
      <c r="Z264" s="164"/>
      <c r="AA264" s="164"/>
      <c r="AB264" s="164"/>
    </row>
    <row r="265">
      <c r="A265" s="164"/>
      <c r="B265" s="164"/>
      <c r="C265" s="9"/>
      <c r="D265" s="9"/>
      <c r="E265" s="9"/>
      <c r="F265" s="9"/>
      <c r="G265" s="164"/>
      <c r="H265" s="164"/>
      <c r="I265" s="164"/>
      <c r="J265" s="652"/>
      <c r="K265" s="164"/>
      <c r="L265" s="164"/>
      <c r="M265" s="164"/>
      <c r="N265" s="164"/>
      <c r="O265" s="164"/>
      <c r="P265" s="164"/>
      <c r="Q265" s="164"/>
      <c r="R265" s="164"/>
      <c r="S265" s="164"/>
      <c r="T265" s="164"/>
      <c r="U265" s="164"/>
      <c r="V265" s="164"/>
      <c r="W265" s="164"/>
      <c r="X265" s="164"/>
      <c r="Y265" s="164"/>
      <c r="Z265" s="164"/>
      <c r="AA265" s="164"/>
      <c r="AB265" s="164"/>
    </row>
    <row r="266">
      <c r="A266" s="164"/>
      <c r="B266" s="164"/>
      <c r="C266" s="9"/>
      <c r="D266" s="9"/>
      <c r="E266" s="9"/>
      <c r="F266" s="9"/>
      <c r="G266" s="164"/>
      <c r="H266" s="164"/>
      <c r="I266" s="164"/>
      <c r="J266" s="652"/>
      <c r="K266" s="164"/>
      <c r="L266" s="164"/>
      <c r="M266" s="164"/>
      <c r="N266" s="164"/>
      <c r="O266" s="164"/>
      <c r="P266" s="164"/>
      <c r="Q266" s="164"/>
      <c r="R266" s="164"/>
      <c r="S266" s="164"/>
      <c r="T266" s="164"/>
      <c r="U266" s="164"/>
      <c r="V266" s="164"/>
      <c r="W266" s="164"/>
      <c r="X266" s="164"/>
      <c r="Y266" s="164"/>
      <c r="Z266" s="164"/>
      <c r="AA266" s="164"/>
      <c r="AB266" s="164"/>
    </row>
    <row r="267">
      <c r="A267" s="164"/>
      <c r="B267" s="164"/>
      <c r="C267" s="9"/>
      <c r="D267" s="9"/>
      <c r="E267" s="9"/>
      <c r="F267" s="9"/>
      <c r="G267" s="164"/>
      <c r="H267" s="164"/>
      <c r="I267" s="164"/>
      <c r="J267" s="652"/>
      <c r="K267" s="164"/>
      <c r="L267" s="164"/>
      <c r="M267" s="164"/>
      <c r="N267" s="164"/>
      <c r="O267" s="164"/>
      <c r="P267" s="164"/>
      <c r="Q267" s="164"/>
      <c r="R267" s="164"/>
      <c r="S267" s="164"/>
      <c r="T267" s="164"/>
      <c r="U267" s="164"/>
      <c r="V267" s="164"/>
      <c r="W267" s="164"/>
      <c r="X267" s="164"/>
      <c r="Y267" s="164"/>
      <c r="Z267" s="164"/>
      <c r="AA267" s="164"/>
      <c r="AB267" s="164"/>
    </row>
    <row r="268">
      <c r="A268" s="164"/>
      <c r="B268" s="164"/>
      <c r="C268" s="9"/>
      <c r="D268" s="9"/>
      <c r="E268" s="9"/>
      <c r="F268" s="9"/>
      <c r="G268" s="164"/>
      <c r="H268" s="164"/>
      <c r="I268" s="164"/>
      <c r="J268" s="652"/>
      <c r="K268" s="164"/>
      <c r="L268" s="164"/>
      <c r="M268" s="164"/>
      <c r="N268" s="164"/>
      <c r="O268" s="164"/>
      <c r="P268" s="164"/>
      <c r="Q268" s="164"/>
      <c r="R268" s="164"/>
      <c r="S268" s="164"/>
      <c r="T268" s="164"/>
      <c r="U268" s="164"/>
      <c r="V268" s="164"/>
      <c r="W268" s="164"/>
      <c r="X268" s="164"/>
      <c r="Y268" s="164"/>
      <c r="Z268" s="164"/>
      <c r="AA268" s="164"/>
      <c r="AB268" s="164"/>
    </row>
    <row r="269">
      <c r="A269" s="164"/>
      <c r="B269" s="164"/>
      <c r="C269" s="9"/>
      <c r="D269" s="9"/>
      <c r="E269" s="9"/>
      <c r="F269" s="9"/>
      <c r="G269" s="164"/>
      <c r="H269" s="164"/>
      <c r="I269" s="164"/>
      <c r="J269" s="652"/>
      <c r="K269" s="164"/>
      <c r="L269" s="164"/>
      <c r="M269" s="164"/>
      <c r="N269" s="164"/>
      <c r="O269" s="164"/>
      <c r="P269" s="164"/>
      <c r="Q269" s="164"/>
      <c r="R269" s="164"/>
      <c r="S269" s="164"/>
      <c r="T269" s="164"/>
      <c r="U269" s="164"/>
      <c r="V269" s="164"/>
      <c r="W269" s="164"/>
      <c r="X269" s="164"/>
      <c r="Y269" s="164"/>
      <c r="Z269" s="164"/>
      <c r="AA269" s="164"/>
      <c r="AB269" s="164"/>
    </row>
    <row r="270">
      <c r="A270" s="164"/>
      <c r="B270" s="164"/>
      <c r="C270" s="9"/>
      <c r="D270" s="9"/>
      <c r="E270" s="9"/>
      <c r="F270" s="9"/>
      <c r="G270" s="164"/>
      <c r="H270" s="164"/>
      <c r="I270" s="164"/>
      <c r="J270" s="652"/>
      <c r="K270" s="164"/>
      <c r="L270" s="164"/>
      <c r="M270" s="164"/>
      <c r="N270" s="164"/>
      <c r="O270" s="164"/>
      <c r="P270" s="164"/>
      <c r="Q270" s="164"/>
      <c r="R270" s="164"/>
      <c r="S270" s="164"/>
      <c r="T270" s="164"/>
      <c r="U270" s="164"/>
      <c r="V270" s="164"/>
      <c r="W270" s="164"/>
      <c r="X270" s="164"/>
      <c r="Y270" s="164"/>
      <c r="Z270" s="164"/>
      <c r="AA270" s="164"/>
      <c r="AB270" s="164"/>
    </row>
    <row r="271">
      <c r="A271" s="164"/>
      <c r="B271" s="164"/>
      <c r="C271" s="9"/>
      <c r="D271" s="9"/>
      <c r="E271" s="9"/>
      <c r="F271" s="9"/>
      <c r="G271" s="164"/>
      <c r="H271" s="164"/>
      <c r="I271" s="164"/>
      <c r="J271" s="652"/>
      <c r="K271" s="164"/>
      <c r="L271" s="164"/>
      <c r="M271" s="164"/>
      <c r="N271" s="164"/>
      <c r="O271" s="164"/>
      <c r="P271" s="164"/>
      <c r="Q271" s="164"/>
      <c r="R271" s="164"/>
      <c r="S271" s="164"/>
      <c r="T271" s="164"/>
      <c r="U271" s="164"/>
      <c r="V271" s="164"/>
      <c r="W271" s="164"/>
      <c r="X271" s="164"/>
      <c r="Y271" s="164"/>
      <c r="Z271" s="164"/>
      <c r="AA271" s="164"/>
      <c r="AB271" s="164"/>
    </row>
    <row r="272">
      <c r="A272" s="164"/>
      <c r="B272" s="164"/>
      <c r="C272" s="9"/>
      <c r="D272" s="9"/>
      <c r="E272" s="9"/>
      <c r="F272" s="9"/>
      <c r="G272" s="164"/>
      <c r="H272" s="164"/>
      <c r="I272" s="164"/>
      <c r="J272" s="652"/>
      <c r="K272" s="164"/>
      <c r="L272" s="164"/>
      <c r="M272" s="164"/>
      <c r="N272" s="164"/>
      <c r="O272" s="164"/>
      <c r="P272" s="164"/>
      <c r="Q272" s="164"/>
      <c r="R272" s="164"/>
      <c r="S272" s="164"/>
      <c r="T272" s="164"/>
      <c r="U272" s="164"/>
      <c r="V272" s="164"/>
      <c r="W272" s="164"/>
      <c r="X272" s="164"/>
      <c r="Y272" s="164"/>
      <c r="Z272" s="164"/>
      <c r="AA272" s="164"/>
      <c r="AB272" s="164"/>
    </row>
    <row r="273">
      <c r="A273" s="164"/>
      <c r="B273" s="164"/>
      <c r="C273" s="9"/>
      <c r="D273" s="9"/>
      <c r="E273" s="9"/>
      <c r="F273" s="9"/>
      <c r="G273" s="164"/>
      <c r="H273" s="164"/>
      <c r="I273" s="164"/>
      <c r="J273" s="652"/>
      <c r="K273" s="164"/>
      <c r="L273" s="164"/>
      <c r="M273" s="164"/>
      <c r="N273" s="164"/>
      <c r="O273" s="164"/>
      <c r="P273" s="164"/>
      <c r="Q273" s="164"/>
      <c r="R273" s="164"/>
      <c r="S273" s="164"/>
      <c r="T273" s="164"/>
      <c r="U273" s="164"/>
      <c r="V273" s="164"/>
      <c r="W273" s="164"/>
      <c r="X273" s="164"/>
      <c r="Y273" s="164"/>
      <c r="Z273" s="164"/>
      <c r="AA273" s="164"/>
      <c r="AB273" s="164"/>
    </row>
    <row r="274">
      <c r="A274" s="164"/>
      <c r="B274" s="164"/>
      <c r="C274" s="9"/>
      <c r="D274" s="9"/>
      <c r="E274" s="9"/>
      <c r="F274" s="9"/>
      <c r="G274" s="164"/>
      <c r="H274" s="164"/>
      <c r="I274" s="164"/>
      <c r="J274" s="652"/>
      <c r="K274" s="164"/>
      <c r="L274" s="164"/>
      <c r="M274" s="164"/>
      <c r="N274" s="164"/>
      <c r="O274" s="164"/>
      <c r="P274" s="164"/>
      <c r="Q274" s="164"/>
      <c r="R274" s="164"/>
      <c r="S274" s="164"/>
      <c r="T274" s="164"/>
      <c r="U274" s="164"/>
      <c r="V274" s="164"/>
      <c r="W274" s="164"/>
      <c r="X274" s="164"/>
      <c r="Y274" s="164"/>
      <c r="Z274" s="164"/>
      <c r="AA274" s="164"/>
      <c r="AB274" s="164"/>
    </row>
    <row r="275">
      <c r="A275" s="164"/>
      <c r="B275" s="164"/>
      <c r="C275" s="9"/>
      <c r="D275" s="9"/>
      <c r="E275" s="9"/>
      <c r="F275" s="9"/>
      <c r="G275" s="164"/>
      <c r="H275" s="164"/>
      <c r="I275" s="164"/>
      <c r="J275" s="652"/>
      <c r="K275" s="164"/>
      <c r="L275" s="164"/>
      <c r="M275" s="164"/>
      <c r="N275" s="164"/>
      <c r="O275" s="164"/>
      <c r="P275" s="164"/>
      <c r="Q275" s="164"/>
      <c r="R275" s="164"/>
      <c r="S275" s="164"/>
      <c r="T275" s="164"/>
      <c r="U275" s="164"/>
      <c r="V275" s="164"/>
      <c r="W275" s="164"/>
      <c r="X275" s="164"/>
      <c r="Y275" s="164"/>
      <c r="Z275" s="164"/>
      <c r="AA275" s="164"/>
      <c r="AB275" s="164"/>
    </row>
    <row r="276">
      <c r="A276" s="164"/>
      <c r="B276" s="164"/>
      <c r="C276" s="9"/>
      <c r="D276" s="9"/>
      <c r="E276" s="9"/>
      <c r="F276" s="9"/>
      <c r="G276" s="164"/>
      <c r="H276" s="164"/>
      <c r="I276" s="164"/>
      <c r="J276" s="652"/>
      <c r="K276" s="164"/>
      <c r="L276" s="164"/>
      <c r="M276" s="164"/>
      <c r="N276" s="164"/>
      <c r="O276" s="164"/>
      <c r="P276" s="164"/>
      <c r="Q276" s="164"/>
      <c r="R276" s="164"/>
      <c r="S276" s="164"/>
      <c r="T276" s="164"/>
      <c r="U276" s="164"/>
      <c r="V276" s="164"/>
      <c r="W276" s="164"/>
      <c r="X276" s="164"/>
      <c r="Y276" s="164"/>
      <c r="Z276" s="164"/>
      <c r="AA276" s="164"/>
      <c r="AB276" s="164"/>
    </row>
    <row r="277">
      <c r="A277" s="164"/>
      <c r="B277" s="164"/>
      <c r="C277" s="9"/>
      <c r="D277" s="9"/>
      <c r="E277" s="9"/>
      <c r="F277" s="9"/>
      <c r="G277" s="164"/>
      <c r="H277" s="164"/>
      <c r="I277" s="164"/>
      <c r="J277" s="652"/>
      <c r="K277" s="164"/>
      <c r="L277" s="164"/>
      <c r="M277" s="164"/>
      <c r="N277" s="164"/>
      <c r="O277" s="164"/>
      <c r="P277" s="164"/>
      <c r="Q277" s="164"/>
      <c r="R277" s="164"/>
      <c r="S277" s="164"/>
      <c r="T277" s="164"/>
      <c r="U277" s="164"/>
      <c r="V277" s="164"/>
      <c r="W277" s="164"/>
      <c r="X277" s="164"/>
      <c r="Y277" s="164"/>
      <c r="Z277" s="164"/>
      <c r="AA277" s="164"/>
      <c r="AB277" s="164"/>
    </row>
    <row r="278">
      <c r="A278" s="164"/>
      <c r="B278" s="164"/>
      <c r="C278" s="9"/>
      <c r="D278" s="9"/>
      <c r="E278" s="9"/>
      <c r="F278" s="9"/>
      <c r="G278" s="164"/>
      <c r="H278" s="164"/>
      <c r="I278" s="164"/>
      <c r="J278" s="652"/>
      <c r="K278" s="164"/>
      <c r="L278" s="164"/>
      <c r="M278" s="164"/>
      <c r="N278" s="164"/>
      <c r="O278" s="164"/>
      <c r="P278" s="164"/>
      <c r="Q278" s="164"/>
      <c r="R278" s="164"/>
      <c r="S278" s="164"/>
      <c r="T278" s="164"/>
      <c r="U278" s="164"/>
      <c r="V278" s="164"/>
      <c r="W278" s="164"/>
      <c r="X278" s="164"/>
      <c r="Y278" s="164"/>
      <c r="Z278" s="164"/>
      <c r="AA278" s="164"/>
      <c r="AB278" s="164"/>
    </row>
    <row r="279">
      <c r="A279" s="164"/>
      <c r="B279" s="164"/>
      <c r="C279" s="9"/>
      <c r="D279" s="9"/>
      <c r="E279" s="9"/>
      <c r="F279" s="9"/>
      <c r="G279" s="164"/>
      <c r="H279" s="164"/>
      <c r="I279" s="164"/>
      <c r="J279" s="652"/>
      <c r="K279" s="164"/>
      <c r="L279" s="164"/>
      <c r="M279" s="164"/>
      <c r="N279" s="164"/>
      <c r="O279" s="164"/>
      <c r="P279" s="164"/>
      <c r="Q279" s="164"/>
      <c r="R279" s="164"/>
      <c r="S279" s="164"/>
      <c r="T279" s="164"/>
      <c r="U279" s="164"/>
      <c r="V279" s="164"/>
      <c r="W279" s="164"/>
      <c r="X279" s="164"/>
      <c r="Y279" s="164"/>
      <c r="Z279" s="164"/>
      <c r="AA279" s="164"/>
      <c r="AB279" s="164"/>
    </row>
    <row r="280">
      <c r="A280" s="164"/>
      <c r="B280" s="164"/>
      <c r="C280" s="9"/>
      <c r="D280" s="9"/>
      <c r="E280" s="9"/>
      <c r="F280" s="9"/>
      <c r="G280" s="164"/>
      <c r="H280" s="164"/>
      <c r="I280" s="164"/>
      <c r="J280" s="652"/>
      <c r="K280" s="164"/>
      <c r="L280" s="164"/>
      <c r="M280" s="164"/>
      <c r="N280" s="164"/>
      <c r="O280" s="164"/>
      <c r="P280" s="164"/>
      <c r="Q280" s="164"/>
      <c r="R280" s="164"/>
      <c r="S280" s="164"/>
      <c r="T280" s="164"/>
      <c r="U280" s="164"/>
      <c r="V280" s="164"/>
      <c r="W280" s="164"/>
      <c r="X280" s="164"/>
      <c r="Y280" s="164"/>
      <c r="Z280" s="164"/>
      <c r="AA280" s="164"/>
      <c r="AB280" s="164"/>
    </row>
    <row r="281">
      <c r="A281" s="164"/>
      <c r="B281" s="164"/>
      <c r="C281" s="9"/>
      <c r="D281" s="9"/>
      <c r="E281" s="9"/>
      <c r="F281" s="9"/>
      <c r="G281" s="164"/>
      <c r="H281" s="164"/>
      <c r="I281" s="164"/>
      <c r="J281" s="652"/>
      <c r="K281" s="164"/>
      <c r="L281" s="164"/>
      <c r="M281" s="164"/>
      <c r="N281" s="164"/>
      <c r="O281" s="164"/>
      <c r="P281" s="164"/>
      <c r="Q281" s="164"/>
      <c r="R281" s="164"/>
      <c r="S281" s="164"/>
      <c r="T281" s="164"/>
      <c r="U281" s="164"/>
      <c r="V281" s="164"/>
      <c r="W281" s="164"/>
      <c r="X281" s="164"/>
      <c r="Y281" s="164"/>
      <c r="Z281" s="164"/>
      <c r="AA281" s="164"/>
      <c r="AB281" s="164"/>
    </row>
    <row r="282">
      <c r="A282" s="164"/>
      <c r="B282" s="164"/>
      <c r="C282" s="9"/>
      <c r="D282" s="9"/>
      <c r="E282" s="9"/>
      <c r="F282" s="9"/>
      <c r="G282" s="164"/>
      <c r="H282" s="164"/>
      <c r="I282" s="164"/>
      <c r="J282" s="652"/>
      <c r="K282" s="164"/>
      <c r="L282" s="164"/>
      <c r="M282" s="164"/>
      <c r="N282" s="164"/>
      <c r="O282" s="164"/>
      <c r="P282" s="164"/>
      <c r="Q282" s="164"/>
      <c r="R282" s="164"/>
      <c r="S282" s="164"/>
      <c r="T282" s="164"/>
      <c r="U282" s="164"/>
      <c r="V282" s="164"/>
      <c r="W282" s="164"/>
      <c r="X282" s="164"/>
      <c r="Y282" s="164"/>
      <c r="Z282" s="164"/>
      <c r="AA282" s="164"/>
      <c r="AB282" s="164"/>
    </row>
    <row r="283">
      <c r="A283" s="164"/>
      <c r="B283" s="164"/>
      <c r="C283" s="9"/>
      <c r="D283" s="9"/>
      <c r="E283" s="9"/>
      <c r="F283" s="9"/>
      <c r="G283" s="164"/>
      <c r="H283" s="164"/>
      <c r="I283" s="164"/>
      <c r="J283" s="652"/>
      <c r="K283" s="164"/>
      <c r="L283" s="164"/>
      <c r="M283" s="164"/>
      <c r="N283" s="164"/>
      <c r="O283" s="164"/>
      <c r="P283" s="164"/>
      <c r="Q283" s="164"/>
      <c r="R283" s="164"/>
      <c r="S283" s="164"/>
      <c r="T283" s="164"/>
      <c r="U283" s="164"/>
      <c r="V283" s="164"/>
      <c r="W283" s="164"/>
      <c r="X283" s="164"/>
      <c r="Y283" s="164"/>
      <c r="Z283" s="164"/>
      <c r="AA283" s="164"/>
      <c r="AB283" s="164"/>
    </row>
    <row r="284">
      <c r="A284" s="164"/>
      <c r="B284" s="164"/>
      <c r="C284" s="9"/>
      <c r="D284" s="9"/>
      <c r="E284" s="9"/>
      <c r="F284" s="9"/>
      <c r="G284" s="164"/>
      <c r="H284" s="164"/>
      <c r="I284" s="164"/>
      <c r="J284" s="652"/>
      <c r="K284" s="164"/>
      <c r="L284" s="164"/>
      <c r="M284" s="164"/>
      <c r="N284" s="164"/>
      <c r="O284" s="164"/>
      <c r="P284" s="164"/>
      <c r="Q284" s="164"/>
      <c r="R284" s="164"/>
      <c r="S284" s="164"/>
      <c r="T284" s="164"/>
      <c r="U284" s="164"/>
      <c r="V284" s="164"/>
      <c r="W284" s="164"/>
      <c r="X284" s="164"/>
      <c r="Y284" s="164"/>
      <c r="Z284" s="164"/>
      <c r="AA284" s="164"/>
      <c r="AB284" s="164"/>
    </row>
    <row r="285">
      <c r="A285" s="164"/>
      <c r="B285" s="164"/>
      <c r="C285" s="9"/>
      <c r="D285" s="9"/>
      <c r="E285" s="9"/>
      <c r="F285" s="9"/>
      <c r="G285" s="164"/>
      <c r="H285" s="164"/>
      <c r="I285" s="164"/>
      <c r="J285" s="652"/>
      <c r="K285" s="164"/>
      <c r="L285" s="164"/>
      <c r="M285" s="164"/>
      <c r="N285" s="164"/>
      <c r="O285" s="164"/>
      <c r="P285" s="164"/>
      <c r="Q285" s="164"/>
      <c r="R285" s="164"/>
      <c r="S285" s="164"/>
      <c r="T285" s="164"/>
      <c r="U285" s="164"/>
      <c r="V285" s="164"/>
      <c r="W285" s="164"/>
      <c r="X285" s="164"/>
      <c r="Y285" s="164"/>
      <c r="Z285" s="164"/>
      <c r="AA285" s="164"/>
      <c r="AB285" s="164"/>
    </row>
    <row r="286">
      <c r="A286" s="164"/>
      <c r="B286" s="164"/>
      <c r="C286" s="9"/>
      <c r="D286" s="9"/>
      <c r="E286" s="9"/>
      <c r="F286" s="9"/>
      <c r="G286" s="164"/>
      <c r="H286" s="164"/>
      <c r="I286" s="164"/>
      <c r="J286" s="652"/>
      <c r="K286" s="164"/>
      <c r="L286" s="164"/>
      <c r="M286" s="164"/>
      <c r="N286" s="164"/>
      <c r="O286" s="164"/>
      <c r="P286" s="164"/>
      <c r="Q286" s="164"/>
      <c r="R286" s="164"/>
      <c r="S286" s="164"/>
      <c r="T286" s="164"/>
      <c r="U286" s="164"/>
      <c r="V286" s="164"/>
      <c r="W286" s="164"/>
      <c r="X286" s="164"/>
      <c r="Y286" s="164"/>
      <c r="Z286" s="164"/>
      <c r="AA286" s="164"/>
      <c r="AB286" s="164"/>
    </row>
    <row r="287">
      <c r="A287" s="164"/>
      <c r="B287" s="164"/>
      <c r="C287" s="9"/>
      <c r="D287" s="9"/>
      <c r="E287" s="9"/>
      <c r="F287" s="9"/>
      <c r="G287" s="164"/>
      <c r="H287" s="164"/>
      <c r="I287" s="164"/>
      <c r="J287" s="652"/>
      <c r="K287" s="164"/>
      <c r="L287" s="164"/>
      <c r="M287" s="164"/>
      <c r="N287" s="164"/>
      <c r="O287" s="164"/>
      <c r="P287" s="164"/>
      <c r="Q287" s="164"/>
      <c r="R287" s="164"/>
      <c r="S287" s="164"/>
      <c r="T287" s="164"/>
      <c r="U287" s="164"/>
      <c r="V287" s="164"/>
      <c r="W287" s="164"/>
      <c r="X287" s="164"/>
      <c r="Y287" s="164"/>
      <c r="Z287" s="164"/>
      <c r="AA287" s="164"/>
      <c r="AB287" s="164"/>
    </row>
    <row r="288">
      <c r="A288" s="164"/>
      <c r="B288" s="164"/>
      <c r="C288" s="9"/>
      <c r="D288" s="9"/>
      <c r="E288" s="9"/>
      <c r="F288" s="9"/>
      <c r="G288" s="164"/>
      <c r="H288" s="164"/>
      <c r="I288" s="164"/>
      <c r="J288" s="652"/>
      <c r="K288" s="164"/>
      <c r="L288" s="164"/>
      <c r="M288" s="164"/>
      <c r="N288" s="164"/>
      <c r="O288" s="164"/>
      <c r="P288" s="164"/>
      <c r="Q288" s="164"/>
      <c r="R288" s="164"/>
      <c r="S288" s="164"/>
      <c r="T288" s="164"/>
      <c r="U288" s="164"/>
      <c r="V288" s="164"/>
      <c r="W288" s="164"/>
      <c r="X288" s="164"/>
      <c r="Y288" s="164"/>
      <c r="Z288" s="164"/>
      <c r="AA288" s="164"/>
      <c r="AB288" s="164"/>
    </row>
    <row r="289">
      <c r="A289" s="164"/>
      <c r="B289" s="164"/>
      <c r="C289" s="9"/>
      <c r="D289" s="9"/>
      <c r="E289" s="9"/>
      <c r="F289" s="9"/>
      <c r="G289" s="164"/>
      <c r="H289" s="164"/>
      <c r="I289" s="164"/>
      <c r="J289" s="652"/>
      <c r="K289" s="164"/>
      <c r="L289" s="164"/>
      <c r="M289" s="164"/>
      <c r="N289" s="164"/>
      <c r="O289" s="164"/>
      <c r="P289" s="164"/>
      <c r="Q289" s="164"/>
      <c r="R289" s="164"/>
      <c r="S289" s="164"/>
      <c r="T289" s="164"/>
      <c r="U289" s="164"/>
      <c r="V289" s="164"/>
      <c r="W289" s="164"/>
      <c r="X289" s="164"/>
      <c r="Y289" s="164"/>
      <c r="Z289" s="164"/>
      <c r="AA289" s="164"/>
      <c r="AB289" s="164"/>
    </row>
    <row r="290">
      <c r="A290" s="164"/>
      <c r="B290" s="164"/>
      <c r="C290" s="9"/>
      <c r="D290" s="9"/>
      <c r="E290" s="9"/>
      <c r="F290" s="9"/>
      <c r="G290" s="164"/>
      <c r="H290" s="164"/>
      <c r="I290" s="164"/>
      <c r="J290" s="652"/>
      <c r="K290" s="164"/>
      <c r="L290" s="164"/>
      <c r="M290" s="164"/>
      <c r="N290" s="164"/>
      <c r="O290" s="164"/>
      <c r="P290" s="164"/>
      <c r="Q290" s="164"/>
      <c r="R290" s="164"/>
      <c r="S290" s="164"/>
      <c r="T290" s="164"/>
      <c r="U290" s="164"/>
      <c r="V290" s="164"/>
      <c r="W290" s="164"/>
      <c r="X290" s="164"/>
      <c r="Y290" s="164"/>
      <c r="Z290" s="164"/>
      <c r="AA290" s="164"/>
      <c r="AB290" s="164"/>
    </row>
    <row r="291">
      <c r="A291" s="164"/>
      <c r="B291" s="164"/>
      <c r="C291" s="9"/>
      <c r="D291" s="9"/>
      <c r="E291" s="9"/>
      <c r="F291" s="9"/>
      <c r="G291" s="164"/>
      <c r="H291" s="164"/>
      <c r="I291" s="164"/>
      <c r="J291" s="652"/>
      <c r="K291" s="164"/>
      <c r="L291" s="164"/>
      <c r="M291" s="164"/>
      <c r="N291" s="164"/>
      <c r="O291" s="164"/>
      <c r="P291" s="164"/>
      <c r="Q291" s="164"/>
      <c r="R291" s="164"/>
      <c r="S291" s="164"/>
      <c r="T291" s="164"/>
      <c r="U291" s="164"/>
      <c r="V291" s="164"/>
      <c r="W291" s="164"/>
      <c r="X291" s="164"/>
      <c r="Y291" s="164"/>
      <c r="Z291" s="164"/>
      <c r="AA291" s="164"/>
      <c r="AB291" s="164"/>
    </row>
    <row r="292">
      <c r="A292" s="164"/>
      <c r="B292" s="164"/>
      <c r="C292" s="9"/>
      <c r="D292" s="9"/>
      <c r="E292" s="9"/>
      <c r="F292" s="9"/>
      <c r="G292" s="164"/>
      <c r="H292" s="164"/>
      <c r="I292" s="164"/>
      <c r="J292" s="652"/>
      <c r="K292" s="164"/>
      <c r="L292" s="164"/>
      <c r="M292" s="164"/>
      <c r="N292" s="164"/>
      <c r="O292" s="164"/>
      <c r="P292" s="164"/>
      <c r="Q292" s="164"/>
      <c r="R292" s="164"/>
      <c r="S292" s="164"/>
      <c r="T292" s="164"/>
      <c r="U292" s="164"/>
      <c r="V292" s="164"/>
      <c r="W292" s="164"/>
      <c r="X292" s="164"/>
      <c r="Y292" s="164"/>
      <c r="Z292" s="164"/>
      <c r="AA292" s="164"/>
      <c r="AB292" s="164"/>
    </row>
    <row r="293">
      <c r="A293" s="164"/>
      <c r="B293" s="164"/>
      <c r="C293" s="9"/>
      <c r="D293" s="9"/>
      <c r="E293" s="9"/>
      <c r="F293" s="9"/>
      <c r="G293" s="164"/>
      <c r="H293" s="164"/>
      <c r="I293" s="164"/>
      <c r="J293" s="652"/>
      <c r="K293" s="164"/>
      <c r="L293" s="164"/>
      <c r="M293" s="164"/>
      <c r="N293" s="164"/>
      <c r="O293" s="164"/>
      <c r="P293" s="164"/>
      <c r="Q293" s="164"/>
      <c r="R293" s="164"/>
      <c r="S293" s="164"/>
      <c r="T293" s="164"/>
      <c r="U293" s="164"/>
      <c r="V293" s="164"/>
      <c r="W293" s="164"/>
      <c r="X293" s="164"/>
      <c r="Y293" s="164"/>
      <c r="Z293" s="164"/>
      <c r="AA293" s="164"/>
      <c r="AB293" s="164"/>
    </row>
    <row r="294">
      <c r="A294" s="164"/>
      <c r="B294" s="164"/>
      <c r="C294" s="9"/>
      <c r="D294" s="9"/>
      <c r="E294" s="9"/>
      <c r="F294" s="9"/>
      <c r="G294" s="164"/>
      <c r="H294" s="164"/>
      <c r="I294" s="164"/>
      <c r="J294" s="652"/>
      <c r="K294" s="164"/>
      <c r="L294" s="164"/>
      <c r="M294" s="164"/>
      <c r="N294" s="164"/>
      <c r="O294" s="164"/>
      <c r="P294" s="164"/>
      <c r="Q294" s="164"/>
      <c r="R294" s="164"/>
      <c r="S294" s="164"/>
      <c r="T294" s="164"/>
      <c r="U294" s="164"/>
      <c r="V294" s="164"/>
      <c r="W294" s="164"/>
      <c r="X294" s="164"/>
      <c r="Y294" s="164"/>
      <c r="Z294" s="164"/>
      <c r="AA294" s="164"/>
      <c r="AB294" s="164"/>
    </row>
    <row r="295">
      <c r="A295" s="164"/>
      <c r="B295" s="164"/>
      <c r="C295" s="9"/>
      <c r="D295" s="9"/>
      <c r="E295" s="9"/>
      <c r="F295" s="9"/>
      <c r="G295" s="164"/>
      <c r="H295" s="164"/>
      <c r="I295" s="164"/>
      <c r="J295" s="652"/>
      <c r="K295" s="164"/>
      <c r="L295" s="164"/>
      <c r="M295" s="164"/>
      <c r="N295" s="164"/>
      <c r="O295" s="164"/>
      <c r="P295" s="164"/>
      <c r="Q295" s="164"/>
      <c r="R295" s="164"/>
      <c r="S295" s="164"/>
      <c r="T295" s="164"/>
      <c r="U295" s="164"/>
      <c r="V295" s="164"/>
      <c r="W295" s="164"/>
      <c r="X295" s="164"/>
      <c r="Y295" s="164"/>
      <c r="Z295" s="164"/>
      <c r="AA295" s="164"/>
      <c r="AB295" s="164"/>
    </row>
    <row r="296">
      <c r="A296" s="164"/>
      <c r="B296" s="164"/>
      <c r="C296" s="9"/>
      <c r="D296" s="9"/>
      <c r="E296" s="9"/>
      <c r="F296" s="9"/>
      <c r="G296" s="164"/>
      <c r="H296" s="164"/>
      <c r="I296" s="164"/>
      <c r="J296" s="652"/>
      <c r="K296" s="164"/>
      <c r="L296" s="164"/>
      <c r="M296" s="164"/>
      <c r="N296" s="164"/>
      <c r="O296" s="164"/>
      <c r="P296" s="164"/>
      <c r="Q296" s="164"/>
      <c r="R296" s="164"/>
      <c r="S296" s="164"/>
      <c r="T296" s="164"/>
      <c r="U296" s="164"/>
      <c r="V296" s="164"/>
      <c r="W296" s="164"/>
      <c r="X296" s="164"/>
      <c r="Y296" s="164"/>
      <c r="Z296" s="164"/>
      <c r="AA296" s="164"/>
      <c r="AB296" s="164"/>
    </row>
    <row r="297">
      <c r="A297" s="164"/>
      <c r="B297" s="164"/>
      <c r="C297" s="9"/>
      <c r="D297" s="9"/>
      <c r="E297" s="9"/>
      <c r="F297" s="9"/>
      <c r="G297" s="164"/>
      <c r="H297" s="164"/>
      <c r="I297" s="164"/>
      <c r="J297" s="652"/>
      <c r="K297" s="164"/>
      <c r="L297" s="164"/>
      <c r="M297" s="164"/>
      <c r="N297" s="164"/>
      <c r="O297" s="164"/>
      <c r="P297" s="164"/>
      <c r="Q297" s="164"/>
      <c r="R297" s="164"/>
      <c r="S297" s="164"/>
      <c r="T297" s="164"/>
      <c r="U297" s="164"/>
      <c r="V297" s="164"/>
      <c r="W297" s="164"/>
      <c r="X297" s="164"/>
      <c r="Y297" s="164"/>
      <c r="Z297" s="164"/>
      <c r="AA297" s="164"/>
      <c r="AB297" s="164"/>
    </row>
    <row r="298">
      <c r="A298" s="164"/>
      <c r="B298" s="164"/>
      <c r="C298" s="9"/>
      <c r="D298" s="9"/>
      <c r="E298" s="9"/>
      <c r="F298" s="9"/>
      <c r="G298" s="164"/>
      <c r="H298" s="164"/>
      <c r="I298" s="164"/>
      <c r="J298" s="652"/>
      <c r="K298" s="164"/>
      <c r="L298" s="164"/>
      <c r="M298" s="164"/>
      <c r="N298" s="164"/>
      <c r="O298" s="164"/>
      <c r="P298" s="164"/>
      <c r="Q298" s="164"/>
      <c r="R298" s="164"/>
      <c r="S298" s="164"/>
      <c r="T298" s="164"/>
      <c r="U298" s="164"/>
      <c r="V298" s="164"/>
      <c r="W298" s="164"/>
      <c r="X298" s="164"/>
      <c r="Y298" s="164"/>
      <c r="Z298" s="164"/>
      <c r="AA298" s="164"/>
      <c r="AB298" s="164"/>
    </row>
    <row r="299">
      <c r="A299" s="164"/>
      <c r="B299" s="164"/>
      <c r="C299" s="9"/>
      <c r="D299" s="9"/>
      <c r="E299" s="9"/>
      <c r="F299" s="9"/>
      <c r="G299" s="164"/>
      <c r="H299" s="164"/>
      <c r="I299" s="164"/>
      <c r="J299" s="652"/>
      <c r="K299" s="164"/>
      <c r="L299" s="164"/>
      <c r="M299" s="164"/>
      <c r="N299" s="164"/>
      <c r="O299" s="164"/>
      <c r="P299" s="164"/>
      <c r="Q299" s="164"/>
      <c r="R299" s="164"/>
      <c r="S299" s="164"/>
      <c r="T299" s="164"/>
      <c r="U299" s="164"/>
      <c r="V299" s="164"/>
      <c r="W299" s="164"/>
      <c r="X299" s="164"/>
      <c r="Y299" s="164"/>
      <c r="Z299" s="164"/>
      <c r="AA299" s="164"/>
      <c r="AB299" s="164"/>
    </row>
    <row r="300">
      <c r="A300" s="164"/>
      <c r="B300" s="164"/>
      <c r="C300" s="9"/>
      <c r="D300" s="9"/>
      <c r="E300" s="9"/>
      <c r="F300" s="9"/>
      <c r="G300" s="164"/>
      <c r="H300" s="164"/>
      <c r="I300" s="164"/>
      <c r="J300" s="652"/>
      <c r="K300" s="164"/>
      <c r="L300" s="164"/>
      <c r="M300" s="164"/>
      <c r="N300" s="164"/>
      <c r="O300" s="164"/>
      <c r="P300" s="164"/>
      <c r="Q300" s="164"/>
      <c r="R300" s="164"/>
      <c r="S300" s="164"/>
      <c r="T300" s="164"/>
      <c r="U300" s="164"/>
      <c r="V300" s="164"/>
      <c r="W300" s="164"/>
      <c r="X300" s="164"/>
      <c r="Y300" s="164"/>
      <c r="Z300" s="164"/>
      <c r="AA300" s="164"/>
      <c r="AB300" s="164"/>
    </row>
    <row r="301">
      <c r="A301" s="164"/>
      <c r="B301" s="164"/>
      <c r="C301" s="9"/>
      <c r="D301" s="9"/>
      <c r="E301" s="9"/>
      <c r="F301" s="9"/>
      <c r="G301" s="164"/>
      <c r="H301" s="164"/>
      <c r="I301" s="164"/>
      <c r="J301" s="652"/>
      <c r="K301" s="164"/>
      <c r="L301" s="164"/>
      <c r="M301" s="164"/>
      <c r="N301" s="164"/>
      <c r="O301" s="164"/>
      <c r="P301" s="164"/>
      <c r="Q301" s="164"/>
      <c r="R301" s="164"/>
      <c r="S301" s="164"/>
      <c r="T301" s="164"/>
      <c r="U301" s="164"/>
      <c r="V301" s="164"/>
      <c r="W301" s="164"/>
      <c r="X301" s="164"/>
      <c r="Y301" s="164"/>
      <c r="Z301" s="164"/>
      <c r="AA301" s="164"/>
      <c r="AB301" s="164"/>
    </row>
    <row r="302">
      <c r="A302" s="164"/>
      <c r="B302" s="164"/>
      <c r="C302" s="9"/>
      <c r="D302" s="9"/>
      <c r="E302" s="9"/>
      <c r="F302" s="9"/>
      <c r="G302" s="164"/>
      <c r="H302" s="164"/>
      <c r="I302" s="164"/>
      <c r="J302" s="652"/>
      <c r="K302" s="164"/>
      <c r="L302" s="164"/>
      <c r="M302" s="164"/>
      <c r="N302" s="164"/>
      <c r="O302" s="164"/>
      <c r="P302" s="164"/>
      <c r="Q302" s="164"/>
      <c r="R302" s="164"/>
      <c r="S302" s="164"/>
      <c r="T302" s="164"/>
      <c r="U302" s="164"/>
      <c r="V302" s="164"/>
      <c r="W302" s="164"/>
      <c r="X302" s="164"/>
      <c r="Y302" s="164"/>
      <c r="Z302" s="164"/>
      <c r="AA302" s="164"/>
      <c r="AB302" s="164"/>
    </row>
    <row r="303">
      <c r="A303" s="164"/>
      <c r="B303" s="164"/>
      <c r="C303" s="9"/>
      <c r="D303" s="9"/>
      <c r="E303" s="9"/>
      <c r="F303" s="9"/>
      <c r="G303" s="164"/>
      <c r="H303" s="164"/>
      <c r="I303" s="164"/>
      <c r="J303" s="652"/>
      <c r="K303" s="164"/>
      <c r="L303" s="164"/>
      <c r="M303" s="164"/>
      <c r="N303" s="164"/>
      <c r="O303" s="164"/>
      <c r="P303" s="164"/>
      <c r="Q303" s="164"/>
      <c r="R303" s="164"/>
      <c r="S303" s="164"/>
      <c r="T303" s="164"/>
      <c r="U303" s="164"/>
      <c r="V303" s="164"/>
      <c r="W303" s="164"/>
      <c r="X303" s="164"/>
      <c r="Y303" s="164"/>
      <c r="Z303" s="164"/>
      <c r="AA303" s="164"/>
      <c r="AB303" s="164"/>
    </row>
    <row r="304">
      <c r="A304" s="164"/>
      <c r="B304" s="164"/>
      <c r="C304" s="9"/>
      <c r="D304" s="9"/>
      <c r="E304" s="9"/>
      <c r="F304" s="9"/>
      <c r="G304" s="164"/>
      <c r="H304" s="164"/>
      <c r="I304" s="164"/>
      <c r="J304" s="652"/>
      <c r="K304" s="164"/>
      <c r="L304" s="164"/>
      <c r="M304" s="164"/>
      <c r="N304" s="164"/>
      <c r="O304" s="164"/>
      <c r="P304" s="164"/>
      <c r="Q304" s="164"/>
      <c r="R304" s="164"/>
      <c r="S304" s="164"/>
      <c r="T304" s="164"/>
      <c r="U304" s="164"/>
      <c r="V304" s="164"/>
      <c r="W304" s="164"/>
      <c r="X304" s="164"/>
      <c r="Y304" s="164"/>
      <c r="Z304" s="164"/>
      <c r="AA304" s="164"/>
      <c r="AB304" s="164"/>
    </row>
    <row r="305">
      <c r="A305" s="164"/>
      <c r="B305" s="164"/>
      <c r="C305" s="9"/>
      <c r="D305" s="9"/>
      <c r="E305" s="9"/>
      <c r="F305" s="9"/>
      <c r="G305" s="164"/>
      <c r="H305" s="164"/>
      <c r="I305" s="164"/>
      <c r="J305" s="652"/>
      <c r="K305" s="164"/>
      <c r="L305" s="164"/>
      <c r="M305" s="164"/>
      <c r="N305" s="164"/>
      <c r="O305" s="164"/>
      <c r="P305" s="164"/>
      <c r="Q305" s="164"/>
      <c r="R305" s="164"/>
      <c r="S305" s="164"/>
      <c r="T305" s="164"/>
      <c r="U305" s="164"/>
      <c r="V305" s="164"/>
      <c r="W305" s="164"/>
      <c r="X305" s="164"/>
      <c r="Y305" s="164"/>
      <c r="Z305" s="164"/>
      <c r="AA305" s="164"/>
      <c r="AB305" s="164"/>
    </row>
    <row r="306">
      <c r="A306" s="164"/>
      <c r="B306" s="164"/>
      <c r="C306" s="9"/>
      <c r="D306" s="9"/>
      <c r="E306" s="9"/>
      <c r="F306" s="9"/>
      <c r="G306" s="164"/>
      <c r="H306" s="164"/>
      <c r="I306" s="164"/>
      <c r="J306" s="652"/>
      <c r="K306" s="164"/>
      <c r="L306" s="164"/>
      <c r="M306" s="164"/>
      <c r="N306" s="164"/>
      <c r="O306" s="164"/>
      <c r="P306" s="164"/>
      <c r="Q306" s="164"/>
      <c r="R306" s="164"/>
      <c r="S306" s="164"/>
      <c r="T306" s="164"/>
      <c r="U306" s="164"/>
      <c r="V306" s="164"/>
      <c r="W306" s="164"/>
      <c r="X306" s="164"/>
      <c r="Y306" s="164"/>
      <c r="Z306" s="164"/>
      <c r="AA306" s="164"/>
      <c r="AB306" s="164"/>
    </row>
    <row r="307">
      <c r="A307" s="164"/>
      <c r="B307" s="164"/>
      <c r="C307" s="9"/>
      <c r="D307" s="9"/>
      <c r="E307" s="9"/>
      <c r="F307" s="9"/>
      <c r="G307" s="164"/>
      <c r="H307" s="164"/>
      <c r="I307" s="164"/>
      <c r="J307" s="652"/>
      <c r="K307" s="164"/>
      <c r="L307" s="164"/>
      <c r="M307" s="164"/>
      <c r="N307" s="164"/>
      <c r="O307" s="164"/>
      <c r="P307" s="164"/>
      <c r="Q307" s="164"/>
      <c r="R307" s="164"/>
      <c r="S307" s="164"/>
      <c r="T307" s="164"/>
      <c r="U307" s="164"/>
      <c r="V307" s="164"/>
      <c r="W307" s="164"/>
      <c r="X307" s="164"/>
      <c r="Y307" s="164"/>
      <c r="Z307" s="164"/>
      <c r="AA307" s="164"/>
      <c r="AB307" s="164"/>
    </row>
    <row r="308">
      <c r="A308" s="164"/>
      <c r="B308" s="164"/>
      <c r="C308" s="9"/>
      <c r="D308" s="9"/>
      <c r="E308" s="9"/>
      <c r="F308" s="9"/>
      <c r="G308" s="164"/>
      <c r="H308" s="164"/>
      <c r="I308" s="164"/>
      <c r="J308" s="652"/>
      <c r="K308" s="164"/>
      <c r="L308" s="164"/>
      <c r="M308" s="164"/>
      <c r="N308" s="164"/>
      <c r="O308" s="164"/>
      <c r="P308" s="164"/>
      <c r="Q308" s="164"/>
      <c r="R308" s="164"/>
      <c r="S308" s="164"/>
      <c r="T308" s="164"/>
      <c r="U308" s="164"/>
      <c r="V308" s="164"/>
      <c r="W308" s="164"/>
      <c r="X308" s="164"/>
      <c r="Y308" s="164"/>
      <c r="Z308" s="164"/>
      <c r="AA308" s="164"/>
      <c r="AB308" s="164"/>
    </row>
    <row r="309">
      <c r="A309" s="164"/>
      <c r="B309" s="164"/>
      <c r="C309" s="9"/>
      <c r="D309" s="9"/>
      <c r="E309" s="9"/>
      <c r="F309" s="9"/>
      <c r="G309" s="164"/>
      <c r="H309" s="164"/>
      <c r="I309" s="164"/>
      <c r="J309" s="652"/>
      <c r="K309" s="164"/>
      <c r="L309" s="164"/>
      <c r="M309" s="164"/>
      <c r="N309" s="164"/>
      <c r="O309" s="164"/>
      <c r="P309" s="164"/>
      <c r="Q309" s="164"/>
      <c r="R309" s="164"/>
      <c r="S309" s="164"/>
      <c r="T309" s="164"/>
      <c r="U309" s="164"/>
      <c r="V309" s="164"/>
      <c r="W309" s="164"/>
      <c r="X309" s="164"/>
      <c r="Y309" s="164"/>
      <c r="Z309" s="164"/>
      <c r="AA309" s="164"/>
      <c r="AB309" s="164"/>
    </row>
    <row r="310">
      <c r="A310" s="164"/>
      <c r="B310" s="164"/>
      <c r="C310" s="9"/>
      <c r="D310" s="9"/>
      <c r="E310" s="9"/>
      <c r="F310" s="9"/>
      <c r="G310" s="164"/>
      <c r="H310" s="164"/>
      <c r="I310" s="164"/>
      <c r="J310" s="652"/>
      <c r="K310" s="164"/>
      <c r="L310" s="164"/>
      <c r="M310" s="164"/>
      <c r="N310" s="164"/>
      <c r="O310" s="164"/>
      <c r="P310" s="164"/>
      <c r="Q310" s="164"/>
      <c r="R310" s="164"/>
      <c r="S310" s="164"/>
      <c r="T310" s="164"/>
      <c r="U310" s="164"/>
      <c r="V310" s="164"/>
      <c r="W310" s="164"/>
      <c r="X310" s="164"/>
      <c r="Y310" s="164"/>
      <c r="Z310" s="164"/>
      <c r="AA310" s="164"/>
      <c r="AB310" s="164"/>
    </row>
    <row r="311">
      <c r="A311" s="164"/>
      <c r="B311" s="164"/>
      <c r="C311" s="9"/>
      <c r="D311" s="9"/>
      <c r="E311" s="9"/>
      <c r="F311" s="9"/>
      <c r="G311" s="164"/>
      <c r="H311" s="164"/>
      <c r="I311" s="164"/>
      <c r="J311" s="652"/>
      <c r="K311" s="164"/>
      <c r="L311" s="164"/>
      <c r="M311" s="164"/>
      <c r="N311" s="164"/>
      <c r="O311" s="164"/>
      <c r="P311" s="164"/>
      <c r="Q311" s="164"/>
      <c r="R311" s="164"/>
      <c r="S311" s="164"/>
      <c r="T311" s="164"/>
      <c r="U311" s="164"/>
      <c r="V311" s="164"/>
      <c r="W311" s="164"/>
      <c r="X311" s="164"/>
      <c r="Y311" s="164"/>
      <c r="Z311" s="164"/>
      <c r="AA311" s="164"/>
      <c r="AB311" s="164"/>
    </row>
    <row r="312">
      <c r="A312" s="164"/>
      <c r="B312" s="164"/>
      <c r="C312" s="9"/>
      <c r="D312" s="9"/>
      <c r="E312" s="9"/>
      <c r="F312" s="9"/>
      <c r="G312" s="164"/>
      <c r="H312" s="164"/>
      <c r="I312" s="164"/>
      <c r="J312" s="652"/>
      <c r="K312" s="164"/>
      <c r="L312" s="164"/>
      <c r="M312" s="164"/>
      <c r="N312" s="164"/>
      <c r="O312" s="164"/>
      <c r="P312" s="164"/>
      <c r="Q312" s="164"/>
      <c r="R312" s="164"/>
      <c r="S312" s="164"/>
      <c r="T312" s="164"/>
      <c r="U312" s="164"/>
      <c r="V312" s="164"/>
      <c r="W312" s="164"/>
      <c r="X312" s="164"/>
      <c r="Y312" s="164"/>
      <c r="Z312" s="164"/>
      <c r="AA312" s="164"/>
      <c r="AB312" s="164"/>
    </row>
    <row r="313">
      <c r="A313" s="164"/>
      <c r="B313" s="164"/>
      <c r="C313" s="9"/>
      <c r="D313" s="9"/>
      <c r="E313" s="9"/>
      <c r="F313" s="9"/>
      <c r="G313" s="164"/>
      <c r="H313" s="164"/>
      <c r="I313" s="164"/>
      <c r="J313" s="652"/>
      <c r="K313" s="164"/>
      <c r="L313" s="164"/>
      <c r="M313" s="164"/>
      <c r="N313" s="164"/>
      <c r="O313" s="164"/>
      <c r="P313" s="164"/>
      <c r="Q313" s="164"/>
      <c r="R313" s="164"/>
      <c r="S313" s="164"/>
      <c r="T313" s="164"/>
      <c r="U313" s="164"/>
      <c r="V313" s="164"/>
      <c r="W313" s="164"/>
      <c r="X313" s="164"/>
      <c r="Y313" s="164"/>
      <c r="Z313" s="164"/>
      <c r="AA313" s="164"/>
      <c r="AB313" s="164"/>
    </row>
    <row r="314">
      <c r="A314" s="164"/>
      <c r="B314" s="164"/>
      <c r="C314" s="9"/>
      <c r="D314" s="9"/>
      <c r="E314" s="9"/>
      <c r="F314" s="9"/>
      <c r="G314" s="164"/>
      <c r="H314" s="164"/>
      <c r="I314" s="164"/>
      <c r="J314" s="652"/>
      <c r="K314" s="164"/>
      <c r="L314" s="164"/>
      <c r="M314" s="164"/>
      <c r="N314" s="164"/>
      <c r="O314" s="164"/>
      <c r="P314" s="164"/>
      <c r="Q314" s="164"/>
      <c r="R314" s="164"/>
      <c r="S314" s="164"/>
      <c r="T314" s="164"/>
      <c r="U314" s="164"/>
      <c r="V314" s="164"/>
      <c r="W314" s="164"/>
      <c r="X314" s="164"/>
      <c r="Y314" s="164"/>
      <c r="Z314" s="164"/>
      <c r="AA314" s="164"/>
      <c r="AB314" s="164"/>
    </row>
    <row r="315">
      <c r="A315" s="164"/>
      <c r="B315" s="164"/>
      <c r="C315" s="9"/>
      <c r="D315" s="9"/>
      <c r="E315" s="9"/>
      <c r="F315" s="9"/>
      <c r="G315" s="164"/>
      <c r="H315" s="164"/>
      <c r="I315" s="164"/>
      <c r="J315" s="652"/>
      <c r="K315" s="164"/>
      <c r="L315" s="164"/>
      <c r="M315" s="164"/>
      <c r="N315" s="164"/>
      <c r="O315" s="164"/>
      <c r="P315" s="164"/>
      <c r="Q315" s="164"/>
      <c r="R315" s="164"/>
      <c r="S315" s="164"/>
      <c r="T315" s="164"/>
      <c r="U315" s="164"/>
      <c r="V315" s="164"/>
      <c r="W315" s="164"/>
      <c r="X315" s="164"/>
      <c r="Y315" s="164"/>
      <c r="Z315" s="164"/>
      <c r="AA315" s="164"/>
      <c r="AB315" s="164"/>
    </row>
    <row r="316">
      <c r="A316" s="164"/>
      <c r="B316" s="164"/>
      <c r="C316" s="9"/>
      <c r="D316" s="9"/>
      <c r="E316" s="9"/>
      <c r="F316" s="9"/>
      <c r="G316" s="164"/>
      <c r="H316" s="164"/>
      <c r="I316" s="164"/>
      <c r="J316" s="652"/>
      <c r="K316" s="164"/>
      <c r="L316" s="164"/>
      <c r="M316" s="164"/>
      <c r="N316" s="164"/>
      <c r="O316" s="164"/>
      <c r="P316" s="164"/>
      <c r="Q316" s="164"/>
      <c r="R316" s="164"/>
      <c r="S316" s="164"/>
      <c r="T316" s="164"/>
      <c r="U316" s="164"/>
      <c r="V316" s="164"/>
      <c r="W316" s="164"/>
      <c r="X316" s="164"/>
      <c r="Y316" s="164"/>
      <c r="Z316" s="164"/>
      <c r="AA316" s="164"/>
      <c r="AB316" s="164"/>
    </row>
    <row r="317">
      <c r="A317" s="164"/>
      <c r="B317" s="164"/>
      <c r="C317" s="9"/>
      <c r="D317" s="9"/>
      <c r="E317" s="9"/>
      <c r="F317" s="9"/>
      <c r="G317" s="164"/>
      <c r="H317" s="164"/>
      <c r="I317" s="164"/>
      <c r="J317" s="652"/>
      <c r="K317" s="164"/>
      <c r="L317" s="164"/>
      <c r="M317" s="164"/>
      <c r="N317" s="164"/>
      <c r="O317" s="164"/>
      <c r="P317" s="164"/>
      <c r="Q317" s="164"/>
      <c r="R317" s="164"/>
      <c r="S317" s="164"/>
      <c r="T317" s="164"/>
      <c r="U317" s="164"/>
      <c r="V317" s="164"/>
      <c r="W317" s="164"/>
      <c r="X317" s="164"/>
      <c r="Y317" s="164"/>
      <c r="Z317" s="164"/>
      <c r="AA317" s="164"/>
      <c r="AB317" s="164"/>
    </row>
    <row r="318">
      <c r="A318" s="164"/>
      <c r="B318" s="164"/>
      <c r="C318" s="9"/>
      <c r="D318" s="9"/>
      <c r="E318" s="9"/>
      <c r="F318" s="9"/>
      <c r="G318" s="164"/>
      <c r="H318" s="164"/>
      <c r="I318" s="164"/>
      <c r="J318" s="652"/>
      <c r="K318" s="164"/>
      <c r="L318" s="164"/>
      <c r="M318" s="164"/>
      <c r="N318" s="164"/>
      <c r="O318" s="164"/>
      <c r="P318" s="164"/>
      <c r="Q318" s="164"/>
      <c r="R318" s="164"/>
      <c r="S318" s="164"/>
      <c r="T318" s="164"/>
      <c r="U318" s="164"/>
      <c r="V318" s="164"/>
      <c r="W318" s="164"/>
      <c r="X318" s="164"/>
      <c r="Y318" s="164"/>
      <c r="Z318" s="164"/>
      <c r="AA318" s="164"/>
      <c r="AB318" s="164"/>
    </row>
    <row r="319">
      <c r="A319" s="164"/>
      <c r="B319" s="164"/>
      <c r="C319" s="9"/>
      <c r="D319" s="9"/>
      <c r="E319" s="9"/>
      <c r="F319" s="9"/>
      <c r="G319" s="164"/>
      <c r="H319" s="164"/>
      <c r="I319" s="164"/>
      <c r="J319" s="652"/>
      <c r="K319" s="164"/>
      <c r="L319" s="164"/>
      <c r="M319" s="164"/>
      <c r="N319" s="164"/>
      <c r="O319" s="164"/>
      <c r="P319" s="164"/>
      <c r="Q319" s="164"/>
      <c r="R319" s="164"/>
      <c r="S319" s="164"/>
      <c r="T319" s="164"/>
      <c r="U319" s="164"/>
      <c r="V319" s="164"/>
      <c r="W319" s="164"/>
      <c r="X319" s="164"/>
      <c r="Y319" s="164"/>
      <c r="Z319" s="164"/>
      <c r="AA319" s="164"/>
      <c r="AB319" s="164"/>
    </row>
    <row r="320">
      <c r="A320" s="164"/>
      <c r="B320" s="164"/>
      <c r="C320" s="9"/>
      <c r="D320" s="9"/>
      <c r="E320" s="9"/>
      <c r="F320" s="9"/>
      <c r="G320" s="164"/>
      <c r="H320" s="164"/>
      <c r="I320" s="164"/>
      <c r="J320" s="652"/>
      <c r="K320" s="164"/>
      <c r="L320" s="164"/>
      <c r="M320" s="164"/>
      <c r="N320" s="164"/>
      <c r="O320" s="164"/>
      <c r="P320" s="164"/>
      <c r="Q320" s="164"/>
      <c r="R320" s="164"/>
      <c r="S320" s="164"/>
      <c r="T320" s="164"/>
      <c r="U320" s="164"/>
      <c r="V320" s="164"/>
      <c r="W320" s="164"/>
      <c r="X320" s="164"/>
      <c r="Y320" s="164"/>
      <c r="Z320" s="164"/>
      <c r="AA320" s="164"/>
      <c r="AB320" s="164"/>
    </row>
    <row r="321">
      <c r="A321" s="164"/>
      <c r="B321" s="164"/>
      <c r="C321" s="9"/>
      <c r="D321" s="9"/>
      <c r="E321" s="9"/>
      <c r="F321" s="9"/>
      <c r="G321" s="164"/>
      <c r="H321" s="164"/>
      <c r="I321" s="164"/>
      <c r="J321" s="652"/>
      <c r="K321" s="164"/>
      <c r="L321" s="164"/>
      <c r="M321" s="164"/>
      <c r="N321" s="164"/>
      <c r="O321" s="164"/>
      <c r="P321" s="164"/>
      <c r="Q321" s="164"/>
      <c r="R321" s="164"/>
      <c r="S321" s="164"/>
      <c r="T321" s="164"/>
      <c r="U321" s="164"/>
      <c r="V321" s="164"/>
      <c r="W321" s="164"/>
      <c r="X321" s="164"/>
      <c r="Y321" s="164"/>
      <c r="Z321" s="164"/>
      <c r="AA321" s="164"/>
      <c r="AB321" s="164"/>
    </row>
    <row r="322">
      <c r="A322" s="164"/>
      <c r="B322" s="164"/>
      <c r="C322" s="9"/>
      <c r="D322" s="9"/>
      <c r="E322" s="9"/>
      <c r="F322" s="9"/>
      <c r="G322" s="164"/>
      <c r="H322" s="164"/>
      <c r="I322" s="164"/>
      <c r="J322" s="652"/>
      <c r="K322" s="164"/>
      <c r="L322" s="164"/>
      <c r="M322" s="164"/>
      <c r="N322" s="164"/>
      <c r="O322" s="164"/>
      <c r="P322" s="164"/>
      <c r="Q322" s="164"/>
      <c r="R322" s="164"/>
      <c r="S322" s="164"/>
      <c r="T322" s="164"/>
      <c r="U322" s="164"/>
      <c r="V322" s="164"/>
      <c r="W322" s="164"/>
      <c r="X322" s="164"/>
      <c r="Y322" s="164"/>
      <c r="Z322" s="164"/>
      <c r="AA322" s="164"/>
      <c r="AB322" s="164"/>
    </row>
    <row r="323">
      <c r="A323" s="164"/>
      <c r="B323" s="164"/>
      <c r="C323" s="9"/>
      <c r="D323" s="9"/>
      <c r="E323" s="9"/>
      <c r="F323" s="9"/>
      <c r="G323" s="164"/>
      <c r="H323" s="164"/>
      <c r="I323" s="164"/>
      <c r="J323" s="652"/>
      <c r="K323" s="164"/>
      <c r="L323" s="164"/>
      <c r="M323" s="164"/>
      <c r="N323" s="164"/>
      <c r="O323" s="164"/>
      <c r="P323" s="164"/>
      <c r="Q323" s="164"/>
      <c r="R323" s="164"/>
      <c r="S323" s="164"/>
      <c r="T323" s="164"/>
      <c r="U323" s="164"/>
      <c r="V323" s="164"/>
      <c r="W323" s="164"/>
      <c r="X323" s="164"/>
      <c r="Y323" s="164"/>
      <c r="Z323" s="164"/>
      <c r="AA323" s="164"/>
      <c r="AB323" s="164"/>
    </row>
    <row r="324">
      <c r="A324" s="164"/>
      <c r="B324" s="164"/>
      <c r="C324" s="9"/>
      <c r="D324" s="9"/>
      <c r="E324" s="9"/>
      <c r="F324" s="9"/>
      <c r="G324" s="164"/>
      <c r="H324" s="164"/>
      <c r="I324" s="164"/>
      <c r="J324" s="652"/>
      <c r="K324" s="164"/>
      <c r="L324" s="164"/>
      <c r="M324" s="164"/>
      <c r="N324" s="164"/>
      <c r="O324" s="164"/>
      <c r="P324" s="164"/>
      <c r="Q324" s="164"/>
      <c r="R324" s="164"/>
      <c r="S324" s="164"/>
      <c r="T324" s="164"/>
      <c r="U324" s="164"/>
      <c r="V324" s="164"/>
      <c r="W324" s="164"/>
      <c r="X324" s="164"/>
      <c r="Y324" s="164"/>
      <c r="Z324" s="164"/>
      <c r="AA324" s="164"/>
      <c r="AB324" s="164"/>
    </row>
    <row r="325">
      <c r="A325" s="164"/>
      <c r="B325" s="164"/>
      <c r="C325" s="9"/>
      <c r="D325" s="9"/>
      <c r="E325" s="9"/>
      <c r="F325" s="9"/>
      <c r="G325" s="164"/>
      <c r="H325" s="164"/>
      <c r="I325" s="164"/>
      <c r="J325" s="652"/>
      <c r="K325" s="164"/>
      <c r="L325" s="164"/>
      <c r="M325" s="164"/>
      <c r="N325" s="164"/>
      <c r="O325" s="164"/>
      <c r="P325" s="164"/>
      <c r="Q325" s="164"/>
      <c r="R325" s="164"/>
      <c r="S325" s="164"/>
      <c r="T325" s="164"/>
      <c r="U325" s="164"/>
      <c r="V325" s="164"/>
      <c r="W325" s="164"/>
      <c r="X325" s="164"/>
      <c r="Y325" s="164"/>
      <c r="Z325" s="164"/>
      <c r="AA325" s="164"/>
      <c r="AB325" s="164"/>
    </row>
    <row r="326">
      <c r="A326" s="164"/>
      <c r="B326" s="164"/>
      <c r="C326" s="9"/>
      <c r="D326" s="9"/>
      <c r="E326" s="9"/>
      <c r="F326" s="9"/>
      <c r="G326" s="164"/>
      <c r="H326" s="164"/>
      <c r="I326" s="164"/>
      <c r="J326" s="652"/>
      <c r="K326" s="164"/>
      <c r="L326" s="164"/>
      <c r="M326" s="164"/>
      <c r="N326" s="164"/>
      <c r="O326" s="164"/>
      <c r="P326" s="164"/>
      <c r="Q326" s="164"/>
      <c r="R326" s="164"/>
      <c r="S326" s="164"/>
      <c r="T326" s="164"/>
      <c r="U326" s="164"/>
      <c r="V326" s="164"/>
      <c r="W326" s="164"/>
      <c r="X326" s="164"/>
      <c r="Y326" s="164"/>
      <c r="Z326" s="164"/>
      <c r="AA326" s="164"/>
      <c r="AB326" s="164"/>
    </row>
    <row r="327">
      <c r="A327" s="164"/>
      <c r="B327" s="164"/>
      <c r="C327" s="9"/>
      <c r="D327" s="9"/>
      <c r="E327" s="9"/>
      <c r="F327" s="9"/>
      <c r="G327" s="164"/>
      <c r="H327" s="164"/>
      <c r="I327" s="164"/>
      <c r="J327" s="652"/>
      <c r="K327" s="164"/>
      <c r="L327" s="164"/>
      <c r="M327" s="164"/>
      <c r="N327" s="164"/>
      <c r="O327" s="164"/>
      <c r="P327" s="164"/>
      <c r="Q327" s="164"/>
      <c r="R327" s="164"/>
      <c r="S327" s="164"/>
      <c r="T327" s="164"/>
      <c r="U327" s="164"/>
      <c r="V327" s="164"/>
      <c r="W327" s="164"/>
      <c r="X327" s="164"/>
      <c r="Y327" s="164"/>
      <c r="Z327" s="164"/>
      <c r="AA327" s="164"/>
      <c r="AB327" s="164"/>
    </row>
    <row r="328">
      <c r="A328" s="164"/>
      <c r="B328" s="164"/>
      <c r="C328" s="9"/>
      <c r="D328" s="9"/>
      <c r="E328" s="9"/>
      <c r="F328" s="9"/>
      <c r="G328" s="164"/>
      <c r="H328" s="164"/>
      <c r="I328" s="164"/>
      <c r="J328" s="652"/>
      <c r="K328" s="164"/>
      <c r="L328" s="164"/>
      <c r="M328" s="164"/>
      <c r="N328" s="164"/>
      <c r="O328" s="164"/>
      <c r="P328" s="164"/>
      <c r="Q328" s="164"/>
      <c r="R328" s="164"/>
      <c r="S328" s="164"/>
      <c r="T328" s="164"/>
      <c r="U328" s="164"/>
      <c r="V328" s="164"/>
      <c r="W328" s="164"/>
      <c r="X328" s="164"/>
      <c r="Y328" s="164"/>
      <c r="Z328" s="164"/>
      <c r="AA328" s="164"/>
      <c r="AB328" s="164"/>
    </row>
    <row r="329">
      <c r="A329" s="164"/>
      <c r="B329" s="164"/>
      <c r="C329" s="9"/>
      <c r="D329" s="9"/>
      <c r="E329" s="9"/>
      <c r="F329" s="9"/>
      <c r="G329" s="164"/>
      <c r="H329" s="164"/>
      <c r="I329" s="164"/>
      <c r="J329" s="652"/>
      <c r="K329" s="164"/>
      <c r="L329" s="164"/>
      <c r="M329" s="164"/>
      <c r="N329" s="164"/>
      <c r="O329" s="164"/>
      <c r="P329" s="164"/>
      <c r="Q329" s="164"/>
      <c r="R329" s="164"/>
      <c r="S329" s="164"/>
      <c r="T329" s="164"/>
      <c r="U329" s="164"/>
      <c r="V329" s="164"/>
      <c r="W329" s="164"/>
      <c r="X329" s="164"/>
      <c r="Y329" s="164"/>
      <c r="Z329" s="164"/>
      <c r="AA329" s="164"/>
      <c r="AB329" s="164"/>
    </row>
    <row r="330">
      <c r="A330" s="164"/>
      <c r="B330" s="164"/>
      <c r="C330" s="9"/>
      <c r="D330" s="9"/>
      <c r="E330" s="9"/>
      <c r="F330" s="9"/>
      <c r="G330" s="164"/>
      <c r="H330" s="164"/>
      <c r="I330" s="164"/>
      <c r="J330" s="652"/>
      <c r="K330" s="164"/>
      <c r="L330" s="164"/>
      <c r="M330" s="164"/>
      <c r="N330" s="164"/>
      <c r="O330" s="164"/>
      <c r="P330" s="164"/>
      <c r="Q330" s="164"/>
      <c r="R330" s="164"/>
      <c r="S330" s="164"/>
      <c r="T330" s="164"/>
      <c r="U330" s="164"/>
      <c r="V330" s="164"/>
      <c r="W330" s="164"/>
      <c r="X330" s="164"/>
      <c r="Y330" s="164"/>
      <c r="Z330" s="164"/>
      <c r="AA330" s="164"/>
      <c r="AB330" s="164"/>
    </row>
    <row r="331">
      <c r="A331" s="164"/>
      <c r="B331" s="164"/>
      <c r="C331" s="9"/>
      <c r="D331" s="9"/>
      <c r="E331" s="9"/>
      <c r="F331" s="9"/>
      <c r="G331" s="164"/>
      <c r="H331" s="164"/>
      <c r="I331" s="164"/>
      <c r="J331" s="652"/>
      <c r="K331" s="164"/>
      <c r="L331" s="164"/>
      <c r="M331" s="164"/>
      <c r="N331" s="164"/>
      <c r="O331" s="164"/>
      <c r="P331" s="164"/>
      <c r="Q331" s="164"/>
      <c r="R331" s="164"/>
      <c r="S331" s="164"/>
      <c r="T331" s="164"/>
      <c r="U331" s="164"/>
      <c r="V331" s="164"/>
      <c r="W331" s="164"/>
      <c r="X331" s="164"/>
      <c r="Y331" s="164"/>
      <c r="Z331" s="164"/>
      <c r="AA331" s="164"/>
      <c r="AB331" s="164"/>
    </row>
    <row r="332">
      <c r="A332" s="164"/>
      <c r="B332" s="164"/>
      <c r="C332" s="9"/>
      <c r="D332" s="9"/>
      <c r="E332" s="9"/>
      <c r="F332" s="9"/>
      <c r="G332" s="164"/>
      <c r="H332" s="164"/>
      <c r="I332" s="164"/>
      <c r="J332" s="652"/>
      <c r="K332" s="164"/>
      <c r="L332" s="164"/>
      <c r="M332" s="164"/>
      <c r="N332" s="164"/>
      <c r="O332" s="164"/>
      <c r="P332" s="164"/>
      <c r="Q332" s="164"/>
      <c r="R332" s="164"/>
      <c r="S332" s="164"/>
      <c r="T332" s="164"/>
      <c r="U332" s="164"/>
      <c r="V332" s="164"/>
      <c r="W332" s="164"/>
      <c r="X332" s="164"/>
      <c r="Y332" s="164"/>
      <c r="Z332" s="164"/>
      <c r="AA332" s="164"/>
      <c r="AB332" s="164"/>
    </row>
    <row r="333">
      <c r="A333" s="164"/>
      <c r="B333" s="164"/>
      <c r="C333" s="9"/>
      <c r="D333" s="9"/>
      <c r="E333" s="9"/>
      <c r="F333" s="9"/>
      <c r="G333" s="164"/>
      <c r="H333" s="164"/>
      <c r="I333" s="164"/>
      <c r="J333" s="652"/>
      <c r="K333" s="164"/>
      <c r="L333" s="164"/>
      <c r="M333" s="164"/>
      <c r="N333" s="164"/>
      <c r="O333" s="164"/>
      <c r="P333" s="164"/>
      <c r="Q333" s="164"/>
      <c r="R333" s="164"/>
      <c r="S333" s="164"/>
      <c r="T333" s="164"/>
      <c r="U333" s="164"/>
      <c r="V333" s="164"/>
      <c r="W333" s="164"/>
      <c r="X333" s="164"/>
      <c r="Y333" s="164"/>
      <c r="Z333" s="164"/>
      <c r="AA333" s="164"/>
      <c r="AB333" s="164"/>
    </row>
    <row r="334">
      <c r="A334" s="164"/>
      <c r="B334" s="164"/>
      <c r="C334" s="9"/>
      <c r="D334" s="9"/>
      <c r="E334" s="9"/>
      <c r="F334" s="9"/>
      <c r="G334" s="164"/>
      <c r="H334" s="164"/>
      <c r="I334" s="164"/>
      <c r="J334" s="652"/>
      <c r="K334" s="164"/>
      <c r="L334" s="164"/>
      <c r="M334" s="164"/>
      <c r="N334" s="164"/>
      <c r="O334" s="164"/>
      <c r="P334" s="164"/>
      <c r="Q334" s="164"/>
      <c r="R334" s="164"/>
      <c r="S334" s="164"/>
      <c r="T334" s="164"/>
      <c r="U334" s="164"/>
      <c r="V334" s="164"/>
      <c r="W334" s="164"/>
      <c r="X334" s="164"/>
      <c r="Y334" s="164"/>
      <c r="Z334" s="164"/>
      <c r="AA334" s="164"/>
      <c r="AB334" s="164"/>
    </row>
    <row r="335">
      <c r="A335" s="164"/>
      <c r="B335" s="164"/>
      <c r="C335" s="9"/>
      <c r="D335" s="9"/>
      <c r="E335" s="9"/>
      <c r="F335" s="9"/>
      <c r="G335" s="164"/>
      <c r="H335" s="164"/>
      <c r="I335" s="164"/>
      <c r="J335" s="652"/>
      <c r="K335" s="164"/>
      <c r="L335" s="164"/>
      <c r="M335" s="164"/>
      <c r="N335" s="164"/>
      <c r="O335" s="164"/>
      <c r="P335" s="164"/>
      <c r="Q335" s="164"/>
      <c r="R335" s="164"/>
      <c r="S335" s="164"/>
      <c r="T335" s="164"/>
      <c r="U335" s="164"/>
      <c r="V335" s="164"/>
      <c r="W335" s="164"/>
      <c r="X335" s="164"/>
      <c r="Y335" s="164"/>
      <c r="Z335" s="164"/>
      <c r="AA335" s="164"/>
      <c r="AB335" s="164"/>
    </row>
    <row r="336">
      <c r="A336" s="164"/>
      <c r="B336" s="164"/>
      <c r="C336" s="9"/>
      <c r="D336" s="9"/>
      <c r="E336" s="9"/>
      <c r="F336" s="9"/>
      <c r="G336" s="164"/>
      <c r="H336" s="164"/>
      <c r="I336" s="164"/>
      <c r="J336" s="652"/>
      <c r="K336" s="164"/>
      <c r="L336" s="164"/>
      <c r="M336" s="164"/>
      <c r="N336" s="164"/>
      <c r="O336" s="164"/>
      <c r="P336" s="164"/>
      <c r="Q336" s="164"/>
      <c r="R336" s="164"/>
      <c r="S336" s="164"/>
      <c r="T336" s="164"/>
      <c r="U336" s="164"/>
      <c r="V336" s="164"/>
      <c r="W336" s="164"/>
      <c r="X336" s="164"/>
      <c r="Y336" s="164"/>
      <c r="Z336" s="164"/>
      <c r="AA336" s="164"/>
      <c r="AB336" s="164"/>
    </row>
    <row r="337">
      <c r="A337" s="164"/>
      <c r="B337" s="164"/>
      <c r="C337" s="9"/>
      <c r="D337" s="9"/>
      <c r="E337" s="9"/>
      <c r="F337" s="9"/>
      <c r="G337" s="164"/>
      <c r="H337" s="164"/>
      <c r="I337" s="164"/>
      <c r="J337" s="652"/>
      <c r="K337" s="164"/>
      <c r="L337" s="164"/>
      <c r="M337" s="164"/>
      <c r="N337" s="164"/>
      <c r="O337" s="164"/>
      <c r="P337" s="164"/>
      <c r="Q337" s="164"/>
      <c r="R337" s="164"/>
      <c r="S337" s="164"/>
      <c r="T337" s="164"/>
      <c r="U337" s="164"/>
      <c r="V337" s="164"/>
      <c r="W337" s="164"/>
      <c r="X337" s="164"/>
      <c r="Y337" s="164"/>
      <c r="Z337" s="164"/>
      <c r="AA337" s="164"/>
      <c r="AB337" s="164"/>
    </row>
    <row r="338">
      <c r="A338" s="164"/>
      <c r="B338" s="164"/>
      <c r="C338" s="9"/>
      <c r="D338" s="9"/>
      <c r="E338" s="9"/>
      <c r="F338" s="9"/>
      <c r="G338" s="164"/>
      <c r="H338" s="164"/>
      <c r="I338" s="164"/>
      <c r="J338" s="652"/>
      <c r="K338" s="164"/>
      <c r="L338" s="164"/>
      <c r="M338" s="164"/>
      <c r="N338" s="164"/>
      <c r="O338" s="164"/>
      <c r="P338" s="164"/>
      <c r="Q338" s="164"/>
      <c r="R338" s="164"/>
      <c r="S338" s="164"/>
      <c r="T338" s="164"/>
      <c r="U338" s="164"/>
      <c r="V338" s="164"/>
      <c r="W338" s="164"/>
      <c r="X338" s="164"/>
      <c r="Y338" s="164"/>
      <c r="Z338" s="164"/>
      <c r="AA338" s="164"/>
      <c r="AB338" s="164"/>
    </row>
    <row r="339">
      <c r="A339" s="164"/>
      <c r="B339" s="164"/>
      <c r="C339" s="9"/>
      <c r="D339" s="9"/>
      <c r="E339" s="9"/>
      <c r="F339" s="9"/>
      <c r="G339" s="164"/>
      <c r="H339" s="164"/>
      <c r="I339" s="164"/>
      <c r="J339" s="652"/>
      <c r="K339" s="164"/>
      <c r="L339" s="164"/>
      <c r="M339" s="164"/>
      <c r="N339" s="164"/>
      <c r="O339" s="164"/>
      <c r="P339" s="164"/>
      <c r="Q339" s="164"/>
      <c r="R339" s="164"/>
      <c r="S339" s="164"/>
      <c r="T339" s="164"/>
      <c r="U339" s="164"/>
      <c r="V339" s="164"/>
      <c r="W339" s="164"/>
      <c r="X339" s="164"/>
      <c r="Y339" s="164"/>
      <c r="Z339" s="164"/>
      <c r="AA339" s="164"/>
      <c r="AB339" s="164"/>
    </row>
    <row r="340">
      <c r="A340" s="164"/>
      <c r="B340" s="164"/>
      <c r="C340" s="9"/>
      <c r="D340" s="9"/>
      <c r="E340" s="9"/>
      <c r="F340" s="9"/>
      <c r="G340" s="164"/>
      <c r="H340" s="164"/>
      <c r="I340" s="164"/>
      <c r="J340" s="652"/>
      <c r="K340" s="164"/>
      <c r="L340" s="164"/>
      <c r="M340" s="164"/>
      <c r="N340" s="164"/>
      <c r="O340" s="164"/>
      <c r="P340" s="164"/>
      <c r="Q340" s="164"/>
      <c r="R340" s="164"/>
      <c r="S340" s="164"/>
      <c r="T340" s="164"/>
      <c r="U340" s="164"/>
      <c r="V340" s="164"/>
      <c r="W340" s="164"/>
      <c r="X340" s="164"/>
      <c r="Y340" s="164"/>
      <c r="Z340" s="164"/>
      <c r="AA340" s="164"/>
      <c r="AB340" s="164"/>
    </row>
    <row r="341">
      <c r="A341" s="164"/>
      <c r="B341" s="164"/>
      <c r="C341" s="9"/>
      <c r="D341" s="9"/>
      <c r="E341" s="9"/>
      <c r="F341" s="9"/>
      <c r="G341" s="164"/>
      <c r="H341" s="164"/>
      <c r="I341" s="164"/>
      <c r="J341" s="652"/>
      <c r="K341" s="164"/>
      <c r="L341" s="164"/>
      <c r="M341" s="164"/>
      <c r="N341" s="164"/>
      <c r="O341" s="164"/>
      <c r="P341" s="164"/>
      <c r="Q341" s="164"/>
      <c r="R341" s="164"/>
      <c r="S341" s="164"/>
      <c r="T341" s="164"/>
      <c r="U341" s="164"/>
      <c r="V341" s="164"/>
      <c r="W341" s="164"/>
      <c r="X341" s="164"/>
      <c r="Y341" s="164"/>
      <c r="Z341" s="164"/>
      <c r="AA341" s="164"/>
      <c r="AB341" s="164"/>
    </row>
    <row r="342">
      <c r="A342" s="164"/>
      <c r="B342" s="164"/>
      <c r="C342" s="9"/>
      <c r="D342" s="9"/>
      <c r="E342" s="9"/>
      <c r="F342" s="9"/>
      <c r="G342" s="164"/>
      <c r="H342" s="164"/>
      <c r="I342" s="164"/>
      <c r="J342" s="652"/>
      <c r="K342" s="164"/>
      <c r="L342" s="164"/>
      <c r="M342" s="164"/>
      <c r="N342" s="164"/>
      <c r="O342" s="164"/>
      <c r="P342" s="164"/>
      <c r="Q342" s="164"/>
      <c r="R342" s="164"/>
      <c r="S342" s="164"/>
      <c r="T342" s="164"/>
      <c r="U342" s="164"/>
      <c r="V342" s="164"/>
      <c r="W342" s="164"/>
      <c r="X342" s="164"/>
      <c r="Y342" s="164"/>
      <c r="Z342" s="164"/>
      <c r="AA342" s="164"/>
      <c r="AB342" s="164"/>
    </row>
    <row r="343">
      <c r="A343" s="164"/>
      <c r="B343" s="164"/>
      <c r="C343" s="9"/>
      <c r="D343" s="9"/>
      <c r="E343" s="9"/>
      <c r="F343" s="9"/>
      <c r="G343" s="164"/>
      <c r="H343" s="164"/>
      <c r="I343" s="164"/>
      <c r="J343" s="652"/>
      <c r="K343" s="164"/>
      <c r="L343" s="164"/>
      <c r="M343" s="164"/>
      <c r="N343" s="164"/>
      <c r="O343" s="164"/>
      <c r="P343" s="164"/>
      <c r="Q343" s="164"/>
      <c r="R343" s="164"/>
      <c r="S343" s="164"/>
      <c r="T343" s="164"/>
      <c r="U343" s="164"/>
      <c r="V343" s="164"/>
      <c r="W343" s="164"/>
      <c r="X343" s="164"/>
      <c r="Y343" s="164"/>
      <c r="Z343" s="164"/>
      <c r="AA343" s="164"/>
      <c r="AB343" s="164"/>
    </row>
    <row r="344">
      <c r="A344" s="164"/>
      <c r="B344" s="164"/>
      <c r="C344" s="9"/>
      <c r="D344" s="9"/>
      <c r="E344" s="9"/>
      <c r="F344" s="9"/>
      <c r="G344" s="164"/>
      <c r="H344" s="164"/>
      <c r="I344" s="164"/>
      <c r="J344" s="652"/>
      <c r="K344" s="164"/>
      <c r="L344" s="164"/>
      <c r="M344" s="164"/>
      <c r="N344" s="164"/>
      <c r="O344" s="164"/>
      <c r="P344" s="164"/>
      <c r="Q344" s="164"/>
      <c r="R344" s="164"/>
      <c r="S344" s="164"/>
      <c r="T344" s="164"/>
      <c r="U344" s="164"/>
      <c r="V344" s="164"/>
      <c r="W344" s="164"/>
      <c r="X344" s="164"/>
      <c r="Y344" s="164"/>
      <c r="Z344" s="164"/>
      <c r="AA344" s="164"/>
      <c r="AB344" s="164"/>
    </row>
    <row r="345">
      <c r="A345" s="164"/>
      <c r="B345" s="164"/>
      <c r="C345" s="9"/>
      <c r="D345" s="9"/>
      <c r="E345" s="9"/>
      <c r="F345" s="9"/>
      <c r="G345" s="164"/>
      <c r="H345" s="164"/>
      <c r="I345" s="164"/>
      <c r="J345" s="652"/>
      <c r="K345" s="164"/>
      <c r="L345" s="164"/>
      <c r="M345" s="164"/>
      <c r="N345" s="164"/>
      <c r="O345" s="164"/>
      <c r="P345" s="164"/>
      <c r="Q345" s="164"/>
      <c r="R345" s="164"/>
      <c r="S345" s="164"/>
      <c r="T345" s="164"/>
      <c r="U345" s="164"/>
      <c r="V345" s="164"/>
      <c r="W345" s="164"/>
      <c r="X345" s="164"/>
      <c r="Y345" s="164"/>
      <c r="Z345" s="164"/>
      <c r="AA345" s="164"/>
      <c r="AB345" s="164"/>
    </row>
    <row r="346">
      <c r="A346" s="164"/>
      <c r="B346" s="164"/>
      <c r="C346" s="9"/>
      <c r="D346" s="9"/>
      <c r="E346" s="9"/>
      <c r="F346" s="9"/>
      <c r="G346" s="164"/>
      <c r="H346" s="164"/>
      <c r="I346" s="164"/>
      <c r="J346" s="652"/>
      <c r="K346" s="164"/>
      <c r="L346" s="164"/>
      <c r="M346" s="164"/>
      <c r="N346" s="164"/>
      <c r="O346" s="164"/>
      <c r="P346" s="164"/>
      <c r="Q346" s="164"/>
      <c r="R346" s="164"/>
      <c r="S346" s="164"/>
      <c r="T346" s="164"/>
      <c r="U346" s="164"/>
      <c r="V346" s="164"/>
      <c r="W346" s="164"/>
      <c r="X346" s="164"/>
      <c r="Y346" s="164"/>
      <c r="Z346" s="164"/>
      <c r="AA346" s="164"/>
      <c r="AB346" s="164"/>
    </row>
    <row r="347">
      <c r="A347" s="164"/>
      <c r="B347" s="164"/>
      <c r="C347" s="9"/>
      <c r="D347" s="9"/>
      <c r="E347" s="9"/>
      <c r="F347" s="9"/>
      <c r="G347" s="164"/>
      <c r="H347" s="164"/>
      <c r="I347" s="164"/>
      <c r="J347" s="652"/>
      <c r="K347" s="164"/>
      <c r="L347" s="164"/>
      <c r="M347" s="164"/>
      <c r="N347" s="164"/>
      <c r="O347" s="164"/>
      <c r="P347" s="164"/>
      <c r="Q347" s="164"/>
      <c r="R347" s="164"/>
      <c r="S347" s="164"/>
      <c r="T347" s="164"/>
      <c r="U347" s="164"/>
      <c r="V347" s="164"/>
      <c r="W347" s="164"/>
      <c r="X347" s="164"/>
      <c r="Y347" s="164"/>
      <c r="Z347" s="164"/>
      <c r="AA347" s="164"/>
      <c r="AB347" s="164"/>
    </row>
    <row r="348">
      <c r="A348" s="164"/>
      <c r="B348" s="164"/>
      <c r="C348" s="9"/>
      <c r="D348" s="9"/>
      <c r="E348" s="9"/>
      <c r="F348" s="9"/>
      <c r="G348" s="164"/>
      <c r="H348" s="164"/>
      <c r="I348" s="164"/>
      <c r="J348" s="652"/>
      <c r="K348" s="164"/>
      <c r="L348" s="164"/>
      <c r="M348" s="164"/>
      <c r="N348" s="164"/>
      <c r="O348" s="164"/>
      <c r="P348" s="164"/>
      <c r="Q348" s="164"/>
      <c r="R348" s="164"/>
      <c r="S348" s="164"/>
      <c r="T348" s="164"/>
      <c r="U348" s="164"/>
      <c r="V348" s="164"/>
      <c r="W348" s="164"/>
      <c r="X348" s="164"/>
      <c r="Y348" s="164"/>
      <c r="Z348" s="164"/>
      <c r="AA348" s="164"/>
      <c r="AB348" s="164"/>
    </row>
    <row r="349">
      <c r="A349" s="164"/>
      <c r="B349" s="164"/>
      <c r="C349" s="9"/>
      <c r="D349" s="9"/>
      <c r="E349" s="9"/>
      <c r="F349" s="9"/>
      <c r="G349" s="164"/>
      <c r="H349" s="164"/>
      <c r="I349" s="164"/>
      <c r="J349" s="652"/>
      <c r="K349" s="164"/>
      <c r="L349" s="164"/>
      <c r="M349" s="164"/>
      <c r="N349" s="164"/>
      <c r="O349" s="164"/>
      <c r="P349" s="164"/>
      <c r="Q349" s="164"/>
      <c r="R349" s="164"/>
      <c r="S349" s="164"/>
      <c r="T349" s="164"/>
      <c r="U349" s="164"/>
      <c r="V349" s="164"/>
      <c r="W349" s="164"/>
      <c r="X349" s="164"/>
      <c r="Y349" s="164"/>
      <c r="Z349" s="164"/>
      <c r="AA349" s="164"/>
      <c r="AB349" s="164"/>
    </row>
    <row r="350">
      <c r="A350" s="164"/>
      <c r="B350" s="164"/>
      <c r="C350" s="9"/>
      <c r="D350" s="9"/>
      <c r="E350" s="9"/>
      <c r="F350" s="9"/>
      <c r="G350" s="164"/>
      <c r="H350" s="164"/>
      <c r="I350" s="164"/>
      <c r="J350" s="652"/>
      <c r="K350" s="164"/>
      <c r="L350" s="164"/>
      <c r="M350" s="164"/>
      <c r="N350" s="164"/>
      <c r="O350" s="164"/>
      <c r="P350" s="164"/>
      <c r="Q350" s="164"/>
      <c r="R350" s="164"/>
      <c r="S350" s="164"/>
      <c r="T350" s="164"/>
      <c r="U350" s="164"/>
      <c r="V350" s="164"/>
      <c r="W350" s="164"/>
      <c r="X350" s="164"/>
      <c r="Y350" s="164"/>
      <c r="Z350" s="164"/>
      <c r="AA350" s="164"/>
      <c r="AB350" s="164"/>
    </row>
    <row r="351">
      <c r="A351" s="164"/>
      <c r="B351" s="164"/>
      <c r="C351" s="9"/>
      <c r="D351" s="9"/>
      <c r="E351" s="9"/>
      <c r="F351" s="9"/>
      <c r="G351" s="164"/>
      <c r="H351" s="164"/>
      <c r="I351" s="164"/>
      <c r="J351" s="652"/>
      <c r="K351" s="164"/>
      <c r="L351" s="164"/>
      <c r="M351" s="164"/>
      <c r="N351" s="164"/>
      <c r="O351" s="164"/>
      <c r="P351" s="164"/>
      <c r="Q351" s="164"/>
      <c r="R351" s="164"/>
      <c r="S351" s="164"/>
      <c r="T351" s="164"/>
      <c r="U351" s="164"/>
      <c r="V351" s="164"/>
      <c r="W351" s="164"/>
      <c r="X351" s="164"/>
      <c r="Y351" s="164"/>
      <c r="Z351" s="164"/>
      <c r="AA351" s="164"/>
      <c r="AB351" s="164"/>
    </row>
    <row r="352">
      <c r="A352" s="164"/>
      <c r="B352" s="164"/>
      <c r="C352" s="9"/>
      <c r="D352" s="9"/>
      <c r="E352" s="9"/>
      <c r="F352" s="9"/>
      <c r="G352" s="164"/>
      <c r="H352" s="164"/>
      <c r="I352" s="164"/>
      <c r="J352" s="652"/>
      <c r="K352" s="164"/>
      <c r="L352" s="164"/>
      <c r="M352" s="164"/>
      <c r="N352" s="164"/>
      <c r="O352" s="164"/>
      <c r="P352" s="164"/>
      <c r="Q352" s="164"/>
      <c r="R352" s="164"/>
      <c r="S352" s="164"/>
      <c r="T352" s="164"/>
      <c r="U352" s="164"/>
      <c r="V352" s="164"/>
      <c r="W352" s="164"/>
      <c r="X352" s="164"/>
      <c r="Y352" s="164"/>
      <c r="Z352" s="164"/>
      <c r="AA352" s="164"/>
      <c r="AB352" s="164"/>
    </row>
    <row r="353">
      <c r="A353" s="164"/>
      <c r="B353" s="164"/>
      <c r="C353" s="9"/>
      <c r="D353" s="9"/>
      <c r="E353" s="9"/>
      <c r="F353" s="9"/>
      <c r="G353" s="164"/>
      <c r="H353" s="164"/>
      <c r="I353" s="164"/>
      <c r="J353" s="652"/>
      <c r="K353" s="164"/>
      <c r="L353" s="164"/>
      <c r="M353" s="164"/>
      <c r="N353" s="164"/>
      <c r="O353" s="164"/>
      <c r="P353" s="164"/>
      <c r="Q353" s="164"/>
      <c r="R353" s="164"/>
      <c r="S353" s="164"/>
      <c r="T353" s="164"/>
      <c r="U353" s="164"/>
      <c r="V353" s="164"/>
      <c r="W353" s="164"/>
      <c r="X353" s="164"/>
      <c r="Y353" s="164"/>
      <c r="Z353" s="164"/>
      <c r="AA353" s="164"/>
      <c r="AB353" s="164"/>
    </row>
    <row r="354">
      <c r="A354" s="164"/>
      <c r="B354" s="164"/>
      <c r="C354" s="9"/>
      <c r="D354" s="9"/>
      <c r="E354" s="9"/>
      <c r="F354" s="9"/>
      <c r="G354" s="164"/>
      <c r="H354" s="164"/>
      <c r="I354" s="164"/>
      <c r="J354" s="652"/>
      <c r="K354" s="164"/>
      <c r="L354" s="164"/>
      <c r="M354" s="164"/>
      <c r="N354" s="164"/>
      <c r="O354" s="164"/>
      <c r="P354" s="164"/>
      <c r="Q354" s="164"/>
      <c r="R354" s="164"/>
      <c r="S354" s="164"/>
      <c r="T354" s="164"/>
      <c r="U354" s="164"/>
      <c r="V354" s="164"/>
      <c r="W354" s="164"/>
      <c r="X354" s="164"/>
      <c r="Y354" s="164"/>
      <c r="Z354" s="164"/>
      <c r="AA354" s="164"/>
      <c r="AB354" s="164"/>
    </row>
    <row r="355">
      <c r="A355" s="164"/>
      <c r="B355" s="164"/>
      <c r="C355" s="9"/>
      <c r="D355" s="9"/>
      <c r="E355" s="9"/>
      <c r="F355" s="9"/>
      <c r="G355" s="164"/>
      <c r="H355" s="164"/>
      <c r="I355" s="164"/>
      <c r="J355" s="652"/>
      <c r="K355" s="164"/>
      <c r="L355" s="164"/>
      <c r="M355" s="164"/>
      <c r="N355" s="164"/>
      <c r="O355" s="164"/>
      <c r="P355" s="164"/>
      <c r="Q355" s="164"/>
      <c r="R355" s="164"/>
      <c r="S355" s="164"/>
      <c r="T355" s="164"/>
      <c r="U355" s="164"/>
      <c r="V355" s="164"/>
      <c r="W355" s="164"/>
      <c r="X355" s="164"/>
      <c r="Y355" s="164"/>
      <c r="Z355" s="164"/>
      <c r="AA355" s="164"/>
      <c r="AB355" s="164"/>
    </row>
    <row r="356">
      <c r="A356" s="164"/>
      <c r="B356" s="164"/>
      <c r="C356" s="9"/>
      <c r="D356" s="9"/>
      <c r="E356" s="9"/>
      <c r="F356" s="9"/>
      <c r="G356" s="164"/>
      <c r="H356" s="164"/>
      <c r="I356" s="164"/>
      <c r="J356" s="652"/>
      <c r="K356" s="164"/>
      <c r="L356" s="164"/>
      <c r="M356" s="164"/>
      <c r="N356" s="164"/>
      <c r="O356" s="164"/>
      <c r="P356" s="164"/>
      <c r="Q356" s="164"/>
      <c r="R356" s="164"/>
      <c r="S356" s="164"/>
      <c r="T356" s="164"/>
      <c r="U356" s="164"/>
      <c r="V356" s="164"/>
      <c r="W356" s="164"/>
      <c r="X356" s="164"/>
      <c r="Y356" s="164"/>
      <c r="Z356" s="164"/>
      <c r="AA356" s="164"/>
      <c r="AB356" s="164"/>
    </row>
    <row r="357">
      <c r="A357" s="164"/>
      <c r="B357" s="164"/>
      <c r="C357" s="9"/>
      <c r="D357" s="9"/>
      <c r="E357" s="9"/>
      <c r="F357" s="9"/>
      <c r="G357" s="164"/>
      <c r="H357" s="164"/>
      <c r="I357" s="164"/>
      <c r="J357" s="652"/>
      <c r="K357" s="164"/>
      <c r="L357" s="164"/>
      <c r="M357" s="164"/>
      <c r="N357" s="164"/>
      <c r="O357" s="164"/>
      <c r="P357" s="164"/>
      <c r="Q357" s="164"/>
      <c r="R357" s="164"/>
      <c r="S357" s="164"/>
      <c r="T357" s="164"/>
      <c r="U357" s="164"/>
      <c r="V357" s="164"/>
      <c r="W357" s="164"/>
      <c r="X357" s="164"/>
      <c r="Y357" s="164"/>
      <c r="Z357" s="164"/>
      <c r="AA357" s="164"/>
      <c r="AB357" s="164"/>
    </row>
    <row r="358">
      <c r="A358" s="164"/>
      <c r="B358" s="164"/>
      <c r="C358" s="9"/>
      <c r="D358" s="9"/>
      <c r="E358" s="9"/>
      <c r="F358" s="9"/>
      <c r="G358" s="164"/>
      <c r="H358" s="164"/>
      <c r="I358" s="164"/>
      <c r="J358" s="652"/>
      <c r="K358" s="164"/>
      <c r="L358" s="164"/>
      <c r="M358" s="164"/>
      <c r="N358" s="164"/>
      <c r="O358" s="164"/>
      <c r="P358" s="164"/>
      <c r="Q358" s="164"/>
      <c r="R358" s="164"/>
      <c r="S358" s="164"/>
      <c r="T358" s="164"/>
      <c r="U358" s="164"/>
      <c r="V358" s="164"/>
      <c r="W358" s="164"/>
      <c r="X358" s="164"/>
      <c r="Y358" s="164"/>
      <c r="Z358" s="164"/>
      <c r="AA358" s="164"/>
      <c r="AB358" s="164"/>
    </row>
    <row r="359">
      <c r="A359" s="164"/>
      <c r="B359" s="164"/>
      <c r="C359" s="9"/>
      <c r="D359" s="9"/>
      <c r="E359" s="9"/>
      <c r="F359" s="9"/>
      <c r="G359" s="164"/>
      <c r="H359" s="164"/>
      <c r="I359" s="164"/>
      <c r="J359" s="652"/>
      <c r="K359" s="164"/>
      <c r="L359" s="164"/>
      <c r="M359" s="164"/>
      <c r="N359" s="164"/>
      <c r="O359" s="164"/>
      <c r="P359" s="164"/>
      <c r="Q359" s="164"/>
      <c r="R359" s="164"/>
      <c r="S359" s="164"/>
      <c r="T359" s="164"/>
      <c r="U359" s="164"/>
      <c r="V359" s="164"/>
      <c r="W359" s="164"/>
      <c r="X359" s="164"/>
      <c r="Y359" s="164"/>
      <c r="Z359" s="164"/>
      <c r="AA359" s="164"/>
      <c r="AB359" s="164"/>
    </row>
    <row r="360">
      <c r="A360" s="164"/>
      <c r="B360" s="164"/>
      <c r="C360" s="9"/>
      <c r="D360" s="9"/>
      <c r="E360" s="9"/>
      <c r="F360" s="9"/>
      <c r="G360" s="164"/>
      <c r="H360" s="164"/>
      <c r="I360" s="164"/>
      <c r="J360" s="652"/>
      <c r="K360" s="164"/>
      <c r="L360" s="164"/>
      <c r="M360" s="164"/>
      <c r="N360" s="164"/>
      <c r="O360" s="164"/>
      <c r="P360" s="164"/>
      <c r="Q360" s="164"/>
      <c r="R360" s="164"/>
      <c r="S360" s="164"/>
      <c r="T360" s="164"/>
      <c r="U360" s="164"/>
      <c r="V360" s="164"/>
      <c r="W360" s="164"/>
      <c r="X360" s="164"/>
      <c r="Y360" s="164"/>
      <c r="Z360" s="164"/>
      <c r="AA360" s="164"/>
      <c r="AB360" s="164"/>
    </row>
    <row r="361">
      <c r="A361" s="164"/>
      <c r="B361" s="164"/>
      <c r="C361" s="9"/>
      <c r="D361" s="9"/>
      <c r="E361" s="9"/>
      <c r="F361" s="9"/>
      <c r="G361" s="164"/>
      <c r="H361" s="164"/>
      <c r="I361" s="164"/>
      <c r="J361" s="652"/>
      <c r="K361" s="164"/>
      <c r="L361" s="164"/>
      <c r="M361" s="164"/>
      <c r="N361" s="164"/>
      <c r="O361" s="164"/>
      <c r="P361" s="164"/>
      <c r="Q361" s="164"/>
      <c r="R361" s="164"/>
      <c r="S361" s="164"/>
      <c r="T361" s="164"/>
      <c r="U361" s="164"/>
      <c r="V361" s="164"/>
      <c r="W361" s="164"/>
      <c r="X361" s="164"/>
      <c r="Y361" s="164"/>
      <c r="Z361" s="164"/>
      <c r="AA361" s="164"/>
      <c r="AB361" s="164"/>
    </row>
    <row r="362">
      <c r="A362" s="164"/>
      <c r="B362" s="164"/>
      <c r="C362" s="9"/>
      <c r="D362" s="9"/>
      <c r="E362" s="9"/>
      <c r="F362" s="9"/>
      <c r="G362" s="164"/>
      <c r="H362" s="164"/>
      <c r="I362" s="164"/>
      <c r="J362" s="652"/>
      <c r="K362" s="164"/>
      <c r="L362" s="164"/>
      <c r="M362" s="164"/>
      <c r="N362" s="164"/>
      <c r="O362" s="164"/>
      <c r="P362" s="164"/>
      <c r="Q362" s="164"/>
      <c r="R362" s="164"/>
      <c r="S362" s="164"/>
      <c r="T362" s="164"/>
      <c r="U362" s="164"/>
      <c r="V362" s="164"/>
      <c r="W362" s="164"/>
      <c r="X362" s="164"/>
      <c r="Y362" s="164"/>
      <c r="Z362" s="164"/>
      <c r="AA362" s="164"/>
      <c r="AB362" s="164"/>
    </row>
    <row r="363">
      <c r="A363" s="164"/>
      <c r="B363" s="164"/>
      <c r="C363" s="9"/>
      <c r="D363" s="9"/>
      <c r="E363" s="9"/>
      <c r="F363" s="9"/>
      <c r="G363" s="164"/>
      <c r="H363" s="164"/>
      <c r="I363" s="164"/>
      <c r="J363" s="652"/>
      <c r="K363" s="164"/>
      <c r="L363" s="164"/>
      <c r="M363" s="164"/>
      <c r="N363" s="164"/>
      <c r="O363" s="164"/>
      <c r="P363" s="164"/>
      <c r="Q363" s="164"/>
      <c r="R363" s="164"/>
      <c r="S363" s="164"/>
      <c r="T363" s="164"/>
      <c r="U363" s="164"/>
      <c r="V363" s="164"/>
      <c r="W363" s="164"/>
      <c r="X363" s="164"/>
      <c r="Y363" s="164"/>
      <c r="Z363" s="164"/>
      <c r="AA363" s="164"/>
      <c r="AB363" s="164"/>
    </row>
    <row r="364">
      <c r="A364" s="164"/>
      <c r="B364" s="164"/>
      <c r="C364" s="9"/>
      <c r="D364" s="9"/>
      <c r="E364" s="9"/>
      <c r="F364" s="9"/>
      <c r="G364" s="164"/>
      <c r="H364" s="164"/>
      <c r="I364" s="164"/>
      <c r="J364" s="652"/>
      <c r="K364" s="164"/>
      <c r="L364" s="164"/>
      <c r="M364" s="164"/>
      <c r="N364" s="164"/>
      <c r="O364" s="164"/>
      <c r="P364" s="164"/>
      <c r="Q364" s="164"/>
      <c r="R364" s="164"/>
      <c r="S364" s="164"/>
      <c r="T364" s="164"/>
      <c r="U364" s="164"/>
      <c r="V364" s="164"/>
      <c r="W364" s="164"/>
      <c r="X364" s="164"/>
      <c r="Y364" s="164"/>
      <c r="Z364" s="164"/>
      <c r="AA364" s="164"/>
      <c r="AB364" s="164"/>
    </row>
    <row r="365">
      <c r="A365" s="164"/>
      <c r="B365" s="164"/>
      <c r="C365" s="9"/>
      <c r="D365" s="9"/>
      <c r="E365" s="9"/>
      <c r="F365" s="9"/>
      <c r="G365" s="164"/>
      <c r="H365" s="164"/>
      <c r="I365" s="164"/>
      <c r="J365" s="652"/>
      <c r="K365" s="164"/>
      <c r="L365" s="164"/>
      <c r="M365" s="164"/>
      <c r="N365" s="164"/>
      <c r="O365" s="164"/>
      <c r="P365" s="164"/>
      <c r="Q365" s="164"/>
      <c r="R365" s="164"/>
      <c r="S365" s="164"/>
      <c r="T365" s="164"/>
      <c r="U365" s="164"/>
      <c r="V365" s="164"/>
      <c r="W365" s="164"/>
      <c r="X365" s="164"/>
      <c r="Y365" s="164"/>
      <c r="Z365" s="164"/>
      <c r="AA365" s="164"/>
      <c r="AB365" s="164"/>
    </row>
    <row r="366">
      <c r="A366" s="164"/>
      <c r="B366" s="164"/>
      <c r="C366" s="9"/>
      <c r="D366" s="9"/>
      <c r="E366" s="9"/>
      <c r="F366" s="9"/>
      <c r="G366" s="164"/>
      <c r="H366" s="164"/>
      <c r="I366" s="164"/>
      <c r="J366" s="652"/>
      <c r="K366" s="164"/>
      <c r="L366" s="164"/>
      <c r="M366" s="164"/>
      <c r="N366" s="164"/>
      <c r="O366" s="164"/>
      <c r="P366" s="164"/>
      <c r="Q366" s="164"/>
      <c r="R366" s="164"/>
      <c r="S366" s="164"/>
      <c r="T366" s="164"/>
      <c r="U366" s="164"/>
      <c r="V366" s="164"/>
      <c r="W366" s="164"/>
      <c r="X366" s="164"/>
      <c r="Y366" s="164"/>
      <c r="Z366" s="164"/>
      <c r="AA366" s="164"/>
      <c r="AB366" s="164"/>
    </row>
    <row r="367">
      <c r="A367" s="164"/>
      <c r="B367" s="164"/>
      <c r="C367" s="9"/>
      <c r="D367" s="9"/>
      <c r="E367" s="9"/>
      <c r="F367" s="9"/>
      <c r="G367" s="164"/>
      <c r="H367" s="164"/>
      <c r="I367" s="164"/>
      <c r="J367" s="652"/>
      <c r="K367" s="164"/>
      <c r="L367" s="164"/>
      <c r="M367" s="164"/>
      <c r="N367" s="164"/>
      <c r="O367" s="164"/>
      <c r="P367" s="164"/>
      <c r="Q367" s="164"/>
      <c r="R367" s="164"/>
      <c r="S367" s="164"/>
      <c r="T367" s="164"/>
      <c r="U367" s="164"/>
      <c r="V367" s="164"/>
      <c r="W367" s="164"/>
      <c r="X367" s="164"/>
      <c r="Y367" s="164"/>
      <c r="Z367" s="164"/>
      <c r="AA367" s="164"/>
      <c r="AB367" s="164"/>
    </row>
    <row r="368">
      <c r="A368" s="164"/>
      <c r="B368" s="164"/>
      <c r="C368" s="9"/>
      <c r="D368" s="9"/>
      <c r="E368" s="9"/>
      <c r="F368" s="9"/>
      <c r="G368" s="164"/>
      <c r="H368" s="164"/>
      <c r="I368" s="164"/>
      <c r="J368" s="652"/>
      <c r="K368" s="164"/>
      <c r="L368" s="164"/>
      <c r="M368" s="164"/>
      <c r="N368" s="164"/>
      <c r="O368" s="164"/>
      <c r="P368" s="164"/>
      <c r="Q368" s="164"/>
      <c r="R368" s="164"/>
      <c r="S368" s="164"/>
      <c r="T368" s="164"/>
      <c r="U368" s="164"/>
      <c r="V368" s="164"/>
      <c r="W368" s="164"/>
      <c r="X368" s="164"/>
      <c r="Y368" s="164"/>
      <c r="Z368" s="164"/>
      <c r="AA368" s="164"/>
      <c r="AB368" s="164"/>
    </row>
    <row r="369">
      <c r="A369" s="164"/>
      <c r="B369" s="164"/>
      <c r="C369" s="9"/>
      <c r="D369" s="9"/>
      <c r="E369" s="9"/>
      <c r="F369" s="9"/>
      <c r="G369" s="164"/>
      <c r="H369" s="164"/>
      <c r="I369" s="164"/>
      <c r="J369" s="652"/>
      <c r="K369" s="164"/>
      <c r="L369" s="164"/>
      <c r="M369" s="164"/>
      <c r="N369" s="164"/>
      <c r="O369" s="164"/>
      <c r="P369" s="164"/>
      <c r="Q369" s="164"/>
      <c r="R369" s="164"/>
      <c r="S369" s="164"/>
      <c r="T369" s="164"/>
      <c r="U369" s="164"/>
      <c r="V369" s="164"/>
      <c r="W369" s="164"/>
      <c r="X369" s="164"/>
      <c r="Y369" s="164"/>
      <c r="Z369" s="164"/>
      <c r="AA369" s="164"/>
      <c r="AB369" s="164"/>
    </row>
    <row r="370">
      <c r="A370" s="164"/>
      <c r="B370" s="164"/>
      <c r="C370" s="9"/>
      <c r="D370" s="9"/>
      <c r="E370" s="9"/>
      <c r="F370" s="9"/>
      <c r="G370" s="164"/>
      <c r="H370" s="164"/>
      <c r="I370" s="164"/>
      <c r="J370" s="652"/>
      <c r="K370" s="164"/>
      <c r="L370" s="164"/>
      <c r="M370" s="164"/>
      <c r="N370" s="164"/>
      <c r="O370" s="164"/>
      <c r="P370" s="164"/>
      <c r="Q370" s="164"/>
      <c r="R370" s="164"/>
      <c r="S370" s="164"/>
      <c r="T370" s="164"/>
      <c r="U370" s="164"/>
      <c r="V370" s="164"/>
      <c r="W370" s="164"/>
      <c r="X370" s="164"/>
      <c r="Y370" s="164"/>
      <c r="Z370" s="164"/>
      <c r="AA370" s="164"/>
      <c r="AB370" s="164"/>
    </row>
    <row r="371">
      <c r="A371" s="164"/>
      <c r="B371" s="164"/>
      <c r="C371" s="9"/>
      <c r="D371" s="9"/>
      <c r="E371" s="9"/>
      <c r="F371" s="9"/>
      <c r="G371" s="164"/>
      <c r="H371" s="164"/>
      <c r="I371" s="164"/>
      <c r="J371" s="652"/>
      <c r="K371" s="164"/>
      <c r="L371" s="164"/>
      <c r="M371" s="164"/>
      <c r="N371" s="164"/>
      <c r="O371" s="164"/>
      <c r="P371" s="164"/>
      <c r="Q371" s="164"/>
      <c r="R371" s="164"/>
      <c r="S371" s="164"/>
      <c r="T371" s="164"/>
      <c r="U371" s="164"/>
      <c r="V371" s="164"/>
      <c r="W371" s="164"/>
      <c r="X371" s="164"/>
      <c r="Y371" s="164"/>
      <c r="Z371" s="164"/>
      <c r="AA371" s="164"/>
      <c r="AB371" s="164"/>
    </row>
    <row r="372">
      <c r="A372" s="164"/>
      <c r="B372" s="164"/>
      <c r="C372" s="9"/>
      <c r="D372" s="9"/>
      <c r="E372" s="9"/>
      <c r="F372" s="9"/>
      <c r="G372" s="164"/>
      <c r="H372" s="164"/>
      <c r="I372" s="164"/>
      <c r="J372" s="652"/>
      <c r="K372" s="164"/>
      <c r="L372" s="164"/>
      <c r="M372" s="164"/>
      <c r="N372" s="164"/>
      <c r="O372" s="164"/>
      <c r="P372" s="164"/>
      <c r="Q372" s="164"/>
      <c r="R372" s="164"/>
      <c r="S372" s="164"/>
      <c r="T372" s="164"/>
      <c r="U372" s="164"/>
      <c r="V372" s="164"/>
      <c r="W372" s="164"/>
      <c r="X372" s="164"/>
      <c r="Y372" s="164"/>
      <c r="Z372" s="164"/>
      <c r="AA372" s="164"/>
      <c r="AB372" s="164"/>
    </row>
    <row r="373">
      <c r="A373" s="164"/>
      <c r="B373" s="164"/>
      <c r="C373" s="9"/>
      <c r="D373" s="9"/>
      <c r="E373" s="9"/>
      <c r="F373" s="9"/>
      <c r="G373" s="164"/>
      <c r="H373" s="164"/>
      <c r="I373" s="164"/>
      <c r="J373" s="652"/>
      <c r="K373" s="164"/>
      <c r="L373" s="164"/>
      <c r="M373" s="164"/>
      <c r="N373" s="164"/>
      <c r="O373" s="164"/>
      <c r="P373" s="164"/>
      <c r="Q373" s="164"/>
      <c r="R373" s="164"/>
      <c r="S373" s="164"/>
      <c r="T373" s="164"/>
      <c r="U373" s="164"/>
      <c r="V373" s="164"/>
      <c r="W373" s="164"/>
      <c r="X373" s="164"/>
      <c r="Y373" s="164"/>
      <c r="Z373" s="164"/>
      <c r="AA373" s="164"/>
      <c r="AB373" s="164"/>
    </row>
    <row r="374">
      <c r="A374" s="164"/>
      <c r="B374" s="164"/>
      <c r="C374" s="9"/>
      <c r="D374" s="9"/>
      <c r="E374" s="9"/>
      <c r="F374" s="9"/>
      <c r="G374" s="164"/>
      <c r="H374" s="164"/>
      <c r="I374" s="164"/>
      <c r="J374" s="652"/>
      <c r="K374" s="164"/>
      <c r="L374" s="164"/>
      <c r="M374" s="164"/>
      <c r="N374" s="164"/>
      <c r="O374" s="164"/>
      <c r="P374" s="164"/>
      <c r="Q374" s="164"/>
      <c r="R374" s="164"/>
      <c r="S374" s="164"/>
      <c r="T374" s="164"/>
      <c r="U374" s="164"/>
      <c r="V374" s="164"/>
      <c r="W374" s="164"/>
      <c r="X374" s="164"/>
      <c r="Y374" s="164"/>
      <c r="Z374" s="164"/>
      <c r="AA374" s="164"/>
      <c r="AB374" s="164"/>
    </row>
    <row r="375">
      <c r="A375" s="164"/>
      <c r="B375" s="164"/>
      <c r="C375" s="9"/>
      <c r="D375" s="9"/>
      <c r="E375" s="9"/>
      <c r="F375" s="9"/>
      <c r="G375" s="164"/>
      <c r="H375" s="164"/>
      <c r="I375" s="164"/>
      <c r="J375" s="652"/>
      <c r="K375" s="164"/>
      <c r="L375" s="164"/>
      <c r="M375" s="164"/>
      <c r="N375" s="164"/>
      <c r="O375" s="164"/>
      <c r="P375" s="164"/>
      <c r="Q375" s="164"/>
      <c r="R375" s="164"/>
      <c r="S375" s="164"/>
      <c r="T375" s="164"/>
      <c r="U375" s="164"/>
      <c r="V375" s="164"/>
      <c r="W375" s="164"/>
      <c r="X375" s="164"/>
      <c r="Y375" s="164"/>
      <c r="Z375" s="164"/>
      <c r="AA375" s="164"/>
      <c r="AB375" s="164"/>
    </row>
    <row r="376">
      <c r="A376" s="164"/>
      <c r="B376" s="164"/>
      <c r="C376" s="9"/>
      <c r="D376" s="9"/>
      <c r="E376" s="9"/>
      <c r="F376" s="9"/>
      <c r="G376" s="164"/>
      <c r="H376" s="164"/>
      <c r="I376" s="164"/>
      <c r="J376" s="652"/>
      <c r="K376" s="164"/>
      <c r="L376" s="164"/>
      <c r="M376" s="164"/>
      <c r="N376" s="164"/>
      <c r="O376" s="164"/>
      <c r="P376" s="164"/>
      <c r="Q376" s="164"/>
      <c r="R376" s="164"/>
      <c r="S376" s="164"/>
      <c r="T376" s="164"/>
      <c r="U376" s="164"/>
      <c r="V376" s="164"/>
      <c r="W376" s="164"/>
      <c r="X376" s="164"/>
      <c r="Y376" s="164"/>
      <c r="Z376" s="164"/>
      <c r="AA376" s="164"/>
      <c r="AB376" s="164"/>
    </row>
    <row r="377">
      <c r="A377" s="164"/>
      <c r="B377" s="164"/>
      <c r="C377" s="9"/>
      <c r="D377" s="9"/>
      <c r="E377" s="9"/>
      <c r="F377" s="9"/>
      <c r="G377" s="164"/>
      <c r="H377" s="164"/>
      <c r="I377" s="164"/>
      <c r="J377" s="652"/>
      <c r="K377" s="164"/>
      <c r="L377" s="164"/>
      <c r="M377" s="164"/>
      <c r="N377" s="164"/>
      <c r="O377" s="164"/>
      <c r="P377" s="164"/>
      <c r="Q377" s="164"/>
      <c r="R377" s="164"/>
      <c r="S377" s="164"/>
      <c r="T377" s="164"/>
      <c r="U377" s="164"/>
      <c r="V377" s="164"/>
      <c r="W377" s="164"/>
      <c r="X377" s="164"/>
      <c r="Y377" s="164"/>
      <c r="Z377" s="164"/>
      <c r="AA377" s="164"/>
      <c r="AB377" s="164"/>
    </row>
    <row r="378">
      <c r="A378" s="164"/>
      <c r="B378" s="164"/>
      <c r="C378" s="9"/>
      <c r="D378" s="9"/>
      <c r="E378" s="9"/>
      <c r="F378" s="9"/>
      <c r="G378" s="164"/>
      <c r="H378" s="164"/>
      <c r="I378" s="164"/>
      <c r="J378" s="652"/>
      <c r="K378" s="164"/>
      <c r="L378" s="164"/>
      <c r="M378" s="164"/>
      <c r="N378" s="164"/>
      <c r="O378" s="164"/>
      <c r="P378" s="164"/>
      <c r="Q378" s="164"/>
      <c r="R378" s="164"/>
      <c r="S378" s="164"/>
      <c r="T378" s="164"/>
      <c r="U378" s="164"/>
      <c r="V378" s="164"/>
      <c r="W378" s="164"/>
      <c r="X378" s="164"/>
      <c r="Y378" s="164"/>
      <c r="Z378" s="164"/>
      <c r="AA378" s="164"/>
      <c r="AB378" s="164"/>
    </row>
    <row r="379">
      <c r="A379" s="164"/>
      <c r="B379" s="164"/>
      <c r="C379" s="9"/>
      <c r="D379" s="9"/>
      <c r="E379" s="9"/>
      <c r="F379" s="9"/>
      <c r="G379" s="164"/>
      <c r="H379" s="164"/>
      <c r="I379" s="164"/>
      <c r="J379" s="652"/>
      <c r="K379" s="164"/>
      <c r="L379" s="164"/>
      <c r="M379" s="164"/>
      <c r="N379" s="164"/>
      <c r="O379" s="164"/>
      <c r="P379" s="164"/>
      <c r="Q379" s="164"/>
      <c r="R379" s="164"/>
      <c r="S379" s="164"/>
      <c r="T379" s="164"/>
      <c r="U379" s="164"/>
      <c r="V379" s="164"/>
      <c r="W379" s="164"/>
      <c r="X379" s="164"/>
      <c r="Y379" s="164"/>
      <c r="Z379" s="164"/>
      <c r="AA379" s="164"/>
      <c r="AB379" s="164"/>
    </row>
    <row r="380">
      <c r="A380" s="164"/>
      <c r="B380" s="164"/>
      <c r="C380" s="9"/>
      <c r="D380" s="9"/>
      <c r="E380" s="9"/>
      <c r="F380" s="9"/>
      <c r="G380" s="164"/>
      <c r="H380" s="164"/>
      <c r="I380" s="164"/>
      <c r="J380" s="652"/>
      <c r="K380" s="164"/>
      <c r="L380" s="164"/>
      <c r="M380" s="164"/>
      <c r="N380" s="164"/>
      <c r="O380" s="164"/>
      <c r="P380" s="164"/>
      <c r="Q380" s="164"/>
      <c r="R380" s="164"/>
      <c r="S380" s="164"/>
      <c r="T380" s="164"/>
      <c r="U380" s="164"/>
      <c r="V380" s="164"/>
      <c r="W380" s="164"/>
      <c r="X380" s="164"/>
      <c r="Y380" s="164"/>
      <c r="Z380" s="164"/>
      <c r="AA380" s="164"/>
      <c r="AB380" s="164"/>
    </row>
    <row r="381">
      <c r="A381" s="164"/>
      <c r="B381" s="164"/>
      <c r="C381" s="9"/>
      <c r="D381" s="9"/>
      <c r="E381" s="9"/>
      <c r="F381" s="9"/>
      <c r="G381" s="164"/>
      <c r="H381" s="164"/>
      <c r="I381" s="164"/>
      <c r="J381" s="652"/>
      <c r="K381" s="164"/>
      <c r="L381" s="164"/>
      <c r="M381" s="164"/>
      <c r="N381" s="164"/>
      <c r="O381" s="164"/>
      <c r="P381" s="164"/>
      <c r="Q381" s="164"/>
      <c r="R381" s="164"/>
      <c r="S381" s="164"/>
      <c r="T381" s="164"/>
      <c r="U381" s="164"/>
      <c r="V381" s="164"/>
      <c r="W381" s="164"/>
      <c r="X381" s="164"/>
      <c r="Y381" s="164"/>
      <c r="Z381" s="164"/>
      <c r="AA381" s="164"/>
      <c r="AB381" s="164"/>
    </row>
    <row r="382">
      <c r="A382" s="164"/>
      <c r="B382" s="164"/>
      <c r="C382" s="9"/>
      <c r="D382" s="9"/>
      <c r="E382" s="9"/>
      <c r="F382" s="9"/>
      <c r="G382" s="164"/>
      <c r="H382" s="164"/>
      <c r="I382" s="164"/>
      <c r="J382" s="652"/>
      <c r="K382" s="164"/>
      <c r="L382" s="164"/>
      <c r="M382" s="164"/>
      <c r="N382" s="164"/>
      <c r="O382" s="164"/>
      <c r="P382" s="164"/>
      <c r="Q382" s="164"/>
      <c r="R382" s="164"/>
      <c r="S382" s="164"/>
      <c r="T382" s="164"/>
      <c r="U382" s="164"/>
      <c r="V382" s="164"/>
      <c r="W382" s="164"/>
      <c r="X382" s="164"/>
      <c r="Y382" s="164"/>
      <c r="Z382" s="164"/>
      <c r="AA382" s="164"/>
      <c r="AB382" s="164"/>
    </row>
    <row r="383">
      <c r="A383" s="164"/>
      <c r="B383" s="164"/>
      <c r="C383" s="9"/>
      <c r="D383" s="9"/>
      <c r="E383" s="9"/>
      <c r="F383" s="9"/>
      <c r="G383" s="164"/>
      <c r="H383" s="164"/>
      <c r="I383" s="164"/>
      <c r="J383" s="652"/>
      <c r="K383" s="164"/>
      <c r="L383" s="164"/>
      <c r="M383" s="164"/>
      <c r="N383" s="164"/>
      <c r="O383" s="164"/>
      <c r="P383" s="164"/>
      <c r="Q383" s="164"/>
      <c r="R383" s="164"/>
      <c r="S383" s="164"/>
      <c r="T383" s="164"/>
      <c r="U383" s="164"/>
      <c r="V383" s="164"/>
      <c r="W383" s="164"/>
      <c r="X383" s="164"/>
      <c r="Y383" s="164"/>
      <c r="Z383" s="164"/>
      <c r="AA383" s="164"/>
      <c r="AB383" s="164"/>
    </row>
    <row r="384">
      <c r="A384" s="164"/>
      <c r="B384" s="164"/>
      <c r="C384" s="9"/>
      <c r="D384" s="9"/>
      <c r="E384" s="9"/>
      <c r="F384" s="9"/>
      <c r="G384" s="164"/>
      <c r="H384" s="164"/>
      <c r="I384" s="164"/>
      <c r="J384" s="652"/>
      <c r="K384" s="164"/>
      <c r="L384" s="164"/>
      <c r="M384" s="164"/>
      <c r="N384" s="164"/>
      <c r="O384" s="164"/>
      <c r="P384" s="164"/>
      <c r="Q384" s="164"/>
      <c r="R384" s="164"/>
      <c r="S384" s="164"/>
      <c r="T384" s="164"/>
      <c r="U384" s="164"/>
      <c r="V384" s="164"/>
      <c r="W384" s="164"/>
      <c r="X384" s="164"/>
      <c r="Y384" s="164"/>
      <c r="Z384" s="164"/>
      <c r="AA384" s="164"/>
      <c r="AB384" s="164"/>
    </row>
    <row r="385">
      <c r="A385" s="164"/>
      <c r="B385" s="164"/>
      <c r="C385" s="9"/>
      <c r="D385" s="9"/>
      <c r="E385" s="9"/>
      <c r="F385" s="9"/>
      <c r="G385" s="164"/>
      <c r="H385" s="164"/>
      <c r="I385" s="164"/>
      <c r="J385" s="652"/>
      <c r="K385" s="164"/>
      <c r="L385" s="164"/>
      <c r="M385" s="164"/>
      <c r="N385" s="164"/>
      <c r="O385" s="164"/>
      <c r="P385" s="164"/>
      <c r="Q385" s="164"/>
      <c r="R385" s="164"/>
      <c r="S385" s="164"/>
      <c r="T385" s="164"/>
      <c r="U385" s="164"/>
      <c r="V385" s="164"/>
      <c r="W385" s="164"/>
      <c r="X385" s="164"/>
      <c r="Y385" s="164"/>
      <c r="Z385" s="164"/>
      <c r="AA385" s="164"/>
      <c r="AB385" s="164"/>
    </row>
    <row r="386">
      <c r="A386" s="164"/>
      <c r="B386" s="164"/>
      <c r="C386" s="9"/>
      <c r="D386" s="9"/>
      <c r="E386" s="9"/>
      <c r="F386" s="9"/>
      <c r="G386" s="164"/>
      <c r="H386" s="164"/>
      <c r="I386" s="164"/>
      <c r="J386" s="652"/>
      <c r="K386" s="164"/>
      <c r="L386" s="164"/>
      <c r="M386" s="164"/>
      <c r="N386" s="164"/>
      <c r="O386" s="164"/>
      <c r="P386" s="164"/>
      <c r="Q386" s="164"/>
      <c r="R386" s="164"/>
      <c r="S386" s="164"/>
      <c r="T386" s="164"/>
      <c r="U386" s="164"/>
      <c r="V386" s="164"/>
      <c r="W386" s="164"/>
      <c r="X386" s="164"/>
      <c r="Y386" s="164"/>
      <c r="Z386" s="164"/>
      <c r="AA386" s="164"/>
      <c r="AB386" s="164"/>
    </row>
    <row r="387">
      <c r="A387" s="164"/>
      <c r="B387" s="164"/>
      <c r="C387" s="9"/>
      <c r="D387" s="9"/>
      <c r="E387" s="9"/>
      <c r="F387" s="9"/>
      <c r="G387" s="164"/>
      <c r="H387" s="164"/>
      <c r="I387" s="164"/>
      <c r="J387" s="652"/>
      <c r="K387" s="164"/>
      <c r="L387" s="164"/>
      <c r="M387" s="164"/>
      <c r="N387" s="164"/>
      <c r="O387" s="164"/>
      <c r="P387" s="164"/>
      <c r="Q387" s="164"/>
      <c r="R387" s="164"/>
      <c r="S387" s="164"/>
      <c r="T387" s="164"/>
      <c r="U387" s="164"/>
      <c r="V387" s="164"/>
      <c r="W387" s="164"/>
      <c r="X387" s="164"/>
      <c r="Y387" s="164"/>
      <c r="Z387" s="164"/>
      <c r="AA387" s="164"/>
      <c r="AB387" s="164"/>
    </row>
    <row r="388">
      <c r="A388" s="164"/>
      <c r="B388" s="164"/>
      <c r="C388" s="9"/>
      <c r="D388" s="9"/>
      <c r="E388" s="9"/>
      <c r="F388" s="9"/>
      <c r="G388" s="164"/>
      <c r="H388" s="164"/>
      <c r="I388" s="164"/>
      <c r="J388" s="652"/>
      <c r="K388" s="164"/>
      <c r="L388" s="164"/>
      <c r="M388" s="164"/>
      <c r="N388" s="164"/>
      <c r="O388" s="164"/>
      <c r="P388" s="164"/>
      <c r="Q388" s="164"/>
      <c r="R388" s="164"/>
      <c r="S388" s="164"/>
      <c r="T388" s="164"/>
      <c r="U388" s="164"/>
      <c r="V388" s="164"/>
      <c r="W388" s="164"/>
      <c r="X388" s="164"/>
      <c r="Y388" s="164"/>
      <c r="Z388" s="164"/>
      <c r="AA388" s="164"/>
      <c r="AB388" s="164"/>
    </row>
    <row r="389">
      <c r="A389" s="164"/>
      <c r="B389" s="164"/>
      <c r="C389" s="9"/>
      <c r="D389" s="9"/>
      <c r="E389" s="9"/>
      <c r="F389" s="9"/>
      <c r="G389" s="164"/>
      <c r="H389" s="164"/>
      <c r="I389" s="164"/>
      <c r="J389" s="652"/>
      <c r="K389" s="164"/>
      <c r="L389" s="164"/>
      <c r="M389" s="164"/>
      <c r="N389" s="164"/>
      <c r="O389" s="164"/>
      <c r="P389" s="164"/>
      <c r="Q389" s="164"/>
      <c r="R389" s="164"/>
      <c r="S389" s="164"/>
      <c r="T389" s="164"/>
      <c r="U389" s="164"/>
      <c r="V389" s="164"/>
      <c r="W389" s="164"/>
      <c r="X389" s="164"/>
      <c r="Y389" s="164"/>
      <c r="Z389" s="164"/>
      <c r="AA389" s="164"/>
      <c r="AB389" s="164"/>
    </row>
    <row r="390">
      <c r="A390" s="164"/>
      <c r="B390" s="164"/>
      <c r="C390" s="9"/>
      <c r="D390" s="9"/>
      <c r="E390" s="9"/>
      <c r="F390" s="9"/>
      <c r="G390" s="164"/>
      <c r="H390" s="164"/>
      <c r="I390" s="164"/>
      <c r="J390" s="652"/>
      <c r="K390" s="164"/>
      <c r="L390" s="164"/>
      <c r="M390" s="164"/>
      <c r="N390" s="164"/>
      <c r="O390" s="164"/>
      <c r="P390" s="164"/>
      <c r="Q390" s="164"/>
      <c r="R390" s="164"/>
      <c r="S390" s="164"/>
      <c r="T390" s="164"/>
      <c r="U390" s="164"/>
      <c r="V390" s="164"/>
      <c r="W390" s="164"/>
      <c r="X390" s="164"/>
      <c r="Y390" s="164"/>
      <c r="Z390" s="164"/>
      <c r="AA390" s="164"/>
      <c r="AB390" s="164"/>
    </row>
    <row r="391">
      <c r="A391" s="164"/>
      <c r="B391" s="164"/>
      <c r="C391" s="9"/>
      <c r="D391" s="9"/>
      <c r="E391" s="9"/>
      <c r="F391" s="9"/>
      <c r="G391" s="164"/>
      <c r="H391" s="164"/>
      <c r="I391" s="164"/>
      <c r="J391" s="652"/>
      <c r="K391" s="164"/>
      <c r="L391" s="164"/>
      <c r="M391" s="164"/>
      <c r="N391" s="164"/>
      <c r="O391" s="164"/>
      <c r="P391" s="164"/>
      <c r="Q391" s="164"/>
      <c r="R391" s="164"/>
      <c r="S391" s="164"/>
      <c r="T391" s="164"/>
      <c r="U391" s="164"/>
      <c r="V391" s="164"/>
      <c r="W391" s="164"/>
      <c r="X391" s="164"/>
      <c r="Y391" s="164"/>
      <c r="Z391" s="164"/>
      <c r="AA391" s="164"/>
      <c r="AB391" s="164"/>
    </row>
    <row r="392">
      <c r="A392" s="164"/>
      <c r="B392" s="164"/>
      <c r="C392" s="9"/>
      <c r="D392" s="9"/>
      <c r="E392" s="9"/>
      <c r="F392" s="9"/>
      <c r="G392" s="164"/>
      <c r="H392" s="164"/>
      <c r="I392" s="164"/>
      <c r="J392" s="652"/>
      <c r="K392" s="164"/>
      <c r="L392" s="164"/>
      <c r="M392" s="164"/>
      <c r="N392" s="164"/>
      <c r="O392" s="164"/>
      <c r="P392" s="164"/>
      <c r="Q392" s="164"/>
      <c r="R392" s="164"/>
      <c r="S392" s="164"/>
      <c r="T392" s="164"/>
      <c r="U392" s="164"/>
      <c r="V392" s="164"/>
      <c r="W392" s="164"/>
      <c r="X392" s="164"/>
      <c r="Y392" s="164"/>
      <c r="Z392" s="164"/>
      <c r="AA392" s="164"/>
      <c r="AB392" s="164"/>
    </row>
    <row r="393">
      <c r="A393" s="164"/>
      <c r="B393" s="164"/>
      <c r="C393" s="9"/>
      <c r="D393" s="9"/>
      <c r="E393" s="9"/>
      <c r="F393" s="9"/>
      <c r="G393" s="164"/>
      <c r="H393" s="164"/>
      <c r="I393" s="164"/>
      <c r="J393" s="652"/>
      <c r="K393" s="164"/>
      <c r="L393" s="164"/>
      <c r="M393" s="164"/>
      <c r="N393" s="164"/>
      <c r="O393" s="164"/>
      <c r="P393" s="164"/>
      <c r="Q393" s="164"/>
      <c r="R393" s="164"/>
      <c r="S393" s="164"/>
      <c r="T393" s="164"/>
      <c r="U393" s="164"/>
      <c r="V393" s="164"/>
      <c r="W393" s="164"/>
      <c r="X393" s="164"/>
      <c r="Y393" s="164"/>
      <c r="Z393" s="164"/>
      <c r="AA393" s="164"/>
      <c r="AB393" s="164"/>
    </row>
    <row r="394">
      <c r="A394" s="164"/>
      <c r="B394" s="164"/>
      <c r="C394" s="9"/>
      <c r="D394" s="9"/>
      <c r="E394" s="9"/>
      <c r="F394" s="9"/>
      <c r="G394" s="164"/>
      <c r="H394" s="164"/>
      <c r="I394" s="164"/>
      <c r="J394" s="652"/>
      <c r="K394" s="164"/>
      <c r="L394" s="164"/>
      <c r="M394" s="164"/>
      <c r="N394" s="164"/>
      <c r="O394" s="164"/>
      <c r="P394" s="164"/>
      <c r="Q394" s="164"/>
      <c r="R394" s="164"/>
      <c r="S394" s="164"/>
      <c r="T394" s="164"/>
      <c r="U394" s="164"/>
      <c r="V394" s="164"/>
      <c r="W394" s="164"/>
      <c r="X394" s="164"/>
      <c r="Y394" s="164"/>
      <c r="Z394" s="164"/>
      <c r="AA394" s="164"/>
      <c r="AB394" s="164"/>
    </row>
    <row r="395">
      <c r="A395" s="164"/>
      <c r="B395" s="164"/>
      <c r="C395" s="9"/>
      <c r="D395" s="9"/>
      <c r="E395" s="9"/>
      <c r="F395" s="9"/>
      <c r="G395" s="164"/>
      <c r="H395" s="164"/>
      <c r="I395" s="164"/>
      <c r="J395" s="652"/>
      <c r="K395" s="164"/>
      <c r="L395" s="164"/>
      <c r="M395" s="164"/>
      <c r="N395" s="164"/>
      <c r="O395" s="164"/>
      <c r="P395" s="164"/>
      <c r="Q395" s="164"/>
      <c r="R395" s="164"/>
      <c r="S395" s="164"/>
      <c r="T395" s="164"/>
      <c r="U395" s="164"/>
      <c r="V395" s="164"/>
      <c r="W395" s="164"/>
      <c r="X395" s="164"/>
      <c r="Y395" s="164"/>
      <c r="Z395" s="164"/>
      <c r="AA395" s="164"/>
      <c r="AB395" s="164"/>
    </row>
    <row r="396">
      <c r="A396" s="164"/>
      <c r="B396" s="164"/>
      <c r="C396" s="9"/>
      <c r="D396" s="9"/>
      <c r="E396" s="9"/>
      <c r="F396" s="9"/>
      <c r="G396" s="164"/>
      <c r="H396" s="164"/>
      <c r="I396" s="164"/>
      <c r="J396" s="652"/>
      <c r="K396" s="164"/>
      <c r="L396" s="164"/>
      <c r="M396" s="164"/>
      <c r="N396" s="164"/>
      <c r="O396" s="164"/>
      <c r="P396" s="164"/>
      <c r="Q396" s="164"/>
      <c r="R396" s="164"/>
      <c r="S396" s="164"/>
      <c r="T396" s="164"/>
      <c r="U396" s="164"/>
      <c r="V396" s="164"/>
      <c r="W396" s="164"/>
      <c r="X396" s="164"/>
      <c r="Y396" s="164"/>
      <c r="Z396" s="164"/>
      <c r="AA396" s="164"/>
      <c r="AB396" s="164"/>
    </row>
    <row r="397">
      <c r="A397" s="164"/>
      <c r="B397" s="164"/>
      <c r="C397" s="9"/>
      <c r="D397" s="9"/>
      <c r="E397" s="9"/>
      <c r="F397" s="9"/>
      <c r="G397" s="164"/>
      <c r="H397" s="164"/>
      <c r="I397" s="164"/>
      <c r="J397" s="652"/>
      <c r="K397" s="164"/>
      <c r="L397" s="164"/>
      <c r="M397" s="164"/>
      <c r="N397" s="164"/>
      <c r="O397" s="164"/>
      <c r="P397" s="164"/>
      <c r="Q397" s="164"/>
      <c r="R397" s="164"/>
      <c r="S397" s="164"/>
      <c r="T397" s="164"/>
      <c r="U397" s="164"/>
      <c r="V397" s="164"/>
      <c r="W397" s="164"/>
      <c r="X397" s="164"/>
      <c r="Y397" s="164"/>
      <c r="Z397" s="164"/>
      <c r="AA397" s="164"/>
      <c r="AB397" s="164"/>
    </row>
    <row r="398">
      <c r="A398" s="164"/>
      <c r="B398" s="164"/>
      <c r="C398" s="9"/>
      <c r="D398" s="9"/>
      <c r="E398" s="9"/>
      <c r="F398" s="9"/>
      <c r="G398" s="164"/>
      <c r="H398" s="164"/>
      <c r="I398" s="164"/>
      <c r="J398" s="652"/>
      <c r="K398" s="164"/>
      <c r="L398" s="164"/>
      <c r="M398" s="164"/>
      <c r="N398" s="164"/>
      <c r="O398" s="164"/>
      <c r="P398" s="164"/>
      <c r="Q398" s="164"/>
      <c r="R398" s="164"/>
      <c r="S398" s="164"/>
      <c r="T398" s="164"/>
      <c r="U398" s="164"/>
      <c r="V398" s="164"/>
      <c r="W398" s="164"/>
      <c r="X398" s="164"/>
      <c r="Y398" s="164"/>
      <c r="Z398" s="164"/>
      <c r="AA398" s="164"/>
      <c r="AB398" s="164"/>
    </row>
    <row r="399">
      <c r="A399" s="164"/>
      <c r="B399" s="164"/>
      <c r="C399" s="9"/>
      <c r="D399" s="9"/>
      <c r="E399" s="9"/>
      <c r="F399" s="9"/>
      <c r="G399" s="164"/>
      <c r="H399" s="164"/>
      <c r="I399" s="164"/>
      <c r="J399" s="652"/>
      <c r="K399" s="164"/>
      <c r="L399" s="164"/>
      <c r="M399" s="164"/>
      <c r="N399" s="164"/>
      <c r="O399" s="164"/>
      <c r="P399" s="164"/>
      <c r="Q399" s="164"/>
      <c r="R399" s="164"/>
      <c r="S399" s="164"/>
      <c r="T399" s="164"/>
      <c r="U399" s="164"/>
      <c r="V399" s="164"/>
      <c r="W399" s="164"/>
      <c r="X399" s="164"/>
      <c r="Y399" s="164"/>
      <c r="Z399" s="164"/>
      <c r="AA399" s="164"/>
      <c r="AB399" s="164"/>
    </row>
    <row r="400">
      <c r="A400" s="164"/>
      <c r="B400" s="164"/>
      <c r="C400" s="9"/>
      <c r="D400" s="9"/>
      <c r="E400" s="9"/>
      <c r="F400" s="9"/>
      <c r="G400" s="164"/>
      <c r="H400" s="164"/>
      <c r="I400" s="164"/>
      <c r="J400" s="652"/>
      <c r="K400" s="164"/>
      <c r="L400" s="164"/>
      <c r="M400" s="164"/>
      <c r="N400" s="164"/>
      <c r="O400" s="164"/>
      <c r="P400" s="164"/>
      <c r="Q400" s="164"/>
      <c r="R400" s="164"/>
      <c r="S400" s="164"/>
      <c r="T400" s="164"/>
      <c r="U400" s="164"/>
      <c r="V400" s="164"/>
      <c r="W400" s="164"/>
      <c r="X400" s="164"/>
      <c r="Y400" s="164"/>
      <c r="Z400" s="164"/>
      <c r="AA400" s="164"/>
      <c r="AB400" s="164"/>
    </row>
    <row r="401">
      <c r="A401" s="164"/>
      <c r="B401" s="164"/>
      <c r="C401" s="9"/>
      <c r="D401" s="9"/>
      <c r="E401" s="9"/>
      <c r="F401" s="9"/>
      <c r="G401" s="164"/>
      <c r="H401" s="164"/>
      <c r="I401" s="164"/>
      <c r="J401" s="652"/>
      <c r="K401" s="164"/>
      <c r="L401" s="164"/>
      <c r="M401" s="164"/>
      <c r="N401" s="164"/>
      <c r="O401" s="164"/>
      <c r="P401" s="164"/>
      <c r="Q401" s="164"/>
      <c r="R401" s="164"/>
      <c r="S401" s="164"/>
      <c r="T401" s="164"/>
      <c r="U401" s="164"/>
      <c r="V401" s="164"/>
      <c r="W401" s="164"/>
      <c r="X401" s="164"/>
      <c r="Y401" s="164"/>
      <c r="Z401" s="164"/>
      <c r="AA401" s="164"/>
      <c r="AB401" s="164"/>
    </row>
    <row r="402">
      <c r="A402" s="164"/>
      <c r="B402" s="164"/>
      <c r="C402" s="9"/>
      <c r="D402" s="9"/>
      <c r="E402" s="9"/>
      <c r="F402" s="9"/>
      <c r="G402" s="164"/>
      <c r="H402" s="164"/>
      <c r="I402" s="164"/>
      <c r="J402" s="652"/>
      <c r="K402" s="164"/>
      <c r="L402" s="164"/>
      <c r="M402" s="164"/>
      <c r="N402" s="164"/>
      <c r="O402" s="164"/>
      <c r="P402" s="164"/>
      <c r="Q402" s="164"/>
      <c r="R402" s="164"/>
      <c r="S402" s="164"/>
      <c r="T402" s="164"/>
      <c r="U402" s="164"/>
      <c r="V402" s="164"/>
      <c r="W402" s="164"/>
      <c r="X402" s="164"/>
      <c r="Y402" s="164"/>
      <c r="Z402" s="164"/>
      <c r="AA402" s="164"/>
      <c r="AB402" s="164"/>
    </row>
    <row r="403">
      <c r="A403" s="164"/>
      <c r="B403" s="164"/>
      <c r="C403" s="9"/>
      <c r="D403" s="9"/>
      <c r="E403" s="9"/>
      <c r="F403" s="9"/>
      <c r="G403" s="164"/>
      <c r="H403" s="164"/>
      <c r="I403" s="164"/>
      <c r="J403" s="652"/>
      <c r="K403" s="164"/>
      <c r="L403" s="164"/>
      <c r="M403" s="164"/>
      <c r="N403" s="164"/>
      <c r="O403" s="164"/>
      <c r="P403" s="164"/>
      <c r="Q403" s="164"/>
      <c r="R403" s="164"/>
      <c r="S403" s="164"/>
      <c r="T403" s="164"/>
      <c r="U403" s="164"/>
      <c r="V403" s="164"/>
      <c r="W403" s="164"/>
      <c r="X403" s="164"/>
      <c r="Y403" s="164"/>
      <c r="Z403" s="164"/>
      <c r="AA403" s="164"/>
      <c r="AB403" s="164"/>
    </row>
    <row r="404">
      <c r="A404" s="164"/>
      <c r="B404" s="164"/>
      <c r="C404" s="9"/>
      <c r="D404" s="9"/>
      <c r="E404" s="9"/>
      <c r="F404" s="9"/>
      <c r="G404" s="164"/>
      <c r="H404" s="164"/>
      <c r="I404" s="164"/>
      <c r="J404" s="652"/>
      <c r="K404" s="164"/>
      <c r="L404" s="164"/>
      <c r="M404" s="164"/>
      <c r="N404" s="164"/>
      <c r="O404" s="164"/>
      <c r="P404" s="164"/>
      <c r="Q404" s="164"/>
      <c r="R404" s="164"/>
      <c r="S404" s="164"/>
      <c r="T404" s="164"/>
      <c r="U404" s="164"/>
      <c r="V404" s="164"/>
      <c r="W404" s="164"/>
      <c r="X404" s="164"/>
      <c r="Y404" s="164"/>
      <c r="Z404" s="164"/>
      <c r="AA404" s="164"/>
      <c r="AB404" s="164"/>
    </row>
    <row r="405">
      <c r="A405" s="164"/>
      <c r="B405" s="164"/>
      <c r="C405" s="9"/>
      <c r="D405" s="9"/>
      <c r="E405" s="9"/>
      <c r="F405" s="9"/>
      <c r="G405" s="164"/>
      <c r="H405" s="164"/>
      <c r="I405" s="164"/>
      <c r="J405" s="652"/>
      <c r="K405" s="164"/>
      <c r="L405" s="164"/>
      <c r="M405" s="164"/>
      <c r="N405" s="164"/>
      <c r="O405" s="164"/>
      <c r="P405" s="164"/>
      <c r="Q405" s="164"/>
      <c r="R405" s="164"/>
      <c r="S405" s="164"/>
      <c r="T405" s="164"/>
      <c r="U405" s="164"/>
      <c r="V405" s="164"/>
      <c r="W405" s="164"/>
      <c r="X405" s="164"/>
      <c r="Y405" s="164"/>
      <c r="Z405" s="164"/>
      <c r="AA405" s="164"/>
      <c r="AB405" s="164"/>
    </row>
    <row r="406">
      <c r="A406" s="164"/>
      <c r="B406" s="164"/>
      <c r="C406" s="9"/>
      <c r="D406" s="9"/>
      <c r="E406" s="9"/>
      <c r="F406" s="9"/>
      <c r="G406" s="164"/>
      <c r="H406" s="164"/>
      <c r="I406" s="164"/>
      <c r="J406" s="652"/>
      <c r="K406" s="164"/>
      <c r="L406" s="164"/>
      <c r="M406" s="164"/>
      <c r="N406" s="164"/>
      <c r="O406" s="164"/>
      <c r="P406" s="164"/>
      <c r="Q406" s="164"/>
      <c r="R406" s="164"/>
      <c r="S406" s="164"/>
      <c r="T406" s="164"/>
      <c r="U406" s="164"/>
      <c r="V406" s="164"/>
      <c r="W406" s="164"/>
      <c r="X406" s="164"/>
      <c r="Y406" s="164"/>
      <c r="Z406" s="164"/>
      <c r="AA406" s="164"/>
      <c r="AB406" s="164"/>
    </row>
    <row r="407">
      <c r="A407" s="164"/>
      <c r="B407" s="164"/>
      <c r="C407" s="9"/>
      <c r="D407" s="9"/>
      <c r="E407" s="9"/>
      <c r="F407" s="9"/>
      <c r="G407" s="164"/>
      <c r="H407" s="164"/>
      <c r="I407" s="164"/>
      <c r="J407" s="652"/>
      <c r="K407" s="164"/>
      <c r="L407" s="164"/>
      <c r="M407" s="164"/>
      <c r="N407" s="164"/>
      <c r="O407" s="164"/>
      <c r="P407" s="164"/>
      <c r="Q407" s="164"/>
      <c r="R407" s="164"/>
      <c r="S407" s="164"/>
      <c r="T407" s="164"/>
      <c r="U407" s="164"/>
      <c r="V407" s="164"/>
      <c r="W407" s="164"/>
      <c r="X407" s="164"/>
      <c r="Y407" s="164"/>
      <c r="Z407" s="164"/>
      <c r="AA407" s="164"/>
      <c r="AB407" s="164"/>
    </row>
    <row r="408">
      <c r="A408" s="164"/>
      <c r="B408" s="164"/>
      <c r="C408" s="9"/>
      <c r="D408" s="9"/>
      <c r="E408" s="9"/>
      <c r="F408" s="9"/>
      <c r="G408" s="164"/>
      <c r="H408" s="164"/>
      <c r="I408" s="164"/>
      <c r="J408" s="652"/>
      <c r="K408" s="164"/>
      <c r="L408" s="164"/>
      <c r="M408" s="164"/>
      <c r="N408" s="164"/>
      <c r="O408" s="164"/>
      <c r="P408" s="164"/>
      <c r="Q408" s="164"/>
      <c r="R408" s="164"/>
      <c r="S408" s="164"/>
      <c r="T408" s="164"/>
      <c r="U408" s="164"/>
      <c r="V408" s="164"/>
      <c r="W408" s="164"/>
      <c r="X408" s="164"/>
      <c r="Y408" s="164"/>
      <c r="Z408" s="164"/>
      <c r="AA408" s="164"/>
      <c r="AB408" s="164"/>
    </row>
    <row r="409">
      <c r="A409" s="164"/>
      <c r="B409" s="164"/>
      <c r="C409" s="9"/>
      <c r="D409" s="9"/>
      <c r="E409" s="9"/>
      <c r="F409" s="9"/>
      <c r="G409" s="164"/>
      <c r="H409" s="164"/>
      <c r="I409" s="164"/>
      <c r="J409" s="652"/>
      <c r="K409" s="164"/>
      <c r="L409" s="164"/>
      <c r="M409" s="164"/>
      <c r="N409" s="164"/>
      <c r="O409" s="164"/>
      <c r="P409" s="164"/>
      <c r="Q409" s="164"/>
      <c r="R409" s="164"/>
      <c r="S409" s="164"/>
      <c r="T409" s="164"/>
      <c r="U409" s="164"/>
      <c r="V409" s="164"/>
      <c r="W409" s="164"/>
      <c r="X409" s="164"/>
      <c r="Y409" s="164"/>
      <c r="Z409" s="164"/>
      <c r="AA409" s="164"/>
      <c r="AB409" s="164"/>
    </row>
    <row r="410">
      <c r="A410" s="164"/>
      <c r="B410" s="164"/>
      <c r="C410" s="9"/>
      <c r="D410" s="9"/>
      <c r="E410" s="9"/>
      <c r="F410" s="9"/>
      <c r="G410" s="164"/>
      <c r="H410" s="164"/>
      <c r="I410" s="164"/>
      <c r="J410" s="652"/>
      <c r="K410" s="164"/>
      <c r="L410" s="164"/>
      <c r="M410" s="164"/>
      <c r="N410" s="164"/>
      <c r="O410" s="164"/>
      <c r="P410" s="164"/>
      <c r="Q410" s="164"/>
      <c r="R410" s="164"/>
      <c r="S410" s="164"/>
      <c r="T410" s="164"/>
      <c r="U410" s="164"/>
      <c r="V410" s="164"/>
      <c r="W410" s="164"/>
      <c r="X410" s="164"/>
      <c r="Y410" s="164"/>
      <c r="Z410" s="164"/>
      <c r="AA410" s="164"/>
      <c r="AB410" s="164"/>
    </row>
    <row r="411">
      <c r="A411" s="164"/>
      <c r="B411" s="164"/>
      <c r="C411" s="9"/>
      <c r="D411" s="9"/>
      <c r="E411" s="9"/>
      <c r="F411" s="9"/>
      <c r="G411" s="164"/>
      <c r="H411" s="164"/>
      <c r="I411" s="164"/>
      <c r="J411" s="652"/>
      <c r="K411" s="164"/>
      <c r="L411" s="164"/>
      <c r="M411" s="164"/>
      <c r="N411" s="164"/>
      <c r="O411" s="164"/>
      <c r="P411" s="164"/>
      <c r="Q411" s="164"/>
      <c r="R411" s="164"/>
      <c r="S411" s="164"/>
      <c r="T411" s="164"/>
      <c r="U411" s="164"/>
      <c r="V411" s="164"/>
      <c r="W411" s="164"/>
      <c r="X411" s="164"/>
      <c r="Y411" s="164"/>
      <c r="Z411" s="164"/>
      <c r="AA411" s="164"/>
      <c r="AB411" s="164"/>
    </row>
    <row r="412">
      <c r="A412" s="164"/>
      <c r="B412" s="164"/>
      <c r="C412" s="9"/>
      <c r="D412" s="9"/>
      <c r="E412" s="9"/>
      <c r="F412" s="9"/>
      <c r="G412" s="164"/>
      <c r="H412" s="164"/>
      <c r="I412" s="164"/>
      <c r="J412" s="652"/>
      <c r="K412" s="164"/>
      <c r="L412" s="164"/>
      <c r="M412" s="164"/>
      <c r="N412" s="164"/>
      <c r="O412" s="164"/>
      <c r="P412" s="164"/>
      <c r="Q412" s="164"/>
      <c r="R412" s="164"/>
      <c r="S412" s="164"/>
      <c r="T412" s="164"/>
      <c r="U412" s="164"/>
      <c r="V412" s="164"/>
      <c r="W412" s="164"/>
      <c r="X412" s="164"/>
      <c r="Y412" s="164"/>
      <c r="Z412" s="164"/>
      <c r="AA412" s="164"/>
      <c r="AB412" s="164"/>
    </row>
    <row r="413">
      <c r="A413" s="164"/>
      <c r="B413" s="164"/>
      <c r="C413" s="9"/>
      <c r="D413" s="9"/>
      <c r="E413" s="9"/>
      <c r="F413" s="9"/>
      <c r="G413" s="164"/>
      <c r="H413" s="164"/>
      <c r="I413" s="164"/>
      <c r="J413" s="652"/>
      <c r="K413" s="164"/>
      <c r="L413" s="164"/>
      <c r="M413" s="164"/>
      <c r="N413" s="164"/>
      <c r="O413" s="164"/>
      <c r="P413" s="164"/>
      <c r="Q413" s="164"/>
      <c r="R413" s="164"/>
      <c r="S413" s="164"/>
      <c r="T413" s="164"/>
      <c r="U413" s="164"/>
      <c r="V413" s="164"/>
      <c r="W413" s="164"/>
      <c r="X413" s="164"/>
      <c r="Y413" s="164"/>
      <c r="Z413" s="164"/>
      <c r="AA413" s="164"/>
      <c r="AB413" s="164"/>
    </row>
    <row r="414">
      <c r="A414" s="164"/>
      <c r="B414" s="164"/>
      <c r="C414" s="9"/>
      <c r="D414" s="9"/>
      <c r="E414" s="9"/>
      <c r="F414" s="9"/>
      <c r="G414" s="164"/>
      <c r="H414" s="164"/>
      <c r="I414" s="164"/>
      <c r="J414" s="652"/>
      <c r="K414" s="164"/>
      <c r="L414" s="164"/>
      <c r="M414" s="164"/>
      <c r="N414" s="164"/>
      <c r="O414" s="164"/>
      <c r="P414" s="164"/>
      <c r="Q414" s="164"/>
      <c r="R414" s="164"/>
      <c r="S414" s="164"/>
      <c r="T414" s="164"/>
      <c r="U414" s="164"/>
      <c r="V414" s="164"/>
      <c r="W414" s="164"/>
      <c r="X414" s="164"/>
      <c r="Y414" s="164"/>
      <c r="Z414" s="164"/>
      <c r="AA414" s="164"/>
      <c r="AB414" s="164"/>
    </row>
    <row r="415">
      <c r="A415" s="164"/>
      <c r="B415" s="164"/>
      <c r="C415" s="9"/>
      <c r="D415" s="9"/>
      <c r="E415" s="9"/>
      <c r="F415" s="9"/>
      <c r="G415" s="164"/>
      <c r="H415" s="164"/>
      <c r="I415" s="164"/>
      <c r="J415" s="652"/>
      <c r="K415" s="164"/>
      <c r="L415" s="164"/>
      <c r="M415" s="164"/>
      <c r="N415" s="164"/>
      <c r="O415" s="164"/>
      <c r="P415" s="164"/>
      <c r="Q415" s="164"/>
      <c r="R415" s="164"/>
      <c r="S415" s="164"/>
      <c r="T415" s="164"/>
      <c r="U415" s="164"/>
      <c r="V415" s="164"/>
      <c r="W415" s="164"/>
      <c r="X415" s="164"/>
      <c r="Y415" s="164"/>
      <c r="Z415" s="164"/>
      <c r="AA415" s="164"/>
      <c r="AB415" s="164"/>
    </row>
    <row r="416">
      <c r="A416" s="164"/>
      <c r="B416" s="164"/>
      <c r="C416" s="9"/>
      <c r="D416" s="9"/>
      <c r="E416" s="9"/>
      <c r="F416" s="9"/>
      <c r="G416" s="164"/>
      <c r="H416" s="164"/>
      <c r="I416" s="164"/>
      <c r="J416" s="652"/>
      <c r="K416" s="164"/>
      <c r="L416" s="164"/>
      <c r="M416" s="164"/>
      <c r="N416" s="164"/>
      <c r="O416" s="164"/>
      <c r="P416" s="164"/>
      <c r="Q416" s="164"/>
      <c r="R416" s="164"/>
      <c r="S416" s="164"/>
      <c r="T416" s="164"/>
      <c r="U416" s="164"/>
      <c r="V416" s="164"/>
      <c r="W416" s="164"/>
      <c r="X416" s="164"/>
      <c r="Y416" s="164"/>
      <c r="Z416" s="164"/>
      <c r="AA416" s="164"/>
      <c r="AB416" s="164"/>
    </row>
    <row r="417">
      <c r="A417" s="164"/>
      <c r="B417" s="164"/>
      <c r="C417" s="9"/>
      <c r="D417" s="9"/>
      <c r="E417" s="9"/>
      <c r="F417" s="9"/>
      <c r="G417" s="164"/>
      <c r="H417" s="164"/>
      <c r="I417" s="164"/>
      <c r="J417" s="652"/>
      <c r="K417" s="164"/>
      <c r="L417" s="164"/>
      <c r="M417" s="164"/>
      <c r="N417" s="164"/>
      <c r="O417" s="164"/>
      <c r="P417" s="164"/>
      <c r="Q417" s="164"/>
      <c r="R417" s="164"/>
      <c r="S417" s="164"/>
      <c r="T417" s="164"/>
      <c r="U417" s="164"/>
      <c r="V417" s="164"/>
      <c r="W417" s="164"/>
      <c r="X417" s="164"/>
      <c r="Y417" s="164"/>
      <c r="Z417" s="164"/>
      <c r="AA417" s="164"/>
      <c r="AB417" s="164"/>
    </row>
    <row r="418">
      <c r="A418" s="164"/>
      <c r="B418" s="164"/>
      <c r="C418" s="9"/>
      <c r="D418" s="9"/>
      <c r="E418" s="9"/>
      <c r="F418" s="9"/>
      <c r="G418" s="164"/>
      <c r="H418" s="164"/>
      <c r="I418" s="164"/>
      <c r="J418" s="652"/>
      <c r="K418" s="164"/>
      <c r="L418" s="164"/>
      <c r="M418" s="164"/>
      <c r="N418" s="164"/>
      <c r="O418" s="164"/>
      <c r="P418" s="164"/>
      <c r="Q418" s="164"/>
      <c r="R418" s="164"/>
      <c r="S418" s="164"/>
      <c r="T418" s="164"/>
      <c r="U418" s="164"/>
      <c r="V418" s="164"/>
      <c r="W418" s="164"/>
      <c r="X418" s="164"/>
      <c r="Y418" s="164"/>
      <c r="Z418" s="164"/>
      <c r="AA418" s="164"/>
      <c r="AB418" s="164"/>
    </row>
    <row r="419">
      <c r="A419" s="164"/>
      <c r="B419" s="164"/>
      <c r="C419" s="9"/>
      <c r="D419" s="9"/>
      <c r="E419" s="9"/>
      <c r="F419" s="9"/>
      <c r="G419" s="164"/>
      <c r="H419" s="164"/>
      <c r="I419" s="164"/>
      <c r="J419" s="652"/>
      <c r="K419" s="164"/>
      <c r="L419" s="164"/>
      <c r="M419" s="164"/>
      <c r="N419" s="164"/>
      <c r="O419" s="164"/>
      <c r="P419" s="164"/>
      <c r="Q419" s="164"/>
      <c r="R419" s="164"/>
      <c r="S419" s="164"/>
      <c r="T419" s="164"/>
      <c r="U419" s="164"/>
      <c r="V419" s="164"/>
      <c r="W419" s="164"/>
      <c r="X419" s="164"/>
      <c r="Y419" s="164"/>
      <c r="Z419" s="164"/>
      <c r="AA419" s="164"/>
      <c r="AB419" s="164"/>
    </row>
    <row r="420">
      <c r="A420" s="164"/>
      <c r="B420" s="164"/>
      <c r="C420" s="9"/>
      <c r="D420" s="9"/>
      <c r="E420" s="9"/>
      <c r="F420" s="9"/>
      <c r="G420" s="164"/>
      <c r="H420" s="164"/>
      <c r="I420" s="164"/>
      <c r="J420" s="652"/>
      <c r="K420" s="164"/>
      <c r="L420" s="164"/>
      <c r="M420" s="164"/>
      <c r="N420" s="164"/>
      <c r="O420" s="164"/>
      <c r="P420" s="164"/>
      <c r="Q420" s="164"/>
      <c r="R420" s="164"/>
      <c r="S420" s="164"/>
      <c r="T420" s="164"/>
      <c r="U420" s="164"/>
      <c r="V420" s="164"/>
      <c r="W420" s="164"/>
      <c r="X420" s="164"/>
      <c r="Y420" s="164"/>
      <c r="Z420" s="164"/>
      <c r="AA420" s="164"/>
      <c r="AB420" s="164"/>
    </row>
    <row r="421">
      <c r="A421" s="164"/>
      <c r="B421" s="164"/>
      <c r="C421" s="9"/>
      <c r="D421" s="9"/>
      <c r="E421" s="9"/>
      <c r="F421" s="9"/>
      <c r="G421" s="164"/>
      <c r="H421" s="164"/>
      <c r="I421" s="164"/>
      <c r="J421" s="652"/>
      <c r="K421" s="164"/>
      <c r="L421" s="164"/>
      <c r="M421" s="164"/>
      <c r="N421" s="164"/>
      <c r="O421" s="164"/>
      <c r="P421" s="164"/>
      <c r="Q421" s="164"/>
      <c r="R421" s="164"/>
      <c r="S421" s="164"/>
      <c r="T421" s="164"/>
      <c r="U421" s="164"/>
      <c r="V421" s="164"/>
      <c r="W421" s="164"/>
      <c r="X421" s="164"/>
      <c r="Y421" s="164"/>
      <c r="Z421" s="164"/>
      <c r="AA421" s="164"/>
      <c r="AB421" s="164"/>
    </row>
    <row r="422">
      <c r="A422" s="164"/>
      <c r="B422" s="164"/>
      <c r="C422" s="9"/>
      <c r="D422" s="9"/>
      <c r="E422" s="9"/>
      <c r="F422" s="9"/>
      <c r="G422" s="164"/>
      <c r="H422" s="164"/>
      <c r="I422" s="164"/>
      <c r="J422" s="652"/>
      <c r="K422" s="164"/>
      <c r="L422" s="164"/>
      <c r="M422" s="164"/>
      <c r="N422" s="164"/>
      <c r="O422" s="164"/>
      <c r="P422" s="164"/>
      <c r="Q422" s="164"/>
      <c r="R422" s="164"/>
      <c r="S422" s="164"/>
      <c r="T422" s="164"/>
      <c r="U422" s="164"/>
      <c r="V422" s="164"/>
      <c r="W422" s="164"/>
      <c r="X422" s="164"/>
      <c r="Y422" s="164"/>
      <c r="Z422" s="164"/>
      <c r="AA422" s="164"/>
      <c r="AB422" s="164"/>
    </row>
    <row r="423">
      <c r="A423" s="164"/>
      <c r="B423" s="164"/>
      <c r="C423" s="9"/>
      <c r="D423" s="9"/>
      <c r="E423" s="9"/>
      <c r="F423" s="9"/>
      <c r="G423" s="164"/>
      <c r="H423" s="164"/>
      <c r="I423" s="164"/>
      <c r="J423" s="652"/>
      <c r="K423" s="164"/>
      <c r="L423" s="164"/>
      <c r="M423" s="164"/>
      <c r="N423" s="164"/>
      <c r="O423" s="164"/>
      <c r="P423" s="164"/>
      <c r="Q423" s="164"/>
      <c r="R423" s="164"/>
      <c r="S423" s="164"/>
      <c r="T423" s="164"/>
      <c r="U423" s="164"/>
      <c r="V423" s="164"/>
      <c r="W423" s="164"/>
      <c r="X423" s="164"/>
      <c r="Y423" s="164"/>
      <c r="Z423" s="164"/>
      <c r="AA423" s="164"/>
      <c r="AB423" s="164"/>
    </row>
    <row r="424">
      <c r="A424" s="164"/>
      <c r="B424" s="164"/>
      <c r="C424" s="9"/>
      <c r="D424" s="9"/>
      <c r="E424" s="9"/>
      <c r="F424" s="9"/>
      <c r="G424" s="164"/>
      <c r="H424" s="164"/>
      <c r="I424" s="164"/>
      <c r="J424" s="652"/>
      <c r="K424" s="164"/>
      <c r="L424" s="164"/>
      <c r="M424" s="164"/>
      <c r="N424" s="164"/>
      <c r="O424" s="164"/>
      <c r="P424" s="164"/>
      <c r="Q424" s="164"/>
      <c r="R424" s="164"/>
      <c r="S424" s="164"/>
      <c r="T424" s="164"/>
      <c r="U424" s="164"/>
      <c r="V424" s="164"/>
      <c r="W424" s="164"/>
      <c r="X424" s="164"/>
      <c r="Y424" s="164"/>
      <c r="Z424" s="164"/>
      <c r="AA424" s="164"/>
      <c r="AB424" s="164"/>
    </row>
    <row r="425">
      <c r="A425" s="164"/>
      <c r="B425" s="164"/>
      <c r="C425" s="9"/>
      <c r="D425" s="9"/>
      <c r="E425" s="9"/>
      <c r="F425" s="9"/>
      <c r="G425" s="164"/>
      <c r="H425" s="164"/>
      <c r="I425" s="164"/>
      <c r="J425" s="652"/>
      <c r="K425" s="164"/>
      <c r="L425" s="164"/>
      <c r="M425" s="164"/>
      <c r="N425" s="164"/>
      <c r="O425" s="164"/>
      <c r="P425" s="164"/>
      <c r="Q425" s="164"/>
      <c r="R425" s="164"/>
      <c r="S425" s="164"/>
      <c r="T425" s="164"/>
      <c r="U425" s="164"/>
      <c r="V425" s="164"/>
      <c r="W425" s="164"/>
      <c r="X425" s="164"/>
      <c r="Y425" s="164"/>
      <c r="Z425" s="164"/>
      <c r="AA425" s="164"/>
      <c r="AB425" s="164"/>
    </row>
    <row r="426">
      <c r="A426" s="164"/>
      <c r="B426" s="164"/>
      <c r="C426" s="9"/>
      <c r="D426" s="9"/>
      <c r="E426" s="9"/>
      <c r="F426" s="9"/>
      <c r="G426" s="164"/>
      <c r="H426" s="164"/>
      <c r="I426" s="164"/>
      <c r="J426" s="652"/>
      <c r="K426" s="164"/>
      <c r="L426" s="164"/>
      <c r="M426" s="164"/>
      <c r="N426" s="164"/>
      <c r="O426" s="164"/>
      <c r="P426" s="164"/>
      <c r="Q426" s="164"/>
      <c r="R426" s="164"/>
      <c r="S426" s="164"/>
      <c r="T426" s="164"/>
      <c r="U426" s="164"/>
      <c r="V426" s="164"/>
      <c r="W426" s="164"/>
      <c r="X426" s="164"/>
      <c r="Y426" s="164"/>
      <c r="Z426" s="164"/>
      <c r="AA426" s="164"/>
      <c r="AB426" s="164"/>
    </row>
    <row r="427">
      <c r="A427" s="164"/>
      <c r="B427" s="164"/>
      <c r="C427" s="9"/>
      <c r="D427" s="9"/>
      <c r="E427" s="9"/>
      <c r="F427" s="9"/>
      <c r="G427" s="164"/>
      <c r="H427" s="164"/>
      <c r="I427" s="164"/>
      <c r="J427" s="652"/>
      <c r="K427" s="164"/>
      <c r="L427" s="164"/>
      <c r="M427" s="164"/>
      <c r="N427" s="164"/>
      <c r="O427" s="164"/>
      <c r="P427" s="164"/>
      <c r="Q427" s="164"/>
      <c r="R427" s="164"/>
      <c r="S427" s="164"/>
      <c r="T427" s="164"/>
      <c r="U427" s="164"/>
      <c r="V427" s="164"/>
      <c r="W427" s="164"/>
      <c r="X427" s="164"/>
      <c r="Y427" s="164"/>
      <c r="Z427" s="164"/>
      <c r="AA427" s="164"/>
      <c r="AB427" s="164"/>
    </row>
    <row r="428">
      <c r="A428" s="164"/>
      <c r="B428" s="164"/>
      <c r="C428" s="9"/>
      <c r="D428" s="9"/>
      <c r="E428" s="9"/>
      <c r="F428" s="9"/>
      <c r="G428" s="164"/>
      <c r="H428" s="164"/>
      <c r="I428" s="164"/>
      <c r="J428" s="652"/>
      <c r="K428" s="164"/>
      <c r="L428" s="164"/>
      <c r="M428" s="164"/>
      <c r="N428" s="164"/>
      <c r="O428" s="164"/>
      <c r="P428" s="164"/>
      <c r="Q428" s="164"/>
      <c r="R428" s="164"/>
      <c r="S428" s="164"/>
      <c r="T428" s="164"/>
      <c r="U428" s="164"/>
      <c r="V428" s="164"/>
      <c r="W428" s="164"/>
      <c r="X428" s="164"/>
      <c r="Y428" s="164"/>
      <c r="Z428" s="164"/>
      <c r="AA428" s="164"/>
      <c r="AB428" s="164"/>
    </row>
    <row r="429">
      <c r="A429" s="164"/>
      <c r="B429" s="164"/>
      <c r="C429" s="9"/>
      <c r="D429" s="9"/>
      <c r="E429" s="9"/>
      <c r="F429" s="9"/>
      <c r="G429" s="164"/>
      <c r="H429" s="164"/>
      <c r="I429" s="164"/>
      <c r="J429" s="652"/>
      <c r="K429" s="164"/>
      <c r="L429" s="164"/>
      <c r="M429" s="164"/>
      <c r="N429" s="164"/>
      <c r="O429" s="164"/>
      <c r="P429" s="164"/>
      <c r="Q429" s="164"/>
      <c r="R429" s="164"/>
      <c r="S429" s="164"/>
      <c r="T429" s="164"/>
      <c r="U429" s="164"/>
      <c r="V429" s="164"/>
      <c r="W429" s="164"/>
      <c r="X429" s="164"/>
      <c r="Y429" s="164"/>
      <c r="Z429" s="164"/>
      <c r="AA429" s="164"/>
      <c r="AB429" s="164"/>
    </row>
    <row r="430">
      <c r="A430" s="164"/>
      <c r="B430" s="164"/>
      <c r="C430" s="9"/>
      <c r="D430" s="9"/>
      <c r="E430" s="9"/>
      <c r="F430" s="9"/>
      <c r="G430" s="164"/>
      <c r="H430" s="164"/>
      <c r="I430" s="164"/>
      <c r="J430" s="652"/>
      <c r="K430" s="164"/>
      <c r="L430" s="164"/>
      <c r="M430" s="164"/>
      <c r="N430" s="164"/>
      <c r="O430" s="164"/>
      <c r="P430" s="164"/>
      <c r="Q430" s="164"/>
      <c r="R430" s="164"/>
      <c r="S430" s="164"/>
      <c r="T430" s="164"/>
      <c r="U430" s="164"/>
      <c r="V430" s="164"/>
      <c r="W430" s="164"/>
      <c r="X430" s="164"/>
      <c r="Y430" s="164"/>
      <c r="Z430" s="164"/>
      <c r="AA430" s="164"/>
      <c r="AB430" s="164"/>
    </row>
    <row r="431">
      <c r="A431" s="164"/>
      <c r="B431" s="164"/>
      <c r="C431" s="9"/>
      <c r="D431" s="9"/>
      <c r="E431" s="9"/>
      <c r="F431" s="9"/>
      <c r="G431" s="164"/>
      <c r="H431" s="164"/>
      <c r="I431" s="164"/>
      <c r="J431" s="652"/>
      <c r="K431" s="164"/>
      <c r="L431" s="164"/>
      <c r="M431" s="164"/>
      <c r="N431" s="164"/>
      <c r="O431" s="164"/>
      <c r="P431" s="164"/>
      <c r="Q431" s="164"/>
      <c r="R431" s="164"/>
      <c r="S431" s="164"/>
      <c r="T431" s="164"/>
      <c r="U431" s="164"/>
      <c r="V431" s="164"/>
      <c r="W431" s="164"/>
      <c r="X431" s="164"/>
      <c r="Y431" s="164"/>
      <c r="Z431" s="164"/>
      <c r="AA431" s="164"/>
      <c r="AB431" s="164"/>
    </row>
    <row r="432">
      <c r="A432" s="164"/>
      <c r="B432" s="164"/>
      <c r="C432" s="9"/>
      <c r="D432" s="9"/>
      <c r="E432" s="9"/>
      <c r="F432" s="9"/>
      <c r="G432" s="164"/>
      <c r="H432" s="164"/>
      <c r="I432" s="164"/>
      <c r="J432" s="652"/>
      <c r="K432" s="164"/>
      <c r="L432" s="164"/>
      <c r="M432" s="164"/>
      <c r="N432" s="164"/>
      <c r="O432" s="164"/>
      <c r="P432" s="164"/>
      <c r="Q432" s="164"/>
      <c r="R432" s="164"/>
      <c r="S432" s="164"/>
      <c r="T432" s="164"/>
      <c r="U432" s="164"/>
      <c r="V432" s="164"/>
      <c r="W432" s="164"/>
      <c r="X432" s="164"/>
      <c r="Y432" s="164"/>
      <c r="Z432" s="164"/>
      <c r="AA432" s="164"/>
      <c r="AB432" s="164"/>
    </row>
    <row r="433">
      <c r="A433" s="164"/>
      <c r="B433" s="164"/>
      <c r="C433" s="9"/>
      <c r="D433" s="9"/>
      <c r="E433" s="9"/>
      <c r="F433" s="9"/>
      <c r="G433" s="164"/>
      <c r="H433" s="164"/>
      <c r="I433" s="164"/>
      <c r="J433" s="652"/>
      <c r="K433" s="164"/>
      <c r="L433" s="164"/>
      <c r="M433" s="164"/>
      <c r="N433" s="164"/>
      <c r="O433" s="164"/>
      <c r="P433" s="164"/>
      <c r="Q433" s="164"/>
      <c r="R433" s="164"/>
      <c r="S433" s="164"/>
      <c r="T433" s="164"/>
      <c r="U433" s="164"/>
      <c r="V433" s="164"/>
      <c r="W433" s="164"/>
      <c r="X433" s="164"/>
      <c r="Y433" s="164"/>
      <c r="Z433" s="164"/>
      <c r="AA433" s="164"/>
      <c r="AB433" s="164"/>
    </row>
    <row r="434">
      <c r="A434" s="164"/>
      <c r="B434" s="164"/>
      <c r="C434" s="9"/>
      <c r="D434" s="9"/>
      <c r="E434" s="9"/>
      <c r="F434" s="9"/>
      <c r="G434" s="164"/>
      <c r="H434" s="164"/>
      <c r="I434" s="164"/>
      <c r="J434" s="652"/>
      <c r="K434" s="164"/>
      <c r="L434" s="164"/>
      <c r="M434" s="164"/>
      <c r="N434" s="164"/>
      <c r="O434" s="164"/>
      <c r="P434" s="164"/>
      <c r="Q434" s="164"/>
      <c r="R434" s="164"/>
      <c r="S434" s="164"/>
      <c r="T434" s="164"/>
      <c r="U434" s="164"/>
      <c r="V434" s="164"/>
      <c r="W434" s="164"/>
      <c r="X434" s="164"/>
      <c r="Y434" s="164"/>
      <c r="Z434" s="164"/>
      <c r="AA434" s="164"/>
      <c r="AB434" s="164"/>
    </row>
    <row r="435">
      <c r="A435" s="164"/>
      <c r="B435" s="164"/>
      <c r="C435" s="9"/>
      <c r="D435" s="9"/>
      <c r="E435" s="9"/>
      <c r="F435" s="9"/>
      <c r="G435" s="164"/>
      <c r="H435" s="164"/>
      <c r="I435" s="164"/>
      <c r="J435" s="652"/>
      <c r="K435" s="164"/>
      <c r="L435" s="164"/>
      <c r="M435" s="164"/>
      <c r="N435" s="164"/>
      <c r="O435" s="164"/>
      <c r="P435" s="164"/>
      <c r="Q435" s="164"/>
      <c r="R435" s="164"/>
      <c r="S435" s="164"/>
      <c r="T435" s="164"/>
      <c r="U435" s="164"/>
      <c r="V435" s="164"/>
      <c r="W435" s="164"/>
      <c r="X435" s="164"/>
      <c r="Y435" s="164"/>
      <c r="Z435" s="164"/>
      <c r="AA435" s="164"/>
      <c r="AB435" s="164"/>
    </row>
    <row r="436">
      <c r="A436" s="164"/>
      <c r="B436" s="164"/>
      <c r="C436" s="9"/>
      <c r="D436" s="9"/>
      <c r="E436" s="9"/>
      <c r="F436" s="9"/>
      <c r="G436" s="164"/>
      <c r="H436" s="164"/>
      <c r="I436" s="164"/>
      <c r="J436" s="652"/>
      <c r="K436" s="164"/>
      <c r="L436" s="164"/>
      <c r="M436" s="164"/>
      <c r="N436" s="164"/>
      <c r="O436" s="164"/>
      <c r="P436" s="164"/>
      <c r="Q436" s="164"/>
      <c r="R436" s="164"/>
      <c r="S436" s="164"/>
      <c r="T436" s="164"/>
      <c r="U436" s="164"/>
      <c r="V436" s="164"/>
      <c r="W436" s="164"/>
      <c r="X436" s="164"/>
      <c r="Y436" s="164"/>
      <c r="Z436" s="164"/>
      <c r="AA436" s="164"/>
      <c r="AB436" s="164"/>
    </row>
    <row r="437">
      <c r="A437" s="164"/>
      <c r="B437" s="164"/>
      <c r="C437" s="9"/>
      <c r="D437" s="9"/>
      <c r="E437" s="9"/>
      <c r="F437" s="9"/>
      <c r="G437" s="164"/>
      <c r="H437" s="164"/>
      <c r="I437" s="164"/>
      <c r="J437" s="652"/>
      <c r="K437" s="164"/>
      <c r="L437" s="164"/>
      <c r="M437" s="164"/>
      <c r="N437" s="164"/>
      <c r="O437" s="164"/>
      <c r="P437" s="164"/>
      <c r="Q437" s="164"/>
      <c r="R437" s="164"/>
      <c r="S437" s="164"/>
      <c r="T437" s="164"/>
      <c r="U437" s="164"/>
      <c r="V437" s="164"/>
      <c r="W437" s="164"/>
      <c r="X437" s="164"/>
      <c r="Y437" s="164"/>
      <c r="Z437" s="164"/>
      <c r="AA437" s="164"/>
      <c r="AB437" s="164"/>
    </row>
    <row r="438">
      <c r="A438" s="164"/>
      <c r="B438" s="164"/>
      <c r="C438" s="9"/>
      <c r="D438" s="9"/>
      <c r="E438" s="9"/>
      <c r="F438" s="9"/>
      <c r="G438" s="164"/>
      <c r="H438" s="164"/>
      <c r="I438" s="164"/>
      <c r="J438" s="652"/>
      <c r="K438" s="164"/>
      <c r="L438" s="164"/>
      <c r="M438" s="164"/>
      <c r="N438" s="164"/>
      <c r="O438" s="164"/>
      <c r="P438" s="164"/>
      <c r="Q438" s="164"/>
      <c r="R438" s="164"/>
      <c r="S438" s="164"/>
      <c r="T438" s="164"/>
      <c r="U438" s="164"/>
      <c r="V438" s="164"/>
      <c r="W438" s="164"/>
      <c r="X438" s="164"/>
      <c r="Y438" s="164"/>
      <c r="Z438" s="164"/>
      <c r="AA438" s="164"/>
      <c r="AB438" s="164"/>
    </row>
    <row r="439">
      <c r="A439" s="164"/>
      <c r="B439" s="164"/>
      <c r="C439" s="9"/>
      <c r="D439" s="9"/>
      <c r="E439" s="9"/>
      <c r="F439" s="9"/>
      <c r="G439" s="164"/>
      <c r="H439" s="164"/>
      <c r="I439" s="164"/>
      <c r="J439" s="652"/>
      <c r="K439" s="164"/>
      <c r="L439" s="164"/>
      <c r="M439" s="164"/>
      <c r="N439" s="164"/>
      <c r="O439" s="164"/>
      <c r="P439" s="164"/>
      <c r="Q439" s="164"/>
      <c r="R439" s="164"/>
      <c r="S439" s="164"/>
      <c r="T439" s="164"/>
      <c r="U439" s="164"/>
      <c r="V439" s="164"/>
      <c r="W439" s="164"/>
      <c r="X439" s="164"/>
      <c r="Y439" s="164"/>
      <c r="Z439" s="164"/>
      <c r="AA439" s="164"/>
      <c r="AB439" s="164"/>
    </row>
    <row r="440">
      <c r="A440" s="164"/>
      <c r="B440" s="164"/>
      <c r="C440" s="9"/>
      <c r="D440" s="9"/>
      <c r="E440" s="9"/>
      <c r="F440" s="9"/>
      <c r="G440" s="164"/>
      <c r="H440" s="164"/>
      <c r="I440" s="164"/>
      <c r="J440" s="652"/>
      <c r="K440" s="164"/>
      <c r="L440" s="164"/>
      <c r="M440" s="164"/>
      <c r="N440" s="164"/>
      <c r="O440" s="164"/>
      <c r="P440" s="164"/>
      <c r="Q440" s="164"/>
      <c r="R440" s="164"/>
      <c r="S440" s="164"/>
      <c r="T440" s="164"/>
      <c r="U440" s="164"/>
      <c r="V440" s="164"/>
      <c r="W440" s="164"/>
      <c r="X440" s="164"/>
      <c r="Y440" s="164"/>
      <c r="Z440" s="164"/>
      <c r="AA440" s="164"/>
      <c r="AB440" s="164"/>
    </row>
    <row r="441">
      <c r="A441" s="164"/>
      <c r="B441" s="164"/>
      <c r="C441" s="9"/>
      <c r="D441" s="9"/>
      <c r="E441" s="9"/>
      <c r="F441" s="9"/>
      <c r="G441" s="164"/>
      <c r="H441" s="164"/>
      <c r="I441" s="164"/>
      <c r="J441" s="652"/>
      <c r="K441" s="164"/>
      <c r="L441" s="164"/>
      <c r="M441" s="164"/>
      <c r="N441" s="164"/>
      <c r="O441" s="164"/>
      <c r="P441" s="164"/>
      <c r="Q441" s="164"/>
      <c r="R441" s="164"/>
      <c r="S441" s="164"/>
      <c r="T441" s="164"/>
      <c r="U441" s="164"/>
      <c r="V441" s="164"/>
      <c r="W441" s="164"/>
      <c r="X441" s="164"/>
      <c r="Y441" s="164"/>
      <c r="Z441" s="164"/>
      <c r="AA441" s="164"/>
      <c r="AB441" s="164"/>
    </row>
    <row r="442">
      <c r="A442" s="164"/>
      <c r="B442" s="164"/>
      <c r="C442" s="9"/>
      <c r="D442" s="9"/>
      <c r="E442" s="9"/>
      <c r="F442" s="9"/>
      <c r="G442" s="164"/>
      <c r="H442" s="164"/>
      <c r="I442" s="164"/>
      <c r="J442" s="652"/>
      <c r="K442" s="164"/>
      <c r="L442" s="164"/>
      <c r="M442" s="164"/>
      <c r="N442" s="164"/>
      <c r="O442" s="164"/>
      <c r="P442" s="164"/>
      <c r="Q442" s="164"/>
      <c r="R442" s="164"/>
      <c r="S442" s="164"/>
      <c r="T442" s="164"/>
      <c r="U442" s="164"/>
      <c r="V442" s="164"/>
      <c r="W442" s="164"/>
      <c r="X442" s="164"/>
      <c r="Y442" s="164"/>
      <c r="Z442" s="164"/>
      <c r="AA442" s="164"/>
      <c r="AB442" s="164"/>
    </row>
    <row r="443">
      <c r="A443" s="164"/>
      <c r="B443" s="164"/>
      <c r="C443" s="9"/>
      <c r="D443" s="9"/>
      <c r="E443" s="9"/>
      <c r="F443" s="9"/>
      <c r="G443" s="164"/>
      <c r="H443" s="164"/>
      <c r="I443" s="164"/>
      <c r="J443" s="652"/>
      <c r="K443" s="164"/>
      <c r="L443" s="164"/>
      <c r="M443" s="164"/>
      <c r="N443" s="164"/>
      <c r="O443" s="164"/>
      <c r="P443" s="164"/>
      <c r="Q443" s="164"/>
      <c r="R443" s="164"/>
      <c r="S443" s="164"/>
      <c r="T443" s="164"/>
      <c r="U443" s="164"/>
      <c r="V443" s="164"/>
      <c r="W443" s="164"/>
      <c r="X443" s="164"/>
      <c r="Y443" s="164"/>
      <c r="Z443" s="164"/>
      <c r="AA443" s="164"/>
      <c r="AB443" s="164"/>
    </row>
    <row r="444">
      <c r="A444" s="164"/>
      <c r="B444" s="164"/>
      <c r="C444" s="9"/>
      <c r="D444" s="9"/>
      <c r="E444" s="9"/>
      <c r="F444" s="9"/>
      <c r="G444" s="164"/>
      <c r="H444" s="164"/>
      <c r="I444" s="164"/>
      <c r="J444" s="652"/>
      <c r="K444" s="164"/>
      <c r="L444" s="164"/>
      <c r="M444" s="164"/>
      <c r="N444" s="164"/>
      <c r="O444" s="164"/>
      <c r="P444" s="164"/>
      <c r="Q444" s="164"/>
      <c r="R444" s="164"/>
      <c r="S444" s="164"/>
      <c r="T444" s="164"/>
      <c r="U444" s="164"/>
      <c r="V444" s="164"/>
      <c r="W444" s="164"/>
      <c r="X444" s="164"/>
      <c r="Y444" s="164"/>
      <c r="Z444" s="164"/>
      <c r="AA444" s="164"/>
      <c r="AB444" s="164"/>
    </row>
    <row r="445">
      <c r="A445" s="164"/>
      <c r="B445" s="164"/>
      <c r="C445" s="9"/>
      <c r="D445" s="9"/>
      <c r="E445" s="9"/>
      <c r="F445" s="9"/>
      <c r="G445" s="164"/>
      <c r="H445" s="164"/>
      <c r="I445" s="164"/>
      <c r="J445" s="652"/>
      <c r="K445" s="164"/>
      <c r="L445" s="164"/>
      <c r="M445" s="164"/>
      <c r="N445" s="164"/>
      <c r="O445" s="164"/>
      <c r="P445" s="164"/>
      <c r="Q445" s="164"/>
      <c r="R445" s="164"/>
      <c r="S445" s="164"/>
      <c r="T445" s="164"/>
      <c r="U445" s="164"/>
      <c r="V445" s="164"/>
      <c r="W445" s="164"/>
      <c r="X445" s="164"/>
      <c r="Y445" s="164"/>
      <c r="Z445" s="164"/>
      <c r="AA445" s="164"/>
      <c r="AB445" s="164"/>
    </row>
    <row r="446">
      <c r="A446" s="164"/>
      <c r="B446" s="164"/>
      <c r="C446" s="9"/>
      <c r="D446" s="9"/>
      <c r="E446" s="9"/>
      <c r="F446" s="9"/>
      <c r="G446" s="164"/>
      <c r="H446" s="164"/>
      <c r="I446" s="164"/>
      <c r="J446" s="652"/>
      <c r="K446" s="164"/>
      <c r="L446" s="164"/>
      <c r="M446" s="164"/>
      <c r="N446" s="164"/>
      <c r="O446" s="164"/>
      <c r="P446" s="164"/>
      <c r="Q446" s="164"/>
      <c r="R446" s="164"/>
      <c r="S446" s="164"/>
      <c r="T446" s="164"/>
      <c r="U446" s="164"/>
      <c r="V446" s="164"/>
      <c r="W446" s="164"/>
      <c r="X446" s="164"/>
      <c r="Y446" s="164"/>
      <c r="Z446" s="164"/>
      <c r="AA446" s="164"/>
      <c r="AB446" s="164"/>
    </row>
    <row r="447">
      <c r="A447" s="164"/>
      <c r="B447" s="164"/>
      <c r="C447" s="9"/>
      <c r="D447" s="9"/>
      <c r="E447" s="9"/>
      <c r="F447" s="9"/>
      <c r="G447" s="164"/>
      <c r="H447" s="164"/>
      <c r="I447" s="164"/>
      <c r="J447" s="652"/>
      <c r="K447" s="164"/>
      <c r="L447" s="164"/>
      <c r="M447" s="164"/>
      <c r="N447" s="164"/>
      <c r="O447" s="164"/>
      <c r="P447" s="164"/>
      <c r="Q447" s="164"/>
      <c r="R447" s="164"/>
      <c r="S447" s="164"/>
      <c r="T447" s="164"/>
      <c r="U447" s="164"/>
      <c r="V447" s="164"/>
      <c r="W447" s="164"/>
      <c r="X447" s="164"/>
      <c r="Y447" s="164"/>
      <c r="Z447" s="164"/>
      <c r="AA447" s="164"/>
      <c r="AB447" s="164"/>
    </row>
    <row r="448">
      <c r="A448" s="164"/>
      <c r="B448" s="164"/>
      <c r="C448" s="9"/>
      <c r="D448" s="9"/>
      <c r="E448" s="9"/>
      <c r="F448" s="9"/>
      <c r="G448" s="164"/>
      <c r="H448" s="164"/>
      <c r="I448" s="164"/>
      <c r="J448" s="652"/>
      <c r="K448" s="164"/>
      <c r="L448" s="164"/>
      <c r="M448" s="164"/>
      <c r="N448" s="164"/>
      <c r="O448" s="164"/>
      <c r="P448" s="164"/>
      <c r="Q448" s="164"/>
      <c r="R448" s="164"/>
      <c r="S448" s="164"/>
      <c r="T448" s="164"/>
      <c r="U448" s="164"/>
      <c r="V448" s="164"/>
      <c r="W448" s="164"/>
      <c r="X448" s="164"/>
      <c r="Y448" s="164"/>
      <c r="Z448" s="164"/>
      <c r="AA448" s="164"/>
      <c r="AB448" s="164"/>
    </row>
    <row r="449">
      <c r="A449" s="164"/>
      <c r="B449" s="164"/>
      <c r="C449" s="9"/>
      <c r="D449" s="9"/>
      <c r="E449" s="9"/>
      <c r="F449" s="9"/>
      <c r="G449" s="164"/>
      <c r="H449" s="164"/>
      <c r="I449" s="164"/>
      <c r="J449" s="652"/>
      <c r="K449" s="164"/>
      <c r="L449" s="164"/>
      <c r="M449" s="164"/>
      <c r="N449" s="164"/>
      <c r="O449" s="164"/>
      <c r="P449" s="164"/>
      <c r="Q449" s="164"/>
      <c r="R449" s="164"/>
      <c r="S449" s="164"/>
      <c r="T449" s="164"/>
      <c r="U449" s="164"/>
      <c r="V449" s="164"/>
      <c r="W449" s="164"/>
      <c r="X449" s="164"/>
      <c r="Y449" s="164"/>
      <c r="Z449" s="164"/>
      <c r="AA449" s="164"/>
      <c r="AB449" s="164"/>
    </row>
    <row r="450">
      <c r="A450" s="164"/>
      <c r="B450" s="164"/>
      <c r="C450" s="9"/>
      <c r="D450" s="9"/>
      <c r="E450" s="9"/>
      <c r="F450" s="9"/>
      <c r="G450" s="164"/>
      <c r="H450" s="164"/>
      <c r="I450" s="164"/>
      <c r="J450" s="652"/>
      <c r="K450" s="164"/>
      <c r="L450" s="164"/>
      <c r="M450" s="164"/>
      <c r="N450" s="164"/>
      <c r="O450" s="164"/>
      <c r="P450" s="164"/>
      <c r="Q450" s="164"/>
      <c r="R450" s="164"/>
      <c r="S450" s="164"/>
      <c r="T450" s="164"/>
      <c r="U450" s="164"/>
      <c r="V450" s="164"/>
      <c r="W450" s="164"/>
      <c r="X450" s="164"/>
      <c r="Y450" s="164"/>
      <c r="Z450" s="164"/>
      <c r="AA450" s="164"/>
      <c r="AB450" s="164"/>
    </row>
    <row r="451">
      <c r="A451" s="164"/>
      <c r="B451" s="164"/>
      <c r="C451" s="9"/>
      <c r="D451" s="9"/>
      <c r="E451" s="9"/>
      <c r="F451" s="9"/>
      <c r="G451" s="164"/>
      <c r="H451" s="164"/>
      <c r="I451" s="164"/>
      <c r="J451" s="652"/>
      <c r="K451" s="164"/>
      <c r="L451" s="164"/>
      <c r="M451" s="164"/>
      <c r="N451" s="164"/>
      <c r="O451" s="164"/>
      <c r="P451" s="164"/>
      <c r="Q451" s="164"/>
      <c r="R451" s="164"/>
      <c r="S451" s="164"/>
      <c r="T451" s="164"/>
      <c r="U451" s="164"/>
      <c r="V451" s="164"/>
      <c r="W451" s="164"/>
      <c r="X451" s="164"/>
      <c r="Y451" s="164"/>
      <c r="Z451" s="164"/>
      <c r="AA451" s="164"/>
      <c r="AB451" s="164"/>
    </row>
    <row r="452">
      <c r="A452" s="164"/>
      <c r="B452" s="164"/>
      <c r="C452" s="9"/>
      <c r="D452" s="9"/>
      <c r="E452" s="9"/>
      <c r="F452" s="9"/>
      <c r="G452" s="164"/>
      <c r="H452" s="164"/>
      <c r="I452" s="164"/>
      <c r="J452" s="652"/>
      <c r="K452" s="164"/>
      <c r="L452" s="164"/>
      <c r="M452" s="164"/>
      <c r="N452" s="164"/>
      <c r="O452" s="164"/>
      <c r="P452" s="164"/>
      <c r="Q452" s="164"/>
      <c r="R452" s="164"/>
      <c r="S452" s="164"/>
      <c r="T452" s="164"/>
      <c r="U452" s="164"/>
      <c r="V452" s="164"/>
      <c r="W452" s="164"/>
      <c r="X452" s="164"/>
      <c r="Y452" s="164"/>
      <c r="Z452" s="164"/>
      <c r="AA452" s="164"/>
      <c r="AB452" s="164"/>
    </row>
    <row r="453">
      <c r="A453" s="164"/>
      <c r="B453" s="164"/>
      <c r="C453" s="9"/>
      <c r="D453" s="9"/>
      <c r="E453" s="9"/>
      <c r="F453" s="9"/>
      <c r="G453" s="164"/>
      <c r="H453" s="164"/>
      <c r="I453" s="164"/>
      <c r="J453" s="652"/>
      <c r="K453" s="164"/>
      <c r="L453" s="164"/>
      <c r="M453" s="164"/>
      <c r="N453" s="164"/>
      <c r="O453" s="164"/>
      <c r="P453" s="164"/>
      <c r="Q453" s="164"/>
      <c r="R453" s="164"/>
      <c r="S453" s="164"/>
      <c r="T453" s="164"/>
      <c r="U453" s="164"/>
      <c r="V453" s="164"/>
      <c r="W453" s="164"/>
      <c r="X453" s="164"/>
      <c r="Y453" s="164"/>
      <c r="Z453" s="164"/>
      <c r="AA453" s="164"/>
      <c r="AB453" s="164"/>
    </row>
    <row r="454">
      <c r="A454" s="164"/>
      <c r="B454" s="164"/>
      <c r="C454" s="9"/>
      <c r="D454" s="9"/>
      <c r="E454" s="9"/>
      <c r="F454" s="9"/>
      <c r="G454" s="164"/>
      <c r="H454" s="164"/>
      <c r="I454" s="164"/>
      <c r="J454" s="652"/>
      <c r="K454" s="164"/>
      <c r="L454" s="164"/>
      <c r="M454" s="164"/>
      <c r="N454" s="164"/>
      <c r="O454" s="164"/>
      <c r="P454" s="164"/>
      <c r="Q454" s="164"/>
      <c r="R454" s="164"/>
      <c r="S454" s="164"/>
      <c r="T454" s="164"/>
      <c r="U454" s="164"/>
      <c r="V454" s="164"/>
      <c r="W454" s="164"/>
      <c r="X454" s="164"/>
      <c r="Y454" s="164"/>
      <c r="Z454" s="164"/>
      <c r="AA454" s="164"/>
      <c r="AB454" s="164"/>
    </row>
    <row r="455">
      <c r="A455" s="164"/>
      <c r="B455" s="164"/>
      <c r="C455" s="9"/>
      <c r="D455" s="9"/>
      <c r="E455" s="9"/>
      <c r="F455" s="9"/>
      <c r="G455" s="164"/>
      <c r="H455" s="164"/>
      <c r="I455" s="164"/>
      <c r="J455" s="652"/>
      <c r="K455" s="164"/>
      <c r="L455" s="164"/>
      <c r="M455" s="164"/>
      <c r="N455" s="164"/>
      <c r="O455" s="164"/>
      <c r="P455" s="164"/>
      <c r="Q455" s="164"/>
      <c r="R455" s="164"/>
      <c r="S455" s="164"/>
      <c r="T455" s="164"/>
      <c r="U455" s="164"/>
      <c r="V455" s="164"/>
      <c r="W455" s="164"/>
      <c r="X455" s="164"/>
      <c r="Y455" s="164"/>
      <c r="Z455" s="164"/>
      <c r="AA455" s="164"/>
      <c r="AB455" s="164"/>
    </row>
    <row r="456">
      <c r="A456" s="164"/>
      <c r="B456" s="164"/>
      <c r="C456" s="9"/>
      <c r="D456" s="9"/>
      <c r="E456" s="9"/>
      <c r="F456" s="9"/>
      <c r="G456" s="164"/>
      <c r="H456" s="164"/>
      <c r="I456" s="164"/>
      <c r="J456" s="652"/>
      <c r="K456" s="164"/>
      <c r="L456" s="164"/>
      <c r="M456" s="164"/>
      <c r="N456" s="164"/>
      <c r="O456" s="164"/>
      <c r="P456" s="164"/>
      <c r="Q456" s="164"/>
      <c r="R456" s="164"/>
      <c r="S456" s="164"/>
      <c r="T456" s="164"/>
      <c r="U456" s="164"/>
      <c r="V456" s="164"/>
      <c r="W456" s="164"/>
      <c r="X456" s="164"/>
      <c r="Y456" s="164"/>
      <c r="Z456" s="164"/>
      <c r="AA456" s="164"/>
      <c r="AB456" s="164"/>
    </row>
    <row r="457">
      <c r="A457" s="164"/>
      <c r="B457" s="164"/>
      <c r="C457" s="9"/>
      <c r="D457" s="9"/>
      <c r="E457" s="9"/>
      <c r="F457" s="9"/>
      <c r="G457" s="164"/>
      <c r="H457" s="164"/>
      <c r="I457" s="164"/>
      <c r="J457" s="652"/>
      <c r="K457" s="164"/>
      <c r="L457" s="164"/>
      <c r="M457" s="164"/>
      <c r="N457" s="164"/>
      <c r="O457" s="164"/>
      <c r="P457" s="164"/>
      <c r="Q457" s="164"/>
      <c r="R457" s="164"/>
      <c r="S457" s="164"/>
      <c r="T457" s="164"/>
      <c r="U457" s="164"/>
      <c r="V457" s="164"/>
      <c r="W457" s="164"/>
      <c r="X457" s="164"/>
      <c r="Y457" s="164"/>
      <c r="Z457" s="164"/>
      <c r="AA457" s="164"/>
      <c r="AB457" s="164"/>
    </row>
    <row r="458">
      <c r="A458" s="164"/>
      <c r="B458" s="164"/>
      <c r="C458" s="9"/>
      <c r="D458" s="9"/>
      <c r="E458" s="9"/>
      <c r="F458" s="9"/>
      <c r="G458" s="164"/>
      <c r="H458" s="164"/>
      <c r="I458" s="164"/>
      <c r="J458" s="652"/>
      <c r="K458" s="164"/>
      <c r="L458" s="164"/>
      <c r="M458" s="164"/>
      <c r="N458" s="164"/>
      <c r="O458" s="164"/>
      <c r="P458" s="164"/>
      <c r="Q458" s="164"/>
      <c r="R458" s="164"/>
      <c r="S458" s="164"/>
      <c r="T458" s="164"/>
      <c r="U458" s="164"/>
      <c r="V458" s="164"/>
      <c r="W458" s="164"/>
      <c r="X458" s="164"/>
      <c r="Y458" s="164"/>
      <c r="Z458" s="164"/>
      <c r="AA458" s="164"/>
      <c r="AB458" s="164"/>
    </row>
    <row r="459">
      <c r="A459" s="164"/>
      <c r="B459" s="164"/>
      <c r="C459" s="9"/>
      <c r="D459" s="9"/>
      <c r="E459" s="9"/>
      <c r="F459" s="9"/>
      <c r="G459" s="164"/>
      <c r="H459" s="164"/>
      <c r="I459" s="164"/>
      <c r="J459" s="652"/>
      <c r="K459" s="164"/>
      <c r="L459" s="164"/>
      <c r="M459" s="164"/>
      <c r="N459" s="164"/>
      <c r="O459" s="164"/>
      <c r="P459" s="164"/>
      <c r="Q459" s="164"/>
      <c r="R459" s="164"/>
      <c r="S459" s="164"/>
      <c r="T459" s="164"/>
      <c r="U459" s="164"/>
      <c r="V459" s="164"/>
      <c r="W459" s="164"/>
      <c r="X459" s="164"/>
      <c r="Y459" s="164"/>
      <c r="Z459" s="164"/>
      <c r="AA459" s="164"/>
      <c r="AB459" s="164"/>
    </row>
    <row r="460">
      <c r="A460" s="164"/>
      <c r="B460" s="164"/>
      <c r="C460" s="9"/>
      <c r="D460" s="9"/>
      <c r="E460" s="9"/>
      <c r="F460" s="9"/>
      <c r="G460" s="164"/>
      <c r="H460" s="164"/>
      <c r="I460" s="164"/>
      <c r="J460" s="652"/>
      <c r="K460" s="164"/>
      <c r="L460" s="164"/>
      <c r="M460" s="164"/>
      <c r="N460" s="164"/>
      <c r="O460" s="164"/>
      <c r="P460" s="164"/>
      <c r="Q460" s="164"/>
      <c r="R460" s="164"/>
      <c r="S460" s="164"/>
      <c r="T460" s="164"/>
      <c r="U460" s="164"/>
      <c r="V460" s="164"/>
      <c r="W460" s="164"/>
      <c r="X460" s="164"/>
      <c r="Y460" s="164"/>
      <c r="Z460" s="164"/>
      <c r="AA460" s="164"/>
      <c r="AB460" s="164"/>
    </row>
    <row r="461">
      <c r="A461" s="164"/>
      <c r="B461" s="164"/>
      <c r="C461" s="9"/>
      <c r="D461" s="9"/>
      <c r="E461" s="9"/>
      <c r="F461" s="9"/>
      <c r="G461" s="164"/>
      <c r="H461" s="164"/>
      <c r="I461" s="164"/>
      <c r="J461" s="652"/>
      <c r="K461" s="164"/>
      <c r="L461" s="164"/>
      <c r="M461" s="164"/>
      <c r="N461" s="164"/>
      <c r="O461" s="164"/>
      <c r="P461" s="164"/>
      <c r="Q461" s="164"/>
      <c r="R461" s="164"/>
      <c r="S461" s="164"/>
      <c r="T461" s="164"/>
      <c r="U461" s="164"/>
      <c r="V461" s="164"/>
      <c r="W461" s="164"/>
      <c r="X461" s="164"/>
      <c r="Y461" s="164"/>
      <c r="Z461" s="164"/>
      <c r="AA461" s="164"/>
      <c r="AB461" s="164"/>
    </row>
    <row r="462">
      <c r="A462" s="164"/>
      <c r="B462" s="164"/>
      <c r="C462" s="9"/>
      <c r="D462" s="9"/>
      <c r="E462" s="9"/>
      <c r="F462" s="9"/>
      <c r="G462" s="164"/>
      <c r="H462" s="164"/>
      <c r="I462" s="164"/>
      <c r="J462" s="652"/>
      <c r="K462" s="164"/>
      <c r="L462" s="164"/>
      <c r="M462" s="164"/>
      <c r="N462" s="164"/>
      <c r="O462" s="164"/>
      <c r="P462" s="164"/>
      <c r="Q462" s="164"/>
      <c r="R462" s="164"/>
      <c r="S462" s="164"/>
      <c r="T462" s="164"/>
      <c r="U462" s="164"/>
      <c r="V462" s="164"/>
      <c r="W462" s="164"/>
      <c r="X462" s="164"/>
      <c r="Y462" s="164"/>
      <c r="Z462" s="164"/>
      <c r="AA462" s="164"/>
      <c r="AB462" s="164"/>
    </row>
    <row r="463">
      <c r="A463" s="164"/>
      <c r="B463" s="164"/>
      <c r="C463" s="9"/>
      <c r="D463" s="9"/>
      <c r="E463" s="9"/>
      <c r="F463" s="9"/>
      <c r="G463" s="164"/>
      <c r="H463" s="164"/>
      <c r="I463" s="164"/>
      <c r="J463" s="652"/>
      <c r="K463" s="164"/>
      <c r="L463" s="164"/>
      <c r="M463" s="164"/>
      <c r="N463" s="164"/>
      <c r="O463" s="164"/>
      <c r="P463" s="164"/>
      <c r="Q463" s="164"/>
      <c r="R463" s="164"/>
      <c r="S463" s="164"/>
      <c r="T463" s="164"/>
      <c r="U463" s="164"/>
      <c r="V463" s="164"/>
      <c r="W463" s="164"/>
      <c r="X463" s="164"/>
      <c r="Y463" s="164"/>
      <c r="Z463" s="164"/>
      <c r="AA463" s="164"/>
      <c r="AB463" s="164"/>
    </row>
    <row r="464">
      <c r="A464" s="164"/>
      <c r="B464" s="164"/>
      <c r="C464" s="9"/>
      <c r="D464" s="9"/>
      <c r="E464" s="9"/>
      <c r="F464" s="9"/>
      <c r="G464" s="164"/>
      <c r="H464" s="164"/>
      <c r="I464" s="164"/>
      <c r="J464" s="652"/>
      <c r="K464" s="164"/>
      <c r="L464" s="164"/>
      <c r="M464" s="164"/>
      <c r="N464" s="164"/>
      <c r="O464" s="164"/>
      <c r="P464" s="164"/>
      <c r="Q464" s="164"/>
      <c r="R464" s="164"/>
      <c r="S464" s="164"/>
      <c r="T464" s="164"/>
      <c r="U464" s="164"/>
      <c r="V464" s="164"/>
      <c r="W464" s="164"/>
      <c r="X464" s="164"/>
      <c r="Y464" s="164"/>
      <c r="Z464" s="164"/>
      <c r="AA464" s="164"/>
      <c r="AB464" s="164"/>
    </row>
    <row r="465">
      <c r="A465" s="164"/>
      <c r="B465" s="164"/>
      <c r="C465" s="9"/>
      <c r="D465" s="9"/>
      <c r="E465" s="9"/>
      <c r="F465" s="9"/>
      <c r="G465" s="164"/>
      <c r="H465" s="164"/>
      <c r="I465" s="164"/>
      <c r="J465" s="652"/>
      <c r="K465" s="164"/>
      <c r="L465" s="164"/>
      <c r="M465" s="164"/>
      <c r="N465" s="164"/>
      <c r="O465" s="164"/>
      <c r="P465" s="164"/>
      <c r="Q465" s="164"/>
      <c r="R465" s="164"/>
      <c r="S465" s="164"/>
      <c r="T465" s="164"/>
      <c r="U465" s="164"/>
      <c r="V465" s="164"/>
      <c r="W465" s="164"/>
      <c r="X465" s="164"/>
      <c r="Y465" s="164"/>
      <c r="Z465" s="164"/>
      <c r="AA465" s="164"/>
      <c r="AB465" s="164"/>
    </row>
    <row r="466">
      <c r="A466" s="164"/>
      <c r="B466" s="164"/>
      <c r="C466" s="9"/>
      <c r="D466" s="9"/>
      <c r="E466" s="9"/>
      <c r="F466" s="9"/>
      <c r="G466" s="164"/>
      <c r="H466" s="164"/>
      <c r="I466" s="164"/>
      <c r="J466" s="652"/>
      <c r="K466" s="164"/>
      <c r="L466" s="164"/>
      <c r="M466" s="164"/>
      <c r="N466" s="164"/>
      <c r="O466" s="164"/>
      <c r="P466" s="164"/>
      <c r="Q466" s="164"/>
      <c r="R466" s="164"/>
      <c r="S466" s="164"/>
      <c r="T466" s="164"/>
      <c r="U466" s="164"/>
      <c r="V466" s="164"/>
      <c r="W466" s="164"/>
      <c r="X466" s="164"/>
      <c r="Y466" s="164"/>
      <c r="Z466" s="164"/>
      <c r="AA466" s="164"/>
      <c r="AB466" s="164"/>
    </row>
    <row r="467">
      <c r="A467" s="164"/>
      <c r="B467" s="164"/>
      <c r="C467" s="9"/>
      <c r="D467" s="9"/>
      <c r="E467" s="9"/>
      <c r="F467" s="9"/>
      <c r="G467" s="164"/>
      <c r="H467" s="164"/>
      <c r="I467" s="164"/>
      <c r="J467" s="652"/>
      <c r="K467" s="164"/>
      <c r="L467" s="164"/>
      <c r="M467" s="164"/>
      <c r="N467" s="164"/>
      <c r="O467" s="164"/>
      <c r="P467" s="164"/>
      <c r="Q467" s="164"/>
      <c r="R467" s="164"/>
      <c r="S467" s="164"/>
      <c r="T467" s="164"/>
      <c r="U467" s="164"/>
      <c r="V467" s="164"/>
      <c r="W467" s="164"/>
      <c r="X467" s="164"/>
      <c r="Y467" s="164"/>
      <c r="Z467" s="164"/>
      <c r="AA467" s="164"/>
      <c r="AB467" s="164"/>
    </row>
    <row r="468">
      <c r="A468" s="164"/>
      <c r="B468" s="164"/>
      <c r="C468" s="9"/>
      <c r="D468" s="9"/>
      <c r="E468" s="9"/>
      <c r="F468" s="9"/>
      <c r="G468" s="164"/>
      <c r="H468" s="164"/>
      <c r="I468" s="164"/>
      <c r="J468" s="652"/>
      <c r="K468" s="164"/>
      <c r="L468" s="164"/>
      <c r="M468" s="164"/>
      <c r="N468" s="164"/>
      <c r="O468" s="164"/>
      <c r="P468" s="164"/>
      <c r="Q468" s="164"/>
      <c r="R468" s="164"/>
      <c r="S468" s="164"/>
      <c r="T468" s="164"/>
      <c r="U468" s="164"/>
      <c r="V468" s="164"/>
      <c r="W468" s="164"/>
      <c r="X468" s="164"/>
      <c r="Y468" s="164"/>
      <c r="Z468" s="164"/>
      <c r="AA468" s="164"/>
      <c r="AB468" s="164"/>
    </row>
    <row r="469">
      <c r="A469" s="164"/>
      <c r="B469" s="164"/>
      <c r="C469" s="9"/>
      <c r="D469" s="9"/>
      <c r="E469" s="9"/>
      <c r="F469" s="9"/>
      <c r="G469" s="164"/>
      <c r="H469" s="164"/>
      <c r="I469" s="164"/>
      <c r="J469" s="652"/>
      <c r="K469" s="164"/>
      <c r="L469" s="164"/>
      <c r="M469" s="164"/>
      <c r="N469" s="164"/>
      <c r="O469" s="164"/>
      <c r="P469" s="164"/>
      <c r="Q469" s="164"/>
      <c r="R469" s="164"/>
      <c r="S469" s="164"/>
      <c r="T469" s="164"/>
      <c r="U469" s="164"/>
      <c r="V469" s="164"/>
      <c r="W469" s="164"/>
      <c r="X469" s="164"/>
      <c r="Y469" s="164"/>
      <c r="Z469" s="164"/>
      <c r="AA469" s="164"/>
      <c r="AB469" s="164"/>
    </row>
    <row r="470">
      <c r="A470" s="164"/>
      <c r="B470" s="164"/>
      <c r="C470" s="9"/>
      <c r="D470" s="9"/>
      <c r="E470" s="9"/>
      <c r="F470" s="9"/>
      <c r="G470" s="164"/>
      <c r="H470" s="164"/>
      <c r="I470" s="164"/>
      <c r="J470" s="652"/>
      <c r="K470" s="164"/>
      <c r="L470" s="164"/>
      <c r="M470" s="164"/>
      <c r="N470" s="164"/>
      <c r="O470" s="164"/>
      <c r="P470" s="164"/>
      <c r="Q470" s="164"/>
      <c r="R470" s="164"/>
      <c r="S470" s="164"/>
      <c r="T470" s="164"/>
      <c r="U470" s="164"/>
      <c r="V470" s="164"/>
      <c r="W470" s="164"/>
      <c r="X470" s="164"/>
      <c r="Y470" s="164"/>
      <c r="Z470" s="164"/>
      <c r="AA470" s="164"/>
      <c r="AB470" s="164"/>
    </row>
    <row r="471">
      <c r="A471" s="164"/>
      <c r="B471" s="164"/>
      <c r="C471" s="9"/>
      <c r="D471" s="9"/>
      <c r="E471" s="9"/>
      <c r="F471" s="9"/>
      <c r="G471" s="164"/>
      <c r="H471" s="164"/>
      <c r="I471" s="164"/>
      <c r="J471" s="652"/>
      <c r="K471" s="164"/>
      <c r="L471" s="164"/>
      <c r="M471" s="164"/>
      <c r="N471" s="164"/>
      <c r="O471" s="164"/>
      <c r="P471" s="164"/>
      <c r="Q471" s="164"/>
      <c r="R471" s="164"/>
      <c r="S471" s="164"/>
      <c r="T471" s="164"/>
      <c r="U471" s="164"/>
      <c r="V471" s="164"/>
      <c r="W471" s="164"/>
      <c r="X471" s="164"/>
      <c r="Y471" s="164"/>
      <c r="Z471" s="164"/>
      <c r="AA471" s="164"/>
      <c r="AB471" s="164"/>
    </row>
    <row r="472">
      <c r="A472" s="164"/>
      <c r="B472" s="164"/>
      <c r="C472" s="9"/>
      <c r="D472" s="9"/>
      <c r="E472" s="9"/>
      <c r="F472" s="9"/>
      <c r="G472" s="164"/>
      <c r="H472" s="164"/>
      <c r="I472" s="164"/>
      <c r="J472" s="652"/>
      <c r="K472" s="164"/>
      <c r="L472" s="164"/>
      <c r="M472" s="164"/>
      <c r="N472" s="164"/>
      <c r="O472" s="164"/>
      <c r="P472" s="164"/>
      <c r="Q472" s="164"/>
      <c r="R472" s="164"/>
      <c r="S472" s="164"/>
      <c r="T472" s="164"/>
      <c r="U472" s="164"/>
      <c r="V472" s="164"/>
      <c r="W472" s="164"/>
      <c r="X472" s="164"/>
      <c r="Y472" s="164"/>
      <c r="Z472" s="164"/>
      <c r="AA472" s="164"/>
      <c r="AB472" s="164"/>
    </row>
    <row r="473">
      <c r="A473" s="164"/>
      <c r="B473" s="164"/>
      <c r="C473" s="9"/>
      <c r="D473" s="9"/>
      <c r="E473" s="9"/>
      <c r="F473" s="9"/>
      <c r="G473" s="164"/>
      <c r="H473" s="164"/>
      <c r="I473" s="164"/>
      <c r="J473" s="652"/>
      <c r="K473" s="164"/>
      <c r="L473" s="164"/>
      <c r="M473" s="164"/>
      <c r="N473" s="164"/>
      <c r="O473" s="164"/>
      <c r="P473" s="164"/>
      <c r="Q473" s="164"/>
      <c r="R473" s="164"/>
      <c r="S473" s="164"/>
      <c r="T473" s="164"/>
      <c r="U473" s="164"/>
      <c r="V473" s="164"/>
      <c r="W473" s="164"/>
      <c r="X473" s="164"/>
      <c r="Y473" s="164"/>
      <c r="Z473" s="164"/>
      <c r="AA473" s="164"/>
      <c r="AB473" s="164"/>
    </row>
    <row r="474">
      <c r="A474" s="164"/>
      <c r="B474" s="164"/>
      <c r="C474" s="9"/>
      <c r="D474" s="9"/>
      <c r="E474" s="9"/>
      <c r="F474" s="9"/>
      <c r="G474" s="164"/>
      <c r="H474" s="164"/>
      <c r="I474" s="164"/>
      <c r="J474" s="652"/>
      <c r="K474" s="164"/>
      <c r="L474" s="164"/>
      <c r="M474" s="164"/>
      <c r="N474" s="164"/>
      <c r="O474" s="164"/>
      <c r="P474" s="164"/>
      <c r="Q474" s="164"/>
      <c r="R474" s="164"/>
      <c r="S474" s="164"/>
      <c r="T474" s="164"/>
      <c r="U474" s="164"/>
      <c r="V474" s="164"/>
      <c r="W474" s="164"/>
      <c r="X474" s="164"/>
      <c r="Y474" s="164"/>
      <c r="Z474" s="164"/>
      <c r="AA474" s="164"/>
      <c r="AB474" s="164"/>
    </row>
    <row r="475">
      <c r="A475" s="164"/>
      <c r="B475" s="164"/>
      <c r="C475" s="9"/>
      <c r="D475" s="9"/>
      <c r="E475" s="9"/>
      <c r="F475" s="9"/>
      <c r="G475" s="164"/>
      <c r="H475" s="164"/>
      <c r="I475" s="164"/>
      <c r="J475" s="652"/>
      <c r="K475" s="164"/>
      <c r="L475" s="164"/>
      <c r="M475" s="164"/>
      <c r="N475" s="164"/>
      <c r="O475" s="164"/>
      <c r="P475" s="164"/>
      <c r="Q475" s="164"/>
      <c r="R475" s="164"/>
      <c r="S475" s="164"/>
      <c r="T475" s="164"/>
      <c r="U475" s="164"/>
      <c r="V475" s="164"/>
      <c r="W475" s="164"/>
      <c r="X475" s="164"/>
      <c r="Y475" s="164"/>
      <c r="Z475" s="164"/>
      <c r="AA475" s="164"/>
      <c r="AB475" s="164"/>
    </row>
    <row r="476">
      <c r="A476" s="164"/>
      <c r="B476" s="164"/>
      <c r="C476" s="9"/>
      <c r="D476" s="9"/>
      <c r="E476" s="9"/>
      <c r="F476" s="9"/>
      <c r="G476" s="164"/>
      <c r="H476" s="164"/>
      <c r="I476" s="164"/>
      <c r="J476" s="652"/>
      <c r="K476" s="164"/>
      <c r="L476" s="164"/>
      <c r="M476" s="164"/>
      <c r="N476" s="164"/>
      <c r="O476" s="164"/>
      <c r="P476" s="164"/>
      <c r="Q476" s="164"/>
      <c r="R476" s="164"/>
      <c r="S476" s="164"/>
      <c r="T476" s="164"/>
      <c r="U476" s="164"/>
      <c r="V476" s="164"/>
      <c r="W476" s="164"/>
      <c r="X476" s="164"/>
      <c r="Y476" s="164"/>
      <c r="Z476" s="164"/>
      <c r="AA476" s="164"/>
      <c r="AB476" s="164"/>
    </row>
    <row r="477">
      <c r="A477" s="164"/>
      <c r="B477" s="164"/>
      <c r="C477" s="9"/>
      <c r="D477" s="9"/>
      <c r="E477" s="9"/>
      <c r="F477" s="9"/>
      <c r="G477" s="164"/>
      <c r="H477" s="164"/>
      <c r="I477" s="164"/>
      <c r="J477" s="652"/>
      <c r="K477" s="164"/>
      <c r="L477" s="164"/>
      <c r="M477" s="164"/>
      <c r="N477" s="164"/>
      <c r="O477" s="164"/>
      <c r="P477" s="164"/>
      <c r="Q477" s="164"/>
      <c r="R477" s="164"/>
      <c r="S477" s="164"/>
      <c r="T477" s="164"/>
      <c r="U477" s="164"/>
      <c r="V477" s="164"/>
      <c r="W477" s="164"/>
      <c r="X477" s="164"/>
      <c r="Y477" s="164"/>
      <c r="Z477" s="164"/>
      <c r="AA477" s="164"/>
      <c r="AB477" s="164"/>
    </row>
    <row r="478">
      <c r="A478" s="164"/>
      <c r="B478" s="164"/>
      <c r="C478" s="9"/>
      <c r="D478" s="9"/>
      <c r="E478" s="9"/>
      <c r="F478" s="9"/>
      <c r="G478" s="164"/>
      <c r="H478" s="164"/>
      <c r="I478" s="164"/>
      <c r="J478" s="652"/>
      <c r="K478" s="164"/>
      <c r="L478" s="164"/>
      <c r="M478" s="164"/>
      <c r="N478" s="164"/>
      <c r="O478" s="164"/>
      <c r="P478" s="164"/>
      <c r="Q478" s="164"/>
      <c r="R478" s="164"/>
      <c r="S478" s="164"/>
      <c r="T478" s="164"/>
      <c r="U478" s="164"/>
      <c r="V478" s="164"/>
      <c r="W478" s="164"/>
      <c r="X478" s="164"/>
      <c r="Y478" s="164"/>
      <c r="Z478" s="164"/>
      <c r="AA478" s="164"/>
      <c r="AB478" s="164"/>
    </row>
    <row r="479">
      <c r="A479" s="164"/>
      <c r="B479" s="164"/>
      <c r="C479" s="9"/>
      <c r="D479" s="9"/>
      <c r="E479" s="9"/>
      <c r="F479" s="9"/>
      <c r="G479" s="164"/>
      <c r="H479" s="164"/>
      <c r="I479" s="164"/>
      <c r="J479" s="652"/>
      <c r="K479" s="164"/>
      <c r="L479" s="164"/>
      <c r="M479" s="164"/>
      <c r="N479" s="164"/>
      <c r="O479" s="164"/>
      <c r="P479" s="164"/>
      <c r="Q479" s="164"/>
      <c r="R479" s="164"/>
      <c r="S479" s="164"/>
      <c r="T479" s="164"/>
      <c r="U479" s="164"/>
      <c r="V479" s="164"/>
      <c r="W479" s="164"/>
      <c r="X479" s="164"/>
      <c r="Y479" s="164"/>
      <c r="Z479" s="164"/>
      <c r="AA479" s="164"/>
      <c r="AB479" s="164"/>
    </row>
    <row r="480">
      <c r="A480" s="164"/>
      <c r="B480" s="164"/>
      <c r="C480" s="9"/>
      <c r="D480" s="9"/>
      <c r="E480" s="9"/>
      <c r="F480" s="9"/>
      <c r="G480" s="164"/>
      <c r="H480" s="164"/>
      <c r="I480" s="164"/>
      <c r="J480" s="652"/>
      <c r="K480" s="164"/>
      <c r="L480" s="164"/>
      <c r="M480" s="164"/>
      <c r="N480" s="164"/>
      <c r="O480" s="164"/>
      <c r="P480" s="164"/>
      <c r="Q480" s="164"/>
      <c r="R480" s="164"/>
      <c r="S480" s="164"/>
      <c r="T480" s="164"/>
      <c r="U480" s="164"/>
      <c r="V480" s="164"/>
      <c r="W480" s="164"/>
      <c r="X480" s="164"/>
      <c r="Y480" s="164"/>
      <c r="Z480" s="164"/>
      <c r="AA480" s="164"/>
      <c r="AB480" s="164"/>
    </row>
    <row r="481">
      <c r="A481" s="164"/>
      <c r="B481" s="164"/>
      <c r="C481" s="9"/>
      <c r="D481" s="9"/>
      <c r="E481" s="9"/>
      <c r="F481" s="9"/>
      <c r="G481" s="164"/>
      <c r="H481" s="164"/>
      <c r="I481" s="164"/>
      <c r="J481" s="652"/>
      <c r="K481" s="164"/>
      <c r="L481" s="164"/>
      <c r="M481" s="164"/>
      <c r="N481" s="164"/>
      <c r="O481" s="164"/>
      <c r="P481" s="164"/>
      <c r="Q481" s="164"/>
      <c r="R481" s="164"/>
      <c r="S481" s="164"/>
      <c r="T481" s="164"/>
      <c r="U481" s="164"/>
      <c r="V481" s="164"/>
      <c r="W481" s="164"/>
      <c r="X481" s="164"/>
      <c r="Y481" s="164"/>
      <c r="Z481" s="164"/>
      <c r="AA481" s="164"/>
      <c r="AB481" s="164"/>
    </row>
    <row r="482">
      <c r="A482" s="164"/>
      <c r="B482" s="164"/>
      <c r="C482" s="9"/>
      <c r="D482" s="9"/>
      <c r="E482" s="9"/>
      <c r="F482" s="9"/>
      <c r="G482" s="164"/>
      <c r="H482" s="164"/>
      <c r="I482" s="164"/>
      <c r="J482" s="652"/>
      <c r="K482" s="164"/>
      <c r="L482" s="164"/>
      <c r="M482" s="164"/>
      <c r="N482" s="164"/>
      <c r="O482" s="164"/>
      <c r="P482" s="164"/>
      <c r="Q482" s="164"/>
      <c r="R482" s="164"/>
      <c r="S482" s="164"/>
      <c r="T482" s="164"/>
      <c r="U482" s="164"/>
      <c r="V482" s="164"/>
      <c r="W482" s="164"/>
      <c r="X482" s="164"/>
      <c r="Y482" s="164"/>
      <c r="Z482" s="164"/>
      <c r="AA482" s="164"/>
      <c r="AB482" s="164"/>
    </row>
    <row r="483">
      <c r="A483" s="164"/>
      <c r="B483" s="164"/>
      <c r="C483" s="9"/>
      <c r="D483" s="9"/>
      <c r="E483" s="9"/>
      <c r="F483" s="9"/>
      <c r="G483" s="164"/>
      <c r="H483" s="164"/>
      <c r="I483" s="164"/>
      <c r="J483" s="652"/>
      <c r="K483" s="164"/>
      <c r="L483" s="164"/>
      <c r="M483" s="164"/>
      <c r="N483" s="164"/>
      <c r="O483" s="164"/>
      <c r="P483" s="164"/>
      <c r="Q483" s="164"/>
      <c r="R483" s="164"/>
      <c r="S483" s="164"/>
      <c r="T483" s="164"/>
      <c r="U483" s="164"/>
      <c r="V483" s="164"/>
      <c r="W483" s="164"/>
      <c r="X483" s="164"/>
      <c r="Y483" s="164"/>
      <c r="Z483" s="164"/>
      <c r="AA483" s="164"/>
      <c r="AB483" s="164"/>
    </row>
    <row r="484">
      <c r="A484" s="164"/>
      <c r="B484" s="164"/>
      <c r="C484" s="9"/>
      <c r="D484" s="9"/>
      <c r="E484" s="9"/>
      <c r="F484" s="9"/>
      <c r="G484" s="164"/>
      <c r="H484" s="164"/>
      <c r="I484" s="164"/>
      <c r="J484" s="652"/>
      <c r="K484" s="164"/>
      <c r="L484" s="164"/>
      <c r="M484" s="164"/>
      <c r="N484" s="164"/>
      <c r="O484" s="164"/>
      <c r="P484" s="164"/>
      <c r="Q484" s="164"/>
      <c r="R484" s="164"/>
      <c r="S484" s="164"/>
      <c r="T484" s="164"/>
      <c r="U484" s="164"/>
      <c r="V484" s="164"/>
      <c r="W484" s="164"/>
      <c r="X484" s="164"/>
      <c r="Y484" s="164"/>
      <c r="Z484" s="164"/>
      <c r="AA484" s="164"/>
      <c r="AB484" s="164"/>
    </row>
    <row r="485">
      <c r="A485" s="164"/>
      <c r="B485" s="164"/>
      <c r="C485" s="9"/>
      <c r="D485" s="9"/>
      <c r="E485" s="9"/>
      <c r="F485" s="9"/>
      <c r="G485" s="164"/>
      <c r="H485" s="164"/>
      <c r="I485" s="164"/>
      <c r="J485" s="652"/>
      <c r="K485" s="164"/>
      <c r="L485" s="164"/>
      <c r="M485" s="164"/>
      <c r="N485" s="164"/>
      <c r="O485" s="164"/>
      <c r="P485" s="164"/>
      <c r="Q485" s="164"/>
      <c r="R485" s="164"/>
      <c r="S485" s="164"/>
      <c r="T485" s="164"/>
      <c r="U485" s="164"/>
      <c r="V485" s="164"/>
      <c r="W485" s="164"/>
      <c r="X485" s="164"/>
      <c r="Y485" s="164"/>
      <c r="Z485" s="164"/>
      <c r="AA485" s="164"/>
      <c r="AB485" s="164"/>
    </row>
    <row r="486">
      <c r="A486" s="164"/>
      <c r="B486" s="164"/>
      <c r="C486" s="9"/>
      <c r="D486" s="9"/>
      <c r="E486" s="9"/>
      <c r="F486" s="9"/>
      <c r="G486" s="164"/>
      <c r="H486" s="164"/>
      <c r="I486" s="164"/>
      <c r="J486" s="652"/>
      <c r="K486" s="164"/>
      <c r="L486" s="164"/>
      <c r="M486" s="164"/>
      <c r="N486" s="164"/>
      <c r="O486" s="164"/>
      <c r="P486" s="164"/>
      <c r="Q486" s="164"/>
      <c r="R486" s="164"/>
      <c r="S486" s="164"/>
      <c r="T486" s="164"/>
      <c r="U486" s="164"/>
      <c r="V486" s="164"/>
      <c r="W486" s="164"/>
      <c r="X486" s="164"/>
      <c r="Y486" s="164"/>
      <c r="Z486" s="164"/>
      <c r="AA486" s="164"/>
      <c r="AB486" s="164"/>
    </row>
    <row r="487">
      <c r="A487" s="164"/>
      <c r="B487" s="164"/>
      <c r="C487" s="9"/>
      <c r="D487" s="9"/>
      <c r="E487" s="9"/>
      <c r="F487" s="9"/>
      <c r="G487" s="164"/>
      <c r="H487" s="164"/>
      <c r="I487" s="164"/>
      <c r="J487" s="652"/>
      <c r="K487" s="164"/>
      <c r="L487" s="164"/>
      <c r="M487" s="164"/>
      <c r="N487" s="164"/>
      <c r="O487" s="164"/>
      <c r="P487" s="164"/>
      <c r="Q487" s="164"/>
      <c r="R487" s="164"/>
      <c r="S487" s="164"/>
      <c r="T487" s="164"/>
      <c r="U487" s="164"/>
      <c r="V487" s="164"/>
      <c r="W487" s="164"/>
      <c r="X487" s="164"/>
      <c r="Y487" s="164"/>
      <c r="Z487" s="164"/>
      <c r="AA487" s="164"/>
      <c r="AB487" s="164"/>
    </row>
    <row r="488">
      <c r="A488" s="164"/>
      <c r="B488" s="164"/>
      <c r="C488" s="9"/>
      <c r="D488" s="9"/>
      <c r="E488" s="9"/>
      <c r="F488" s="9"/>
      <c r="G488" s="164"/>
      <c r="H488" s="164"/>
      <c r="I488" s="164"/>
      <c r="J488" s="652"/>
      <c r="K488" s="164"/>
      <c r="L488" s="164"/>
      <c r="M488" s="164"/>
      <c r="N488" s="164"/>
      <c r="O488" s="164"/>
      <c r="P488" s="164"/>
      <c r="Q488" s="164"/>
      <c r="R488" s="164"/>
      <c r="S488" s="164"/>
      <c r="T488" s="164"/>
      <c r="U488" s="164"/>
      <c r="V488" s="164"/>
      <c r="W488" s="164"/>
      <c r="X488" s="164"/>
      <c r="Y488" s="164"/>
      <c r="Z488" s="164"/>
      <c r="AA488" s="164"/>
      <c r="AB488" s="164"/>
    </row>
    <row r="489">
      <c r="A489" s="164"/>
      <c r="B489" s="164"/>
      <c r="C489" s="9"/>
      <c r="D489" s="9"/>
      <c r="E489" s="9"/>
      <c r="F489" s="9"/>
      <c r="G489" s="164"/>
      <c r="H489" s="164"/>
      <c r="I489" s="164"/>
      <c r="J489" s="652"/>
      <c r="K489" s="164"/>
      <c r="L489" s="164"/>
      <c r="M489" s="164"/>
      <c r="N489" s="164"/>
      <c r="O489" s="164"/>
      <c r="P489" s="164"/>
      <c r="Q489" s="164"/>
      <c r="R489" s="164"/>
      <c r="S489" s="164"/>
      <c r="T489" s="164"/>
      <c r="U489" s="164"/>
      <c r="V489" s="164"/>
      <c r="W489" s="164"/>
      <c r="X489" s="164"/>
      <c r="Y489" s="164"/>
      <c r="Z489" s="164"/>
      <c r="AA489" s="164"/>
      <c r="AB489" s="164"/>
    </row>
    <row r="490">
      <c r="A490" s="164"/>
      <c r="B490" s="164"/>
      <c r="C490" s="9"/>
      <c r="D490" s="9"/>
      <c r="E490" s="9"/>
      <c r="F490" s="9"/>
      <c r="G490" s="164"/>
      <c r="H490" s="164"/>
      <c r="I490" s="164"/>
      <c r="J490" s="652"/>
      <c r="K490" s="164"/>
      <c r="L490" s="164"/>
      <c r="M490" s="164"/>
      <c r="N490" s="164"/>
      <c r="O490" s="164"/>
      <c r="P490" s="164"/>
      <c r="Q490" s="164"/>
      <c r="R490" s="164"/>
      <c r="S490" s="164"/>
      <c r="T490" s="164"/>
      <c r="U490" s="164"/>
      <c r="V490" s="164"/>
      <c r="W490" s="164"/>
      <c r="X490" s="164"/>
      <c r="Y490" s="164"/>
      <c r="Z490" s="164"/>
      <c r="AA490" s="164"/>
      <c r="AB490" s="164"/>
    </row>
    <row r="491">
      <c r="A491" s="164"/>
      <c r="B491" s="164"/>
      <c r="C491" s="9"/>
      <c r="D491" s="9"/>
      <c r="E491" s="9"/>
      <c r="F491" s="9"/>
      <c r="G491" s="164"/>
      <c r="H491" s="164"/>
      <c r="I491" s="164"/>
      <c r="J491" s="652"/>
      <c r="K491" s="164"/>
      <c r="L491" s="164"/>
      <c r="M491" s="164"/>
      <c r="N491" s="164"/>
      <c r="O491" s="164"/>
      <c r="P491" s="164"/>
      <c r="Q491" s="164"/>
      <c r="R491" s="164"/>
      <c r="S491" s="164"/>
      <c r="T491" s="164"/>
      <c r="U491" s="164"/>
      <c r="V491" s="164"/>
      <c r="W491" s="164"/>
      <c r="X491" s="164"/>
      <c r="Y491" s="164"/>
      <c r="Z491" s="164"/>
      <c r="AA491" s="164"/>
      <c r="AB491" s="164"/>
    </row>
    <row r="492">
      <c r="A492" s="164"/>
      <c r="B492" s="164"/>
      <c r="C492" s="9"/>
      <c r="D492" s="9"/>
      <c r="E492" s="9"/>
      <c r="F492" s="9"/>
      <c r="G492" s="164"/>
      <c r="H492" s="164"/>
      <c r="I492" s="164"/>
      <c r="J492" s="652"/>
      <c r="K492" s="164"/>
      <c r="L492" s="164"/>
      <c r="M492" s="164"/>
      <c r="N492" s="164"/>
      <c r="O492" s="164"/>
      <c r="P492" s="164"/>
      <c r="Q492" s="164"/>
      <c r="R492" s="164"/>
      <c r="S492" s="164"/>
      <c r="T492" s="164"/>
      <c r="U492" s="164"/>
      <c r="V492" s="164"/>
      <c r="W492" s="164"/>
      <c r="X492" s="164"/>
      <c r="Y492" s="164"/>
      <c r="Z492" s="164"/>
      <c r="AA492" s="164"/>
      <c r="AB492" s="164"/>
    </row>
    <row r="493">
      <c r="A493" s="164"/>
      <c r="B493" s="164"/>
      <c r="C493" s="9"/>
      <c r="D493" s="9"/>
      <c r="E493" s="9"/>
      <c r="F493" s="9"/>
      <c r="G493" s="164"/>
      <c r="H493" s="164"/>
      <c r="I493" s="164"/>
      <c r="J493" s="652"/>
      <c r="K493" s="164"/>
      <c r="L493" s="164"/>
      <c r="M493" s="164"/>
      <c r="N493" s="164"/>
      <c r="O493" s="164"/>
      <c r="P493" s="164"/>
      <c r="Q493" s="164"/>
      <c r="R493" s="164"/>
      <c r="S493" s="164"/>
      <c r="T493" s="164"/>
      <c r="U493" s="164"/>
      <c r="V493" s="164"/>
      <c r="W493" s="164"/>
      <c r="X493" s="164"/>
      <c r="Y493" s="164"/>
      <c r="Z493" s="164"/>
      <c r="AA493" s="164"/>
      <c r="AB493" s="164"/>
    </row>
    <row r="494">
      <c r="A494" s="164"/>
      <c r="B494" s="164"/>
      <c r="C494" s="9"/>
      <c r="D494" s="9"/>
      <c r="E494" s="9"/>
      <c r="F494" s="9"/>
      <c r="G494" s="164"/>
      <c r="H494" s="164"/>
      <c r="I494" s="164"/>
      <c r="J494" s="652"/>
      <c r="K494" s="164"/>
      <c r="L494" s="164"/>
      <c r="M494" s="164"/>
      <c r="N494" s="164"/>
      <c r="O494" s="164"/>
      <c r="P494" s="164"/>
      <c r="Q494" s="164"/>
      <c r="R494" s="164"/>
      <c r="S494" s="164"/>
      <c r="T494" s="164"/>
      <c r="U494" s="164"/>
      <c r="V494" s="164"/>
      <c r="W494" s="164"/>
      <c r="X494" s="164"/>
      <c r="Y494" s="164"/>
      <c r="Z494" s="164"/>
      <c r="AA494" s="164"/>
      <c r="AB494" s="164"/>
    </row>
    <row r="495">
      <c r="A495" s="164"/>
      <c r="B495" s="164"/>
      <c r="C495" s="9"/>
      <c r="D495" s="9"/>
      <c r="E495" s="9"/>
      <c r="F495" s="9"/>
      <c r="G495" s="164"/>
      <c r="H495" s="164"/>
      <c r="I495" s="164"/>
      <c r="J495" s="652"/>
      <c r="K495" s="164"/>
      <c r="L495" s="164"/>
      <c r="M495" s="164"/>
      <c r="N495" s="164"/>
      <c r="O495" s="164"/>
      <c r="P495" s="164"/>
      <c r="Q495" s="164"/>
      <c r="R495" s="164"/>
      <c r="S495" s="164"/>
      <c r="T495" s="164"/>
      <c r="U495" s="164"/>
      <c r="V495" s="164"/>
      <c r="W495" s="164"/>
      <c r="X495" s="164"/>
      <c r="Y495" s="164"/>
      <c r="Z495" s="164"/>
      <c r="AA495" s="164"/>
      <c r="AB495" s="164"/>
    </row>
    <row r="496">
      <c r="A496" s="164"/>
      <c r="B496" s="164"/>
      <c r="C496" s="9"/>
      <c r="D496" s="9"/>
      <c r="E496" s="9"/>
      <c r="F496" s="9"/>
      <c r="G496" s="164"/>
      <c r="H496" s="164"/>
      <c r="I496" s="164"/>
      <c r="J496" s="652"/>
      <c r="K496" s="164"/>
      <c r="L496" s="164"/>
      <c r="M496" s="164"/>
      <c r="N496" s="164"/>
      <c r="O496" s="164"/>
      <c r="P496" s="164"/>
      <c r="Q496" s="164"/>
      <c r="R496" s="164"/>
      <c r="S496" s="164"/>
      <c r="T496" s="164"/>
      <c r="U496" s="164"/>
      <c r="V496" s="164"/>
      <c r="W496" s="164"/>
      <c r="X496" s="164"/>
      <c r="Y496" s="164"/>
      <c r="Z496" s="164"/>
      <c r="AA496" s="164"/>
      <c r="AB496" s="164"/>
    </row>
    <row r="497">
      <c r="A497" s="164"/>
      <c r="B497" s="164"/>
      <c r="C497" s="9"/>
      <c r="D497" s="9"/>
      <c r="E497" s="9"/>
      <c r="F497" s="9"/>
      <c r="G497" s="164"/>
      <c r="H497" s="164"/>
      <c r="I497" s="164"/>
      <c r="J497" s="652"/>
      <c r="K497" s="164"/>
      <c r="L497" s="164"/>
      <c r="M497" s="164"/>
      <c r="N497" s="164"/>
      <c r="O497" s="164"/>
      <c r="P497" s="164"/>
      <c r="Q497" s="164"/>
      <c r="R497" s="164"/>
      <c r="S497" s="164"/>
      <c r="T497" s="164"/>
      <c r="U497" s="164"/>
      <c r="V497" s="164"/>
      <c r="W497" s="164"/>
      <c r="X497" s="164"/>
      <c r="Y497" s="164"/>
      <c r="Z497" s="164"/>
      <c r="AA497" s="164"/>
      <c r="AB497" s="164"/>
    </row>
    <row r="498">
      <c r="A498" s="164"/>
      <c r="B498" s="164"/>
      <c r="C498" s="9"/>
      <c r="D498" s="9"/>
      <c r="E498" s="9"/>
      <c r="F498" s="9"/>
      <c r="G498" s="164"/>
      <c r="H498" s="164"/>
      <c r="I498" s="164"/>
      <c r="J498" s="652"/>
      <c r="K498" s="164"/>
      <c r="L498" s="164"/>
      <c r="M498" s="164"/>
      <c r="N498" s="164"/>
      <c r="O498" s="164"/>
      <c r="P498" s="164"/>
      <c r="Q498" s="164"/>
      <c r="R498" s="164"/>
      <c r="S498" s="164"/>
      <c r="T498" s="164"/>
      <c r="U498" s="164"/>
      <c r="V498" s="164"/>
      <c r="W498" s="164"/>
      <c r="X498" s="164"/>
      <c r="Y498" s="164"/>
      <c r="Z498" s="164"/>
      <c r="AA498" s="164"/>
      <c r="AB498" s="164"/>
    </row>
    <row r="499">
      <c r="A499" s="164"/>
      <c r="B499" s="164"/>
      <c r="C499" s="9"/>
      <c r="D499" s="9"/>
      <c r="E499" s="9"/>
      <c r="F499" s="9"/>
      <c r="G499" s="164"/>
      <c r="H499" s="164"/>
      <c r="I499" s="164"/>
      <c r="J499" s="652"/>
      <c r="K499" s="164"/>
      <c r="L499" s="164"/>
      <c r="M499" s="164"/>
      <c r="N499" s="164"/>
      <c r="O499" s="164"/>
      <c r="P499" s="164"/>
      <c r="Q499" s="164"/>
      <c r="R499" s="164"/>
      <c r="S499" s="164"/>
      <c r="T499" s="164"/>
      <c r="U499" s="164"/>
      <c r="V499" s="164"/>
      <c r="W499" s="164"/>
      <c r="X499" s="164"/>
      <c r="Y499" s="164"/>
      <c r="Z499" s="164"/>
      <c r="AA499" s="164"/>
      <c r="AB499" s="164"/>
    </row>
    <row r="500">
      <c r="A500" s="164"/>
      <c r="B500" s="164"/>
      <c r="C500" s="9"/>
      <c r="D500" s="9"/>
      <c r="E500" s="9"/>
      <c r="F500" s="9"/>
      <c r="G500" s="164"/>
      <c r="H500" s="164"/>
      <c r="I500" s="164"/>
      <c r="J500" s="652"/>
      <c r="K500" s="164"/>
      <c r="L500" s="164"/>
      <c r="M500" s="164"/>
      <c r="N500" s="164"/>
      <c r="O500" s="164"/>
      <c r="P500" s="164"/>
      <c r="Q500" s="164"/>
      <c r="R500" s="164"/>
      <c r="S500" s="164"/>
      <c r="T500" s="164"/>
      <c r="U500" s="164"/>
      <c r="V500" s="164"/>
      <c r="W500" s="164"/>
      <c r="X500" s="164"/>
      <c r="Y500" s="164"/>
      <c r="Z500" s="164"/>
      <c r="AA500" s="164"/>
      <c r="AB500" s="164"/>
    </row>
    <row r="501">
      <c r="A501" s="164"/>
      <c r="B501" s="164"/>
      <c r="C501" s="9"/>
      <c r="D501" s="9"/>
      <c r="E501" s="9"/>
      <c r="F501" s="9"/>
      <c r="G501" s="164"/>
      <c r="H501" s="164"/>
      <c r="I501" s="164"/>
      <c r="J501" s="652"/>
      <c r="K501" s="164"/>
      <c r="L501" s="164"/>
      <c r="M501" s="164"/>
      <c r="N501" s="164"/>
      <c r="O501" s="164"/>
      <c r="P501" s="164"/>
      <c r="Q501" s="164"/>
      <c r="R501" s="164"/>
      <c r="S501" s="164"/>
      <c r="T501" s="164"/>
      <c r="U501" s="164"/>
      <c r="V501" s="164"/>
      <c r="W501" s="164"/>
      <c r="X501" s="164"/>
      <c r="Y501" s="164"/>
      <c r="Z501" s="164"/>
      <c r="AA501" s="164"/>
      <c r="AB501" s="164"/>
    </row>
    <row r="502">
      <c r="A502" s="164"/>
      <c r="B502" s="164"/>
      <c r="C502" s="9"/>
      <c r="D502" s="9"/>
      <c r="E502" s="9"/>
      <c r="F502" s="9"/>
      <c r="G502" s="164"/>
      <c r="H502" s="164"/>
      <c r="I502" s="164"/>
      <c r="J502" s="652"/>
      <c r="K502" s="164"/>
      <c r="L502" s="164"/>
      <c r="M502" s="164"/>
      <c r="N502" s="164"/>
      <c r="O502" s="164"/>
      <c r="P502" s="164"/>
      <c r="Q502" s="164"/>
      <c r="R502" s="164"/>
      <c r="S502" s="164"/>
      <c r="T502" s="164"/>
      <c r="U502" s="164"/>
      <c r="V502" s="164"/>
      <c r="W502" s="164"/>
      <c r="X502" s="164"/>
      <c r="Y502" s="164"/>
      <c r="Z502" s="164"/>
      <c r="AA502" s="164"/>
      <c r="AB502" s="164"/>
    </row>
    <row r="503">
      <c r="A503" s="164"/>
      <c r="B503" s="164"/>
      <c r="C503" s="9"/>
      <c r="D503" s="9"/>
      <c r="E503" s="9"/>
      <c r="F503" s="9"/>
      <c r="G503" s="164"/>
      <c r="H503" s="164"/>
      <c r="I503" s="164"/>
      <c r="J503" s="652"/>
      <c r="K503" s="164"/>
      <c r="L503" s="164"/>
      <c r="M503" s="164"/>
      <c r="N503" s="164"/>
      <c r="O503" s="164"/>
      <c r="P503" s="164"/>
      <c r="Q503" s="164"/>
      <c r="R503" s="164"/>
      <c r="S503" s="164"/>
      <c r="T503" s="164"/>
      <c r="U503" s="164"/>
      <c r="V503" s="164"/>
      <c r="W503" s="164"/>
      <c r="X503" s="164"/>
      <c r="Y503" s="164"/>
      <c r="Z503" s="164"/>
      <c r="AA503" s="164"/>
      <c r="AB503" s="164"/>
    </row>
    <row r="504">
      <c r="A504" s="164"/>
      <c r="B504" s="164"/>
      <c r="C504" s="9"/>
      <c r="D504" s="9"/>
      <c r="E504" s="9"/>
      <c r="F504" s="9"/>
      <c r="G504" s="164"/>
      <c r="H504" s="164"/>
      <c r="I504" s="164"/>
      <c r="J504" s="652"/>
      <c r="K504" s="164"/>
      <c r="L504" s="164"/>
      <c r="M504" s="164"/>
      <c r="N504" s="164"/>
      <c r="O504" s="164"/>
      <c r="P504" s="164"/>
      <c r="Q504" s="164"/>
      <c r="R504" s="164"/>
      <c r="S504" s="164"/>
      <c r="T504" s="164"/>
      <c r="U504" s="164"/>
      <c r="V504" s="164"/>
      <c r="W504" s="164"/>
      <c r="X504" s="164"/>
      <c r="Y504" s="164"/>
      <c r="Z504" s="164"/>
      <c r="AA504" s="164"/>
      <c r="AB504" s="164"/>
    </row>
    <row r="505">
      <c r="A505" s="164"/>
      <c r="B505" s="164"/>
      <c r="C505" s="9"/>
      <c r="D505" s="9"/>
      <c r="E505" s="9"/>
      <c r="F505" s="9"/>
      <c r="G505" s="164"/>
      <c r="H505" s="164"/>
      <c r="I505" s="164"/>
      <c r="J505" s="652"/>
      <c r="K505" s="164"/>
      <c r="L505" s="164"/>
      <c r="M505" s="164"/>
      <c r="N505" s="164"/>
      <c r="O505" s="164"/>
      <c r="P505" s="164"/>
      <c r="Q505" s="164"/>
      <c r="R505" s="164"/>
      <c r="S505" s="164"/>
      <c r="T505" s="164"/>
      <c r="U505" s="164"/>
      <c r="V505" s="164"/>
      <c r="W505" s="164"/>
      <c r="X505" s="164"/>
      <c r="Y505" s="164"/>
      <c r="Z505" s="164"/>
      <c r="AA505" s="164"/>
      <c r="AB505" s="164"/>
    </row>
    <row r="506">
      <c r="A506" s="164"/>
      <c r="B506" s="164"/>
      <c r="C506" s="9"/>
      <c r="D506" s="9"/>
      <c r="E506" s="9"/>
      <c r="F506" s="9"/>
      <c r="G506" s="164"/>
      <c r="H506" s="164"/>
      <c r="I506" s="164"/>
      <c r="J506" s="652"/>
      <c r="K506" s="164"/>
      <c r="L506" s="164"/>
      <c r="M506" s="164"/>
      <c r="N506" s="164"/>
      <c r="O506" s="164"/>
      <c r="P506" s="164"/>
      <c r="Q506" s="164"/>
      <c r="R506" s="164"/>
      <c r="S506" s="164"/>
      <c r="T506" s="164"/>
      <c r="U506" s="164"/>
      <c r="V506" s="164"/>
      <c r="W506" s="164"/>
      <c r="X506" s="164"/>
      <c r="Y506" s="164"/>
      <c r="Z506" s="164"/>
      <c r="AA506" s="164"/>
      <c r="AB506" s="164"/>
    </row>
    <row r="507">
      <c r="A507" s="164"/>
      <c r="B507" s="164"/>
      <c r="C507" s="9"/>
      <c r="D507" s="9"/>
      <c r="E507" s="9"/>
      <c r="F507" s="9"/>
      <c r="G507" s="164"/>
      <c r="H507" s="164"/>
      <c r="I507" s="164"/>
      <c r="J507" s="652"/>
      <c r="K507" s="164"/>
      <c r="L507" s="164"/>
      <c r="M507" s="164"/>
      <c r="N507" s="164"/>
      <c r="O507" s="164"/>
      <c r="P507" s="164"/>
      <c r="Q507" s="164"/>
      <c r="R507" s="164"/>
      <c r="S507" s="164"/>
      <c r="T507" s="164"/>
      <c r="U507" s="164"/>
      <c r="V507" s="164"/>
      <c r="W507" s="164"/>
      <c r="X507" s="164"/>
      <c r="Y507" s="164"/>
      <c r="Z507" s="164"/>
      <c r="AA507" s="164"/>
      <c r="AB507" s="164"/>
    </row>
    <row r="508">
      <c r="A508" s="164"/>
      <c r="B508" s="164"/>
      <c r="C508" s="9"/>
      <c r="D508" s="9"/>
      <c r="E508" s="9"/>
      <c r="F508" s="9"/>
      <c r="G508" s="164"/>
      <c r="H508" s="164"/>
      <c r="I508" s="164"/>
      <c r="J508" s="652"/>
      <c r="K508" s="164"/>
      <c r="L508" s="164"/>
      <c r="M508" s="164"/>
      <c r="N508" s="164"/>
      <c r="O508" s="164"/>
      <c r="P508" s="164"/>
      <c r="Q508" s="164"/>
      <c r="R508" s="164"/>
      <c r="S508" s="164"/>
      <c r="T508" s="164"/>
      <c r="U508" s="164"/>
      <c r="V508" s="164"/>
      <c r="W508" s="164"/>
      <c r="X508" s="164"/>
      <c r="Y508" s="164"/>
      <c r="Z508" s="164"/>
      <c r="AA508" s="164"/>
      <c r="AB508" s="164"/>
    </row>
    <row r="509">
      <c r="A509" s="164"/>
      <c r="B509" s="164"/>
      <c r="C509" s="9"/>
      <c r="D509" s="9"/>
      <c r="E509" s="9"/>
      <c r="F509" s="9"/>
      <c r="G509" s="164"/>
      <c r="H509" s="164"/>
      <c r="I509" s="164"/>
      <c r="J509" s="652"/>
      <c r="K509" s="164"/>
      <c r="L509" s="164"/>
      <c r="M509" s="164"/>
      <c r="N509" s="164"/>
      <c r="O509" s="164"/>
      <c r="P509" s="164"/>
      <c r="Q509" s="164"/>
      <c r="R509" s="164"/>
      <c r="S509" s="164"/>
      <c r="T509" s="164"/>
      <c r="U509" s="164"/>
      <c r="V509" s="164"/>
      <c r="W509" s="164"/>
      <c r="X509" s="164"/>
      <c r="Y509" s="164"/>
      <c r="Z509" s="164"/>
      <c r="AA509" s="164"/>
      <c r="AB509" s="164"/>
    </row>
    <row r="510">
      <c r="A510" s="164"/>
      <c r="B510" s="164"/>
      <c r="C510" s="9"/>
      <c r="D510" s="9"/>
      <c r="E510" s="9"/>
      <c r="F510" s="9"/>
      <c r="G510" s="164"/>
      <c r="H510" s="164"/>
      <c r="I510" s="164"/>
      <c r="J510" s="652"/>
      <c r="K510" s="164"/>
      <c r="L510" s="164"/>
      <c r="M510" s="164"/>
      <c r="N510" s="164"/>
      <c r="O510" s="164"/>
      <c r="P510" s="164"/>
      <c r="Q510" s="164"/>
      <c r="R510" s="164"/>
      <c r="S510" s="164"/>
      <c r="T510" s="164"/>
      <c r="U510" s="164"/>
      <c r="V510" s="164"/>
      <c r="W510" s="164"/>
      <c r="X510" s="164"/>
      <c r="Y510" s="164"/>
      <c r="Z510" s="164"/>
      <c r="AA510" s="164"/>
      <c r="AB510" s="164"/>
    </row>
    <row r="511">
      <c r="A511" s="164"/>
      <c r="B511" s="164"/>
      <c r="C511" s="9"/>
      <c r="D511" s="9"/>
      <c r="E511" s="9"/>
      <c r="F511" s="9"/>
      <c r="G511" s="164"/>
      <c r="H511" s="164"/>
      <c r="I511" s="164"/>
      <c r="J511" s="652"/>
      <c r="K511" s="164"/>
      <c r="L511" s="164"/>
      <c r="M511" s="164"/>
      <c r="N511" s="164"/>
      <c r="O511" s="164"/>
      <c r="P511" s="164"/>
      <c r="Q511" s="164"/>
      <c r="R511" s="164"/>
      <c r="S511" s="164"/>
      <c r="T511" s="164"/>
      <c r="U511" s="164"/>
      <c r="V511" s="164"/>
      <c r="W511" s="164"/>
      <c r="X511" s="164"/>
      <c r="Y511" s="164"/>
      <c r="Z511" s="164"/>
      <c r="AA511" s="164"/>
      <c r="AB511" s="164"/>
    </row>
    <row r="512">
      <c r="A512" s="164"/>
      <c r="B512" s="164"/>
      <c r="C512" s="9"/>
      <c r="D512" s="9"/>
      <c r="E512" s="9"/>
      <c r="F512" s="9"/>
      <c r="G512" s="164"/>
      <c r="H512" s="164"/>
      <c r="I512" s="164"/>
      <c r="J512" s="652"/>
      <c r="K512" s="164"/>
      <c r="L512" s="164"/>
      <c r="M512" s="164"/>
      <c r="N512" s="164"/>
      <c r="O512" s="164"/>
      <c r="P512" s="164"/>
      <c r="Q512" s="164"/>
      <c r="R512" s="164"/>
      <c r="S512" s="164"/>
      <c r="T512" s="164"/>
      <c r="U512" s="164"/>
      <c r="V512" s="164"/>
      <c r="W512" s="164"/>
      <c r="X512" s="164"/>
      <c r="Y512" s="164"/>
      <c r="Z512" s="164"/>
      <c r="AA512" s="164"/>
      <c r="AB512" s="164"/>
    </row>
    <row r="513">
      <c r="A513" s="164"/>
      <c r="B513" s="164"/>
      <c r="C513" s="9"/>
      <c r="D513" s="9"/>
      <c r="E513" s="9"/>
      <c r="F513" s="9"/>
      <c r="G513" s="164"/>
      <c r="H513" s="164"/>
      <c r="I513" s="164"/>
      <c r="J513" s="652"/>
      <c r="K513" s="164"/>
      <c r="L513" s="164"/>
      <c r="M513" s="164"/>
      <c r="N513" s="164"/>
      <c r="O513" s="164"/>
      <c r="P513" s="164"/>
      <c r="Q513" s="164"/>
      <c r="R513" s="164"/>
      <c r="S513" s="164"/>
      <c r="T513" s="164"/>
      <c r="U513" s="164"/>
      <c r="V513" s="164"/>
      <c r="W513" s="164"/>
      <c r="X513" s="164"/>
      <c r="Y513" s="164"/>
      <c r="Z513" s="164"/>
      <c r="AA513" s="164"/>
      <c r="AB513" s="164"/>
    </row>
    <row r="514">
      <c r="A514" s="164"/>
      <c r="B514" s="164"/>
      <c r="C514" s="9"/>
      <c r="D514" s="9"/>
      <c r="E514" s="9"/>
      <c r="F514" s="9"/>
      <c r="G514" s="164"/>
      <c r="H514" s="164"/>
      <c r="I514" s="164"/>
      <c r="J514" s="652"/>
      <c r="K514" s="164"/>
      <c r="L514" s="164"/>
      <c r="M514" s="164"/>
      <c r="N514" s="164"/>
      <c r="O514" s="164"/>
      <c r="P514" s="164"/>
      <c r="Q514" s="164"/>
      <c r="R514" s="164"/>
      <c r="S514" s="164"/>
      <c r="T514" s="164"/>
      <c r="U514" s="164"/>
      <c r="V514" s="164"/>
      <c r="W514" s="164"/>
      <c r="X514" s="164"/>
      <c r="Y514" s="164"/>
      <c r="Z514" s="164"/>
      <c r="AA514" s="164"/>
      <c r="AB514" s="164"/>
    </row>
    <row r="515">
      <c r="A515" s="164"/>
      <c r="B515" s="164"/>
      <c r="C515" s="9"/>
      <c r="D515" s="9"/>
      <c r="E515" s="9"/>
      <c r="F515" s="9"/>
      <c r="G515" s="164"/>
      <c r="H515" s="164"/>
      <c r="I515" s="164"/>
      <c r="J515" s="652"/>
      <c r="K515" s="164"/>
      <c r="L515" s="164"/>
      <c r="M515" s="164"/>
      <c r="N515" s="164"/>
      <c r="O515" s="164"/>
      <c r="P515" s="164"/>
      <c r="Q515" s="164"/>
      <c r="R515" s="164"/>
      <c r="S515" s="164"/>
      <c r="T515" s="164"/>
      <c r="U515" s="164"/>
      <c r="V515" s="164"/>
      <c r="W515" s="164"/>
      <c r="X515" s="164"/>
      <c r="Y515" s="164"/>
      <c r="Z515" s="164"/>
      <c r="AA515" s="164"/>
      <c r="AB515" s="164"/>
    </row>
    <row r="516">
      <c r="A516" s="164"/>
      <c r="B516" s="164"/>
      <c r="C516" s="9"/>
      <c r="D516" s="9"/>
      <c r="E516" s="9"/>
      <c r="F516" s="9"/>
      <c r="G516" s="164"/>
      <c r="H516" s="164"/>
      <c r="I516" s="164"/>
      <c r="J516" s="652"/>
      <c r="K516" s="164"/>
      <c r="L516" s="164"/>
      <c r="M516" s="164"/>
      <c r="N516" s="164"/>
      <c r="O516" s="164"/>
      <c r="P516" s="164"/>
      <c r="Q516" s="164"/>
      <c r="R516" s="164"/>
      <c r="S516" s="164"/>
      <c r="T516" s="164"/>
      <c r="U516" s="164"/>
      <c r="V516" s="164"/>
      <c r="W516" s="164"/>
      <c r="X516" s="164"/>
      <c r="Y516" s="164"/>
      <c r="Z516" s="164"/>
      <c r="AA516" s="164"/>
      <c r="AB516" s="164"/>
    </row>
    <row r="517">
      <c r="A517" s="164"/>
      <c r="B517" s="164"/>
      <c r="C517" s="9"/>
      <c r="D517" s="9"/>
      <c r="E517" s="9"/>
      <c r="F517" s="9"/>
      <c r="G517" s="164"/>
      <c r="H517" s="164"/>
      <c r="I517" s="164"/>
      <c r="J517" s="652"/>
      <c r="K517" s="164"/>
      <c r="L517" s="164"/>
      <c r="M517" s="164"/>
      <c r="N517" s="164"/>
      <c r="O517" s="164"/>
      <c r="P517" s="164"/>
      <c r="Q517" s="164"/>
      <c r="R517" s="164"/>
      <c r="S517" s="164"/>
      <c r="T517" s="164"/>
      <c r="U517" s="164"/>
      <c r="V517" s="164"/>
      <c r="W517" s="164"/>
      <c r="X517" s="164"/>
      <c r="Y517" s="164"/>
      <c r="Z517" s="164"/>
      <c r="AA517" s="164"/>
      <c r="AB517" s="164"/>
    </row>
    <row r="518">
      <c r="A518" s="164"/>
      <c r="B518" s="164"/>
      <c r="C518" s="9"/>
      <c r="D518" s="9"/>
      <c r="E518" s="9"/>
      <c r="F518" s="9"/>
      <c r="G518" s="164"/>
      <c r="H518" s="164"/>
      <c r="I518" s="164"/>
      <c r="J518" s="652"/>
      <c r="K518" s="164"/>
      <c r="L518" s="164"/>
      <c r="M518" s="164"/>
      <c r="N518" s="164"/>
      <c r="O518" s="164"/>
      <c r="P518" s="164"/>
      <c r="Q518" s="164"/>
      <c r="R518" s="164"/>
      <c r="S518" s="164"/>
      <c r="T518" s="164"/>
      <c r="U518" s="164"/>
      <c r="V518" s="164"/>
      <c r="W518" s="164"/>
      <c r="X518" s="164"/>
      <c r="Y518" s="164"/>
      <c r="Z518" s="164"/>
      <c r="AA518" s="164"/>
      <c r="AB518" s="164"/>
    </row>
    <row r="519">
      <c r="A519" s="164"/>
      <c r="B519" s="164"/>
      <c r="C519" s="9"/>
      <c r="D519" s="9"/>
      <c r="E519" s="9"/>
      <c r="F519" s="9"/>
      <c r="G519" s="164"/>
      <c r="H519" s="164"/>
      <c r="I519" s="164"/>
      <c r="J519" s="652"/>
      <c r="K519" s="164"/>
      <c r="L519" s="164"/>
      <c r="M519" s="164"/>
      <c r="N519" s="164"/>
      <c r="O519" s="164"/>
      <c r="P519" s="164"/>
      <c r="Q519" s="164"/>
      <c r="R519" s="164"/>
      <c r="S519" s="164"/>
      <c r="T519" s="164"/>
      <c r="U519" s="164"/>
      <c r="V519" s="164"/>
      <c r="W519" s="164"/>
      <c r="X519" s="164"/>
      <c r="Y519" s="164"/>
      <c r="Z519" s="164"/>
      <c r="AA519" s="164"/>
      <c r="AB519" s="164"/>
    </row>
    <row r="520">
      <c r="A520" s="164"/>
      <c r="B520" s="164"/>
      <c r="C520" s="9"/>
      <c r="D520" s="9"/>
      <c r="E520" s="9"/>
      <c r="F520" s="9"/>
      <c r="G520" s="164"/>
      <c r="H520" s="164"/>
      <c r="I520" s="164"/>
      <c r="J520" s="652"/>
      <c r="K520" s="164"/>
      <c r="L520" s="164"/>
      <c r="M520" s="164"/>
      <c r="N520" s="164"/>
      <c r="O520" s="164"/>
      <c r="P520" s="164"/>
      <c r="Q520" s="164"/>
      <c r="R520" s="164"/>
      <c r="S520" s="164"/>
      <c r="T520" s="164"/>
      <c r="U520" s="164"/>
      <c r="V520" s="164"/>
      <c r="W520" s="164"/>
      <c r="X520" s="164"/>
      <c r="Y520" s="164"/>
      <c r="Z520" s="164"/>
      <c r="AA520" s="164"/>
      <c r="AB520" s="164"/>
    </row>
    <row r="521">
      <c r="A521" s="164"/>
      <c r="B521" s="164"/>
      <c r="C521" s="9"/>
      <c r="D521" s="9"/>
      <c r="E521" s="9"/>
      <c r="F521" s="9"/>
      <c r="G521" s="164"/>
      <c r="H521" s="164"/>
      <c r="I521" s="164"/>
      <c r="J521" s="652"/>
      <c r="K521" s="164"/>
      <c r="L521" s="164"/>
      <c r="M521" s="164"/>
      <c r="N521" s="164"/>
      <c r="O521" s="164"/>
      <c r="P521" s="164"/>
      <c r="Q521" s="164"/>
      <c r="R521" s="164"/>
      <c r="S521" s="164"/>
      <c r="T521" s="164"/>
      <c r="U521" s="164"/>
      <c r="V521" s="164"/>
      <c r="W521" s="164"/>
      <c r="X521" s="164"/>
      <c r="Y521" s="164"/>
      <c r="Z521" s="164"/>
      <c r="AA521" s="164"/>
      <c r="AB521" s="164"/>
    </row>
    <row r="522">
      <c r="A522" s="164"/>
      <c r="B522" s="164"/>
      <c r="C522" s="9"/>
      <c r="D522" s="9"/>
      <c r="E522" s="9"/>
      <c r="F522" s="9"/>
      <c r="G522" s="164"/>
      <c r="H522" s="164"/>
      <c r="I522" s="164"/>
      <c r="J522" s="652"/>
      <c r="K522" s="164"/>
      <c r="L522" s="164"/>
      <c r="M522" s="164"/>
      <c r="N522" s="164"/>
      <c r="O522" s="164"/>
      <c r="P522" s="164"/>
      <c r="Q522" s="164"/>
      <c r="R522" s="164"/>
      <c r="S522" s="164"/>
      <c r="T522" s="164"/>
      <c r="U522" s="164"/>
      <c r="V522" s="164"/>
      <c r="W522" s="164"/>
      <c r="X522" s="164"/>
      <c r="Y522" s="164"/>
      <c r="Z522" s="164"/>
      <c r="AA522" s="164"/>
      <c r="AB522" s="164"/>
    </row>
    <row r="523">
      <c r="A523" s="164"/>
      <c r="B523" s="164"/>
      <c r="C523" s="9"/>
      <c r="D523" s="9"/>
      <c r="E523" s="9"/>
      <c r="F523" s="9"/>
      <c r="G523" s="164"/>
      <c r="H523" s="164"/>
      <c r="I523" s="164"/>
      <c r="J523" s="652"/>
      <c r="K523" s="164"/>
      <c r="L523" s="164"/>
      <c r="M523" s="164"/>
      <c r="N523" s="164"/>
      <c r="O523" s="164"/>
      <c r="P523" s="164"/>
      <c r="Q523" s="164"/>
      <c r="R523" s="164"/>
      <c r="S523" s="164"/>
      <c r="T523" s="164"/>
      <c r="U523" s="164"/>
      <c r="V523" s="164"/>
      <c r="W523" s="164"/>
      <c r="X523" s="164"/>
      <c r="Y523" s="164"/>
      <c r="Z523" s="164"/>
      <c r="AA523" s="164"/>
      <c r="AB523" s="164"/>
    </row>
    <row r="524">
      <c r="A524" s="164"/>
      <c r="B524" s="164"/>
      <c r="C524" s="9"/>
      <c r="D524" s="9"/>
      <c r="E524" s="9"/>
      <c r="F524" s="9"/>
      <c r="G524" s="164"/>
      <c r="H524" s="164"/>
      <c r="I524" s="164"/>
      <c r="J524" s="652"/>
      <c r="K524" s="164"/>
      <c r="L524" s="164"/>
      <c r="M524" s="164"/>
      <c r="N524" s="164"/>
      <c r="O524" s="164"/>
      <c r="P524" s="164"/>
      <c r="Q524" s="164"/>
      <c r="R524" s="164"/>
      <c r="S524" s="164"/>
      <c r="T524" s="164"/>
      <c r="U524" s="164"/>
      <c r="V524" s="164"/>
      <c r="W524" s="164"/>
      <c r="X524" s="164"/>
      <c r="Y524" s="164"/>
      <c r="Z524" s="164"/>
      <c r="AA524" s="164"/>
      <c r="AB524" s="164"/>
    </row>
    <row r="525">
      <c r="A525" s="164"/>
      <c r="B525" s="164"/>
      <c r="C525" s="9"/>
      <c r="D525" s="9"/>
      <c r="E525" s="9"/>
      <c r="F525" s="9"/>
      <c r="G525" s="164"/>
      <c r="H525" s="164"/>
      <c r="I525" s="164"/>
      <c r="J525" s="652"/>
      <c r="K525" s="164"/>
      <c r="L525" s="164"/>
      <c r="M525" s="164"/>
      <c r="N525" s="164"/>
      <c r="O525" s="164"/>
      <c r="P525" s="164"/>
      <c r="Q525" s="164"/>
      <c r="R525" s="164"/>
      <c r="S525" s="164"/>
      <c r="T525" s="164"/>
      <c r="U525" s="164"/>
      <c r="V525" s="164"/>
      <c r="W525" s="164"/>
      <c r="X525" s="164"/>
      <c r="Y525" s="164"/>
      <c r="Z525" s="164"/>
      <c r="AA525" s="164"/>
      <c r="AB525" s="164"/>
    </row>
    <row r="526">
      <c r="A526" s="164"/>
      <c r="B526" s="164"/>
      <c r="C526" s="9"/>
      <c r="D526" s="9"/>
      <c r="E526" s="9"/>
      <c r="F526" s="9"/>
      <c r="G526" s="164"/>
      <c r="H526" s="164"/>
      <c r="I526" s="164"/>
      <c r="J526" s="652"/>
      <c r="K526" s="164"/>
      <c r="L526" s="164"/>
      <c r="M526" s="164"/>
      <c r="N526" s="164"/>
      <c r="O526" s="164"/>
      <c r="P526" s="164"/>
      <c r="Q526" s="164"/>
      <c r="R526" s="164"/>
      <c r="S526" s="164"/>
      <c r="T526" s="164"/>
      <c r="U526" s="164"/>
      <c r="V526" s="164"/>
      <c r="W526" s="164"/>
      <c r="X526" s="164"/>
      <c r="Y526" s="164"/>
      <c r="Z526" s="164"/>
      <c r="AA526" s="164"/>
      <c r="AB526" s="164"/>
    </row>
    <row r="527">
      <c r="A527" s="164"/>
      <c r="B527" s="164"/>
      <c r="C527" s="9"/>
      <c r="D527" s="9"/>
      <c r="E527" s="9"/>
      <c r="F527" s="9"/>
      <c r="G527" s="164"/>
      <c r="H527" s="164"/>
      <c r="I527" s="164"/>
      <c r="J527" s="652"/>
      <c r="K527" s="164"/>
      <c r="L527" s="164"/>
      <c r="M527" s="164"/>
      <c r="N527" s="164"/>
      <c r="O527" s="164"/>
      <c r="P527" s="164"/>
      <c r="Q527" s="164"/>
      <c r="R527" s="164"/>
      <c r="S527" s="164"/>
      <c r="T527" s="164"/>
      <c r="U527" s="164"/>
      <c r="V527" s="164"/>
      <c r="W527" s="164"/>
      <c r="X527" s="164"/>
      <c r="Y527" s="164"/>
      <c r="Z527" s="164"/>
      <c r="AA527" s="164"/>
      <c r="AB527" s="164"/>
    </row>
    <row r="528">
      <c r="A528" s="164"/>
      <c r="B528" s="164"/>
      <c r="C528" s="9"/>
      <c r="D528" s="9"/>
      <c r="E528" s="9"/>
      <c r="F528" s="9"/>
      <c r="G528" s="164"/>
      <c r="H528" s="164"/>
      <c r="I528" s="164"/>
      <c r="J528" s="652"/>
      <c r="K528" s="164"/>
      <c r="L528" s="164"/>
      <c r="M528" s="164"/>
      <c r="N528" s="164"/>
      <c r="O528" s="164"/>
      <c r="P528" s="164"/>
      <c r="Q528" s="164"/>
      <c r="R528" s="164"/>
      <c r="S528" s="164"/>
      <c r="T528" s="164"/>
      <c r="U528" s="164"/>
      <c r="V528" s="164"/>
      <c r="W528" s="164"/>
      <c r="X528" s="164"/>
      <c r="Y528" s="164"/>
      <c r="Z528" s="164"/>
      <c r="AA528" s="164"/>
      <c r="AB528" s="164"/>
    </row>
    <row r="529">
      <c r="A529" s="164"/>
      <c r="B529" s="164"/>
      <c r="C529" s="9"/>
      <c r="D529" s="9"/>
      <c r="E529" s="9"/>
      <c r="F529" s="9"/>
      <c r="G529" s="164"/>
      <c r="H529" s="164"/>
      <c r="I529" s="164"/>
      <c r="J529" s="652"/>
      <c r="K529" s="164"/>
      <c r="L529" s="164"/>
      <c r="M529" s="164"/>
      <c r="N529" s="164"/>
      <c r="O529" s="164"/>
      <c r="P529" s="164"/>
      <c r="Q529" s="164"/>
      <c r="R529" s="164"/>
      <c r="S529" s="164"/>
      <c r="T529" s="164"/>
      <c r="U529" s="164"/>
      <c r="V529" s="164"/>
      <c r="W529" s="164"/>
      <c r="X529" s="164"/>
      <c r="Y529" s="164"/>
      <c r="Z529" s="164"/>
      <c r="AA529" s="164"/>
      <c r="AB529" s="164"/>
    </row>
    <row r="530">
      <c r="A530" s="164"/>
      <c r="B530" s="164"/>
      <c r="C530" s="9"/>
      <c r="D530" s="9"/>
      <c r="E530" s="9"/>
      <c r="F530" s="9"/>
      <c r="G530" s="164"/>
      <c r="H530" s="164"/>
      <c r="I530" s="164"/>
      <c r="J530" s="652"/>
      <c r="K530" s="164"/>
      <c r="L530" s="164"/>
      <c r="M530" s="164"/>
      <c r="N530" s="164"/>
      <c r="O530" s="164"/>
      <c r="P530" s="164"/>
      <c r="Q530" s="164"/>
      <c r="R530" s="164"/>
      <c r="S530" s="164"/>
      <c r="T530" s="164"/>
      <c r="U530" s="164"/>
      <c r="V530" s="164"/>
      <c r="W530" s="164"/>
      <c r="X530" s="164"/>
      <c r="Y530" s="164"/>
      <c r="Z530" s="164"/>
      <c r="AA530" s="164"/>
      <c r="AB530" s="164"/>
    </row>
    <row r="531">
      <c r="A531" s="164"/>
      <c r="B531" s="164"/>
      <c r="C531" s="9"/>
      <c r="D531" s="9"/>
      <c r="E531" s="9"/>
      <c r="F531" s="9"/>
      <c r="G531" s="164"/>
      <c r="H531" s="164"/>
      <c r="I531" s="164"/>
      <c r="J531" s="652"/>
      <c r="K531" s="164"/>
      <c r="L531" s="164"/>
      <c r="M531" s="164"/>
      <c r="N531" s="164"/>
      <c r="O531" s="164"/>
      <c r="P531" s="164"/>
      <c r="Q531" s="164"/>
      <c r="R531" s="164"/>
      <c r="S531" s="164"/>
      <c r="T531" s="164"/>
      <c r="U531" s="164"/>
      <c r="V531" s="164"/>
      <c r="W531" s="164"/>
      <c r="X531" s="164"/>
      <c r="Y531" s="164"/>
      <c r="Z531" s="164"/>
      <c r="AA531" s="164"/>
      <c r="AB531" s="164"/>
    </row>
    <row r="532">
      <c r="A532" s="164"/>
      <c r="B532" s="164"/>
      <c r="C532" s="9"/>
      <c r="D532" s="9"/>
      <c r="E532" s="9"/>
      <c r="F532" s="9"/>
      <c r="G532" s="164"/>
      <c r="H532" s="164"/>
      <c r="I532" s="164"/>
      <c r="J532" s="652"/>
      <c r="K532" s="164"/>
      <c r="L532" s="164"/>
      <c r="M532" s="164"/>
      <c r="N532" s="164"/>
      <c r="O532" s="164"/>
      <c r="P532" s="164"/>
      <c r="Q532" s="164"/>
      <c r="R532" s="164"/>
      <c r="S532" s="164"/>
      <c r="T532" s="164"/>
      <c r="U532" s="164"/>
      <c r="V532" s="164"/>
      <c r="W532" s="164"/>
      <c r="X532" s="164"/>
      <c r="Y532" s="164"/>
      <c r="Z532" s="164"/>
      <c r="AA532" s="164"/>
      <c r="AB532" s="164"/>
    </row>
    <row r="533">
      <c r="A533" s="164"/>
      <c r="B533" s="164"/>
      <c r="C533" s="9"/>
      <c r="D533" s="9"/>
      <c r="E533" s="9"/>
      <c r="F533" s="9"/>
      <c r="G533" s="164"/>
      <c r="H533" s="164"/>
      <c r="I533" s="164"/>
      <c r="J533" s="652"/>
      <c r="K533" s="164"/>
      <c r="L533" s="164"/>
      <c r="M533" s="164"/>
      <c r="N533" s="164"/>
      <c r="O533" s="164"/>
      <c r="P533" s="164"/>
      <c r="Q533" s="164"/>
      <c r="R533" s="164"/>
      <c r="S533" s="164"/>
      <c r="T533" s="164"/>
      <c r="U533" s="164"/>
      <c r="V533" s="164"/>
      <c r="W533" s="164"/>
      <c r="X533" s="164"/>
      <c r="Y533" s="164"/>
      <c r="Z533" s="164"/>
      <c r="AA533" s="164"/>
      <c r="AB533" s="164"/>
    </row>
    <row r="534">
      <c r="A534" s="164"/>
      <c r="B534" s="164"/>
      <c r="C534" s="9"/>
      <c r="D534" s="9"/>
      <c r="E534" s="9"/>
      <c r="F534" s="9"/>
      <c r="G534" s="164"/>
      <c r="H534" s="164"/>
      <c r="I534" s="164"/>
      <c r="J534" s="652"/>
      <c r="K534" s="164"/>
      <c r="L534" s="164"/>
      <c r="M534" s="164"/>
      <c r="N534" s="164"/>
      <c r="O534" s="164"/>
      <c r="P534" s="164"/>
      <c r="Q534" s="164"/>
      <c r="R534" s="164"/>
      <c r="S534" s="164"/>
      <c r="T534" s="164"/>
      <c r="U534" s="164"/>
      <c r="V534" s="164"/>
      <c r="W534" s="164"/>
      <c r="X534" s="164"/>
      <c r="Y534" s="164"/>
      <c r="Z534" s="164"/>
      <c r="AA534" s="164"/>
      <c r="AB534" s="164"/>
    </row>
    <row r="535">
      <c r="A535" s="164"/>
      <c r="B535" s="164"/>
      <c r="C535" s="9"/>
      <c r="D535" s="9"/>
      <c r="E535" s="9"/>
      <c r="F535" s="9"/>
      <c r="G535" s="164"/>
      <c r="H535" s="164"/>
      <c r="I535" s="164"/>
      <c r="J535" s="652"/>
      <c r="K535" s="164"/>
      <c r="L535" s="164"/>
      <c r="M535" s="164"/>
      <c r="N535" s="164"/>
      <c r="O535" s="164"/>
      <c r="P535" s="164"/>
      <c r="Q535" s="164"/>
      <c r="R535" s="164"/>
      <c r="S535" s="164"/>
      <c r="T535" s="164"/>
      <c r="U535" s="164"/>
      <c r="V535" s="164"/>
      <c r="W535" s="164"/>
      <c r="X535" s="164"/>
      <c r="Y535" s="164"/>
      <c r="Z535" s="164"/>
      <c r="AA535" s="164"/>
      <c r="AB535" s="164"/>
    </row>
    <row r="536">
      <c r="A536" s="164"/>
      <c r="B536" s="164"/>
      <c r="C536" s="9"/>
      <c r="D536" s="9"/>
      <c r="E536" s="9"/>
      <c r="F536" s="9"/>
      <c r="G536" s="164"/>
      <c r="H536" s="164"/>
      <c r="I536" s="164"/>
      <c r="J536" s="652"/>
      <c r="K536" s="164"/>
      <c r="L536" s="164"/>
      <c r="M536" s="164"/>
      <c r="N536" s="164"/>
      <c r="O536" s="164"/>
      <c r="P536" s="164"/>
      <c r="Q536" s="164"/>
      <c r="R536" s="164"/>
      <c r="S536" s="164"/>
      <c r="T536" s="164"/>
      <c r="U536" s="164"/>
      <c r="V536" s="164"/>
      <c r="W536" s="164"/>
      <c r="X536" s="164"/>
      <c r="Y536" s="164"/>
      <c r="Z536" s="164"/>
      <c r="AA536" s="164"/>
      <c r="AB536" s="164"/>
    </row>
    <row r="537">
      <c r="A537" s="164"/>
      <c r="B537" s="164"/>
      <c r="C537" s="9"/>
      <c r="D537" s="9"/>
      <c r="E537" s="9"/>
      <c r="F537" s="9"/>
      <c r="G537" s="164"/>
      <c r="H537" s="164"/>
      <c r="I537" s="164"/>
      <c r="J537" s="652"/>
      <c r="K537" s="164"/>
      <c r="L537" s="164"/>
      <c r="M537" s="164"/>
      <c r="N537" s="164"/>
      <c r="O537" s="164"/>
      <c r="P537" s="164"/>
      <c r="Q537" s="164"/>
      <c r="R537" s="164"/>
      <c r="S537" s="164"/>
      <c r="T537" s="164"/>
      <c r="U537" s="164"/>
      <c r="V537" s="164"/>
      <c r="W537" s="164"/>
      <c r="X537" s="164"/>
      <c r="Y537" s="164"/>
      <c r="Z537" s="164"/>
      <c r="AA537" s="164"/>
      <c r="AB537" s="164"/>
    </row>
    <row r="538">
      <c r="A538" s="164"/>
      <c r="B538" s="164"/>
      <c r="C538" s="9"/>
      <c r="D538" s="9"/>
      <c r="E538" s="9"/>
      <c r="F538" s="9"/>
      <c r="G538" s="164"/>
      <c r="H538" s="164"/>
      <c r="I538" s="164"/>
      <c r="J538" s="652"/>
      <c r="K538" s="164"/>
      <c r="L538" s="164"/>
      <c r="M538" s="164"/>
      <c r="N538" s="164"/>
      <c r="O538" s="164"/>
      <c r="P538" s="164"/>
      <c r="Q538" s="164"/>
      <c r="R538" s="164"/>
      <c r="S538" s="164"/>
      <c r="T538" s="164"/>
      <c r="U538" s="164"/>
      <c r="V538" s="164"/>
      <c r="W538" s="164"/>
      <c r="X538" s="164"/>
      <c r="Y538" s="164"/>
      <c r="Z538" s="164"/>
      <c r="AA538" s="164"/>
      <c r="AB538" s="164"/>
    </row>
    <row r="539">
      <c r="A539" s="164"/>
      <c r="B539" s="164"/>
      <c r="C539" s="9"/>
      <c r="D539" s="9"/>
      <c r="E539" s="9"/>
      <c r="F539" s="9"/>
      <c r="G539" s="164"/>
      <c r="H539" s="164"/>
      <c r="I539" s="164"/>
      <c r="J539" s="652"/>
      <c r="K539" s="164"/>
      <c r="L539" s="164"/>
      <c r="M539" s="164"/>
      <c r="N539" s="164"/>
      <c r="O539" s="164"/>
      <c r="P539" s="164"/>
      <c r="Q539" s="164"/>
      <c r="R539" s="164"/>
      <c r="S539" s="164"/>
      <c r="T539" s="164"/>
      <c r="U539" s="164"/>
      <c r="V539" s="164"/>
      <c r="W539" s="164"/>
      <c r="X539" s="164"/>
      <c r="Y539" s="164"/>
      <c r="Z539" s="164"/>
      <c r="AA539" s="164"/>
      <c r="AB539" s="164"/>
    </row>
    <row r="540">
      <c r="A540" s="164"/>
      <c r="B540" s="164"/>
      <c r="C540" s="9"/>
      <c r="D540" s="9"/>
      <c r="E540" s="9"/>
      <c r="F540" s="9"/>
      <c r="G540" s="164"/>
      <c r="H540" s="164"/>
      <c r="I540" s="164"/>
      <c r="J540" s="652"/>
      <c r="K540" s="164"/>
      <c r="L540" s="164"/>
      <c r="M540" s="164"/>
      <c r="N540" s="164"/>
      <c r="O540" s="164"/>
      <c r="P540" s="164"/>
      <c r="Q540" s="164"/>
      <c r="R540" s="164"/>
      <c r="S540" s="164"/>
      <c r="T540" s="164"/>
      <c r="U540" s="164"/>
      <c r="V540" s="164"/>
      <c r="W540" s="164"/>
      <c r="X540" s="164"/>
      <c r="Y540" s="164"/>
      <c r="Z540" s="164"/>
      <c r="AA540" s="164"/>
      <c r="AB540" s="164"/>
    </row>
    <row r="541">
      <c r="A541" s="164"/>
      <c r="B541" s="164"/>
      <c r="C541" s="9"/>
      <c r="D541" s="9"/>
      <c r="E541" s="9"/>
      <c r="F541" s="9"/>
      <c r="G541" s="164"/>
      <c r="H541" s="164"/>
      <c r="I541" s="164"/>
      <c r="J541" s="652"/>
      <c r="K541" s="164"/>
      <c r="L541" s="164"/>
      <c r="M541" s="164"/>
      <c r="N541" s="164"/>
      <c r="O541" s="164"/>
      <c r="P541" s="164"/>
      <c r="Q541" s="164"/>
      <c r="R541" s="164"/>
      <c r="S541" s="164"/>
      <c r="T541" s="164"/>
      <c r="U541" s="164"/>
      <c r="V541" s="164"/>
      <c r="W541" s="164"/>
      <c r="X541" s="164"/>
      <c r="Y541" s="164"/>
      <c r="Z541" s="164"/>
      <c r="AA541" s="164"/>
      <c r="AB541" s="164"/>
    </row>
    <row r="542">
      <c r="A542" s="164"/>
      <c r="B542" s="164"/>
      <c r="C542" s="9"/>
      <c r="D542" s="9"/>
      <c r="E542" s="9"/>
      <c r="F542" s="9"/>
      <c r="G542" s="164"/>
      <c r="H542" s="164"/>
      <c r="I542" s="164"/>
      <c r="J542" s="652"/>
      <c r="K542" s="164"/>
      <c r="L542" s="164"/>
      <c r="M542" s="164"/>
      <c r="N542" s="164"/>
      <c r="O542" s="164"/>
      <c r="P542" s="164"/>
      <c r="Q542" s="164"/>
      <c r="R542" s="164"/>
      <c r="S542" s="164"/>
      <c r="T542" s="164"/>
      <c r="U542" s="164"/>
      <c r="V542" s="164"/>
      <c r="W542" s="164"/>
      <c r="X542" s="164"/>
      <c r="Y542" s="164"/>
      <c r="Z542" s="164"/>
      <c r="AA542" s="164"/>
      <c r="AB542" s="164"/>
    </row>
    <row r="543">
      <c r="A543" s="164"/>
      <c r="B543" s="164"/>
      <c r="C543" s="9"/>
      <c r="D543" s="9"/>
      <c r="E543" s="9"/>
      <c r="F543" s="9"/>
      <c r="G543" s="164"/>
      <c r="H543" s="164"/>
      <c r="I543" s="164"/>
      <c r="J543" s="652"/>
      <c r="K543" s="164"/>
      <c r="L543" s="164"/>
      <c r="M543" s="164"/>
      <c r="N543" s="164"/>
      <c r="O543" s="164"/>
      <c r="P543" s="164"/>
      <c r="Q543" s="164"/>
      <c r="R543" s="164"/>
      <c r="S543" s="164"/>
      <c r="T543" s="164"/>
      <c r="U543" s="164"/>
      <c r="V543" s="164"/>
      <c r="W543" s="164"/>
      <c r="X543" s="164"/>
      <c r="Y543" s="164"/>
      <c r="Z543" s="164"/>
      <c r="AA543" s="164"/>
      <c r="AB543" s="164"/>
    </row>
    <row r="544">
      <c r="A544" s="164"/>
      <c r="B544" s="164"/>
      <c r="C544" s="9"/>
      <c r="D544" s="9"/>
      <c r="E544" s="9"/>
      <c r="F544" s="9"/>
      <c r="G544" s="164"/>
      <c r="H544" s="164"/>
      <c r="I544" s="164"/>
      <c r="J544" s="652"/>
      <c r="K544" s="164"/>
      <c r="L544" s="164"/>
      <c r="M544" s="164"/>
      <c r="N544" s="164"/>
      <c r="O544" s="164"/>
      <c r="P544" s="164"/>
      <c r="Q544" s="164"/>
      <c r="R544" s="164"/>
      <c r="S544" s="164"/>
      <c r="T544" s="164"/>
      <c r="U544" s="164"/>
      <c r="V544" s="164"/>
      <c r="W544" s="164"/>
      <c r="X544" s="164"/>
      <c r="Y544" s="164"/>
      <c r="Z544" s="164"/>
      <c r="AA544" s="164"/>
      <c r="AB544" s="164"/>
    </row>
    <row r="545">
      <c r="A545" s="164"/>
      <c r="B545" s="164"/>
      <c r="C545" s="9"/>
      <c r="D545" s="9"/>
      <c r="E545" s="9"/>
      <c r="F545" s="9"/>
      <c r="G545" s="164"/>
      <c r="H545" s="164"/>
      <c r="I545" s="164"/>
      <c r="J545" s="652"/>
      <c r="K545" s="164"/>
      <c r="L545" s="164"/>
      <c r="M545" s="164"/>
      <c r="N545" s="164"/>
      <c r="O545" s="164"/>
      <c r="P545" s="164"/>
      <c r="Q545" s="164"/>
      <c r="R545" s="164"/>
      <c r="S545" s="164"/>
      <c r="T545" s="164"/>
      <c r="U545" s="164"/>
      <c r="V545" s="164"/>
      <c r="W545" s="164"/>
      <c r="X545" s="164"/>
      <c r="Y545" s="164"/>
      <c r="Z545" s="164"/>
      <c r="AA545" s="164"/>
      <c r="AB545" s="164"/>
    </row>
    <row r="546">
      <c r="A546" s="164"/>
      <c r="B546" s="164"/>
      <c r="C546" s="9"/>
      <c r="D546" s="9"/>
      <c r="E546" s="9"/>
      <c r="F546" s="9"/>
      <c r="G546" s="164"/>
      <c r="H546" s="164"/>
      <c r="I546" s="164"/>
      <c r="J546" s="652"/>
      <c r="K546" s="164"/>
      <c r="L546" s="164"/>
      <c r="M546" s="164"/>
      <c r="N546" s="164"/>
      <c r="O546" s="164"/>
      <c r="P546" s="164"/>
      <c r="Q546" s="164"/>
      <c r="R546" s="164"/>
      <c r="S546" s="164"/>
      <c r="T546" s="164"/>
      <c r="U546" s="164"/>
      <c r="V546" s="164"/>
      <c r="W546" s="164"/>
      <c r="X546" s="164"/>
      <c r="Y546" s="164"/>
      <c r="Z546" s="164"/>
      <c r="AA546" s="164"/>
      <c r="AB546" s="164"/>
    </row>
    <row r="547">
      <c r="A547" s="164"/>
      <c r="B547" s="164"/>
      <c r="C547" s="9"/>
      <c r="D547" s="9"/>
      <c r="E547" s="9"/>
      <c r="F547" s="9"/>
      <c r="G547" s="164"/>
      <c r="H547" s="164"/>
      <c r="I547" s="164"/>
      <c r="J547" s="652"/>
      <c r="K547" s="164"/>
      <c r="L547" s="164"/>
      <c r="M547" s="164"/>
      <c r="N547" s="164"/>
      <c r="O547" s="164"/>
      <c r="P547" s="164"/>
      <c r="Q547" s="164"/>
      <c r="R547" s="164"/>
      <c r="S547" s="164"/>
      <c r="T547" s="164"/>
      <c r="U547" s="164"/>
      <c r="V547" s="164"/>
      <c r="W547" s="164"/>
      <c r="X547" s="164"/>
      <c r="Y547" s="164"/>
      <c r="Z547" s="164"/>
      <c r="AA547" s="164"/>
      <c r="AB547" s="164"/>
    </row>
    <row r="548">
      <c r="A548" s="164"/>
      <c r="B548" s="164"/>
      <c r="C548" s="9"/>
      <c r="D548" s="9"/>
      <c r="E548" s="9"/>
      <c r="F548" s="9"/>
      <c r="G548" s="164"/>
      <c r="H548" s="164"/>
      <c r="I548" s="164"/>
      <c r="J548" s="652"/>
      <c r="K548" s="164"/>
      <c r="L548" s="164"/>
      <c r="M548" s="164"/>
      <c r="N548" s="164"/>
      <c r="O548" s="164"/>
      <c r="P548" s="164"/>
      <c r="Q548" s="164"/>
      <c r="R548" s="164"/>
      <c r="S548" s="164"/>
      <c r="T548" s="164"/>
      <c r="U548" s="164"/>
      <c r="V548" s="164"/>
      <c r="W548" s="164"/>
      <c r="X548" s="164"/>
      <c r="Y548" s="164"/>
      <c r="Z548" s="164"/>
      <c r="AA548" s="164"/>
      <c r="AB548" s="164"/>
    </row>
    <row r="549">
      <c r="A549" s="164"/>
      <c r="B549" s="164"/>
      <c r="C549" s="9"/>
      <c r="D549" s="9"/>
      <c r="E549" s="9"/>
      <c r="F549" s="9"/>
      <c r="G549" s="164"/>
      <c r="H549" s="164"/>
      <c r="I549" s="164"/>
      <c r="J549" s="652"/>
      <c r="K549" s="164"/>
      <c r="L549" s="164"/>
      <c r="M549" s="164"/>
      <c r="N549" s="164"/>
      <c r="O549" s="164"/>
      <c r="P549" s="164"/>
      <c r="Q549" s="164"/>
      <c r="R549" s="164"/>
      <c r="S549" s="164"/>
      <c r="T549" s="164"/>
      <c r="U549" s="164"/>
      <c r="V549" s="164"/>
      <c r="W549" s="164"/>
      <c r="X549" s="164"/>
      <c r="Y549" s="164"/>
      <c r="Z549" s="164"/>
      <c r="AA549" s="164"/>
      <c r="AB549" s="164"/>
    </row>
    <row r="550">
      <c r="A550" s="164"/>
      <c r="B550" s="164"/>
      <c r="C550" s="9"/>
      <c r="D550" s="9"/>
      <c r="E550" s="9"/>
      <c r="F550" s="9"/>
      <c r="G550" s="164"/>
      <c r="H550" s="164"/>
      <c r="I550" s="164"/>
      <c r="J550" s="652"/>
      <c r="K550" s="164"/>
      <c r="L550" s="164"/>
      <c r="M550" s="164"/>
      <c r="N550" s="164"/>
      <c r="O550" s="164"/>
      <c r="P550" s="164"/>
      <c r="Q550" s="164"/>
      <c r="R550" s="164"/>
      <c r="S550" s="164"/>
      <c r="T550" s="164"/>
      <c r="U550" s="164"/>
      <c r="V550" s="164"/>
      <c r="W550" s="164"/>
      <c r="X550" s="164"/>
      <c r="Y550" s="164"/>
      <c r="Z550" s="164"/>
      <c r="AA550" s="164"/>
      <c r="AB550" s="164"/>
    </row>
    <row r="551">
      <c r="A551" s="164"/>
      <c r="B551" s="164"/>
      <c r="C551" s="9"/>
      <c r="D551" s="9"/>
      <c r="E551" s="9"/>
      <c r="F551" s="9"/>
      <c r="G551" s="164"/>
      <c r="H551" s="164"/>
      <c r="I551" s="164"/>
      <c r="J551" s="652"/>
      <c r="K551" s="164"/>
      <c r="L551" s="164"/>
      <c r="M551" s="164"/>
      <c r="N551" s="164"/>
      <c r="O551" s="164"/>
      <c r="P551" s="164"/>
      <c r="Q551" s="164"/>
      <c r="R551" s="164"/>
      <c r="S551" s="164"/>
      <c r="T551" s="164"/>
      <c r="U551" s="164"/>
      <c r="V551" s="164"/>
      <c r="W551" s="164"/>
      <c r="X551" s="164"/>
      <c r="Y551" s="164"/>
      <c r="Z551" s="164"/>
      <c r="AA551" s="164"/>
      <c r="AB551" s="164"/>
    </row>
    <row r="552">
      <c r="A552" s="164"/>
      <c r="B552" s="164"/>
      <c r="C552" s="9"/>
      <c r="D552" s="9"/>
      <c r="E552" s="9"/>
      <c r="F552" s="9"/>
      <c r="G552" s="164"/>
      <c r="H552" s="164"/>
      <c r="I552" s="164"/>
      <c r="J552" s="652"/>
      <c r="K552" s="164"/>
      <c r="L552" s="164"/>
      <c r="M552" s="164"/>
      <c r="N552" s="164"/>
      <c r="O552" s="164"/>
      <c r="P552" s="164"/>
      <c r="Q552" s="164"/>
      <c r="R552" s="164"/>
      <c r="S552" s="164"/>
      <c r="T552" s="164"/>
      <c r="U552" s="164"/>
      <c r="V552" s="164"/>
      <c r="W552" s="164"/>
      <c r="X552" s="164"/>
      <c r="Y552" s="164"/>
      <c r="Z552" s="164"/>
      <c r="AA552" s="164"/>
      <c r="AB552" s="164"/>
    </row>
    <row r="553">
      <c r="A553" s="164"/>
      <c r="B553" s="164"/>
      <c r="C553" s="9"/>
      <c r="D553" s="9"/>
      <c r="E553" s="9"/>
      <c r="F553" s="9"/>
      <c r="G553" s="164"/>
      <c r="H553" s="164"/>
      <c r="I553" s="164"/>
      <c r="J553" s="652"/>
      <c r="K553" s="164"/>
      <c r="L553" s="164"/>
      <c r="M553" s="164"/>
      <c r="N553" s="164"/>
      <c r="O553" s="164"/>
      <c r="P553" s="164"/>
      <c r="Q553" s="164"/>
      <c r="R553" s="164"/>
      <c r="S553" s="164"/>
      <c r="T553" s="164"/>
      <c r="U553" s="164"/>
      <c r="V553" s="164"/>
      <c r="W553" s="164"/>
      <c r="X553" s="164"/>
      <c r="Y553" s="164"/>
      <c r="Z553" s="164"/>
      <c r="AA553" s="164"/>
      <c r="AB553" s="164"/>
    </row>
    <row r="554">
      <c r="A554" s="164"/>
      <c r="B554" s="164"/>
      <c r="C554" s="9"/>
      <c r="D554" s="9"/>
      <c r="E554" s="9"/>
      <c r="F554" s="9"/>
      <c r="G554" s="164"/>
      <c r="H554" s="164"/>
      <c r="I554" s="164"/>
      <c r="J554" s="652"/>
      <c r="K554" s="164"/>
      <c r="L554" s="164"/>
      <c r="M554" s="164"/>
      <c r="N554" s="164"/>
      <c r="O554" s="164"/>
      <c r="P554" s="164"/>
      <c r="Q554" s="164"/>
      <c r="R554" s="164"/>
      <c r="S554" s="164"/>
      <c r="T554" s="164"/>
      <c r="U554" s="164"/>
      <c r="V554" s="164"/>
      <c r="W554" s="164"/>
      <c r="X554" s="164"/>
      <c r="Y554" s="164"/>
      <c r="Z554" s="164"/>
      <c r="AA554" s="164"/>
      <c r="AB554" s="164"/>
    </row>
    <row r="555">
      <c r="A555" s="164"/>
      <c r="B555" s="164"/>
      <c r="C555" s="9"/>
      <c r="D555" s="9"/>
      <c r="E555" s="9"/>
      <c r="F555" s="9"/>
      <c r="G555" s="164"/>
      <c r="H555" s="164"/>
      <c r="I555" s="164"/>
      <c r="J555" s="652"/>
      <c r="K555" s="164"/>
      <c r="L555" s="164"/>
      <c r="M555" s="164"/>
      <c r="N555" s="164"/>
      <c r="O555" s="164"/>
      <c r="P555" s="164"/>
      <c r="Q555" s="164"/>
      <c r="R555" s="164"/>
      <c r="S555" s="164"/>
      <c r="T555" s="164"/>
      <c r="U555" s="164"/>
      <c r="V555" s="164"/>
      <c r="W555" s="164"/>
      <c r="X555" s="164"/>
      <c r="Y555" s="164"/>
      <c r="Z555" s="164"/>
      <c r="AA555" s="164"/>
      <c r="AB555" s="164"/>
    </row>
    <row r="556">
      <c r="A556" s="164"/>
      <c r="B556" s="164"/>
      <c r="C556" s="9"/>
      <c r="D556" s="9"/>
      <c r="E556" s="9"/>
      <c r="F556" s="9"/>
      <c r="G556" s="164"/>
      <c r="H556" s="164"/>
      <c r="I556" s="164"/>
      <c r="J556" s="652"/>
      <c r="K556" s="164"/>
      <c r="L556" s="164"/>
      <c r="M556" s="164"/>
      <c r="N556" s="164"/>
      <c r="O556" s="164"/>
      <c r="P556" s="164"/>
      <c r="Q556" s="164"/>
      <c r="R556" s="164"/>
      <c r="S556" s="164"/>
      <c r="T556" s="164"/>
      <c r="U556" s="164"/>
      <c r="V556" s="164"/>
      <c r="W556" s="164"/>
      <c r="X556" s="164"/>
      <c r="Y556" s="164"/>
      <c r="Z556" s="164"/>
      <c r="AA556" s="164"/>
      <c r="AB556" s="164"/>
    </row>
    <row r="557">
      <c r="A557" s="164"/>
      <c r="B557" s="164"/>
      <c r="C557" s="9"/>
      <c r="D557" s="9"/>
      <c r="E557" s="9"/>
      <c r="F557" s="9"/>
      <c r="G557" s="164"/>
      <c r="H557" s="164"/>
      <c r="I557" s="164"/>
      <c r="J557" s="652"/>
      <c r="K557" s="164"/>
      <c r="L557" s="164"/>
      <c r="M557" s="164"/>
      <c r="N557" s="164"/>
      <c r="O557" s="164"/>
      <c r="P557" s="164"/>
      <c r="Q557" s="164"/>
      <c r="R557" s="164"/>
      <c r="S557" s="164"/>
      <c r="T557" s="164"/>
      <c r="U557" s="164"/>
      <c r="V557" s="164"/>
      <c r="W557" s="164"/>
      <c r="X557" s="164"/>
      <c r="Y557" s="164"/>
      <c r="Z557" s="164"/>
      <c r="AA557" s="164"/>
      <c r="AB557" s="164"/>
    </row>
    <row r="558">
      <c r="A558" s="164"/>
      <c r="B558" s="164"/>
      <c r="C558" s="9"/>
      <c r="D558" s="9"/>
      <c r="E558" s="9"/>
      <c r="F558" s="9"/>
      <c r="G558" s="164"/>
      <c r="H558" s="164"/>
      <c r="I558" s="164"/>
      <c r="J558" s="652"/>
      <c r="K558" s="164"/>
      <c r="L558" s="164"/>
      <c r="M558" s="164"/>
      <c r="N558" s="164"/>
      <c r="O558" s="164"/>
      <c r="P558" s="164"/>
      <c r="Q558" s="164"/>
      <c r="R558" s="164"/>
      <c r="S558" s="164"/>
      <c r="T558" s="164"/>
      <c r="U558" s="164"/>
      <c r="V558" s="164"/>
      <c r="W558" s="164"/>
      <c r="X558" s="164"/>
      <c r="Y558" s="164"/>
      <c r="Z558" s="164"/>
      <c r="AA558" s="164"/>
      <c r="AB558" s="164"/>
    </row>
    <row r="559">
      <c r="A559" s="164"/>
      <c r="B559" s="164"/>
      <c r="C559" s="9"/>
      <c r="D559" s="9"/>
      <c r="E559" s="9"/>
      <c r="F559" s="9"/>
      <c r="G559" s="164"/>
      <c r="H559" s="164"/>
      <c r="I559" s="164"/>
      <c r="J559" s="652"/>
      <c r="K559" s="164"/>
      <c r="L559" s="164"/>
      <c r="M559" s="164"/>
      <c r="N559" s="164"/>
      <c r="O559" s="164"/>
      <c r="P559" s="164"/>
      <c r="Q559" s="164"/>
      <c r="R559" s="164"/>
      <c r="S559" s="164"/>
      <c r="T559" s="164"/>
      <c r="U559" s="164"/>
      <c r="V559" s="164"/>
      <c r="W559" s="164"/>
      <c r="X559" s="164"/>
      <c r="Y559" s="164"/>
      <c r="Z559" s="164"/>
      <c r="AA559" s="164"/>
      <c r="AB559" s="164"/>
    </row>
    <row r="560">
      <c r="A560" s="164"/>
      <c r="B560" s="164"/>
      <c r="C560" s="9"/>
      <c r="D560" s="9"/>
      <c r="E560" s="9"/>
      <c r="F560" s="9"/>
      <c r="G560" s="164"/>
      <c r="H560" s="164"/>
      <c r="I560" s="164"/>
      <c r="J560" s="652"/>
      <c r="K560" s="164"/>
      <c r="L560" s="164"/>
      <c r="M560" s="164"/>
      <c r="N560" s="164"/>
      <c r="O560" s="164"/>
      <c r="P560" s="164"/>
      <c r="Q560" s="164"/>
      <c r="R560" s="164"/>
      <c r="S560" s="164"/>
      <c r="T560" s="164"/>
      <c r="U560" s="164"/>
      <c r="V560" s="164"/>
      <c r="W560" s="164"/>
      <c r="X560" s="164"/>
      <c r="Y560" s="164"/>
      <c r="Z560" s="164"/>
      <c r="AA560" s="164"/>
      <c r="AB560" s="164"/>
    </row>
    <row r="561">
      <c r="A561" s="164"/>
      <c r="B561" s="164"/>
      <c r="C561" s="9"/>
      <c r="D561" s="9"/>
      <c r="E561" s="9"/>
      <c r="F561" s="9"/>
      <c r="G561" s="164"/>
      <c r="H561" s="164"/>
      <c r="I561" s="164"/>
      <c r="J561" s="652"/>
      <c r="K561" s="164"/>
      <c r="L561" s="164"/>
      <c r="M561" s="164"/>
      <c r="N561" s="164"/>
      <c r="O561" s="164"/>
      <c r="P561" s="164"/>
      <c r="Q561" s="164"/>
      <c r="R561" s="164"/>
      <c r="S561" s="164"/>
      <c r="T561" s="164"/>
      <c r="U561" s="164"/>
      <c r="V561" s="164"/>
      <c r="W561" s="164"/>
      <c r="X561" s="164"/>
      <c r="Y561" s="164"/>
      <c r="Z561" s="164"/>
      <c r="AA561" s="164"/>
      <c r="AB561" s="164"/>
    </row>
    <row r="562">
      <c r="A562" s="164"/>
      <c r="B562" s="164"/>
      <c r="C562" s="9"/>
      <c r="D562" s="9"/>
      <c r="E562" s="9"/>
      <c r="F562" s="9"/>
      <c r="G562" s="164"/>
      <c r="H562" s="164"/>
      <c r="I562" s="164"/>
      <c r="J562" s="652"/>
      <c r="K562" s="164"/>
      <c r="L562" s="164"/>
      <c r="M562" s="164"/>
      <c r="N562" s="164"/>
      <c r="O562" s="164"/>
      <c r="P562" s="164"/>
      <c r="Q562" s="164"/>
      <c r="R562" s="164"/>
      <c r="S562" s="164"/>
      <c r="T562" s="164"/>
      <c r="U562" s="164"/>
      <c r="V562" s="164"/>
      <c r="W562" s="164"/>
      <c r="X562" s="164"/>
      <c r="Y562" s="164"/>
      <c r="Z562" s="164"/>
      <c r="AA562" s="164"/>
      <c r="AB562" s="164"/>
    </row>
    <row r="563">
      <c r="A563" s="164"/>
      <c r="B563" s="164"/>
      <c r="C563" s="9"/>
      <c r="D563" s="9"/>
      <c r="E563" s="9"/>
      <c r="F563" s="9"/>
      <c r="G563" s="164"/>
      <c r="H563" s="164"/>
      <c r="I563" s="164"/>
      <c r="J563" s="652"/>
      <c r="K563" s="164"/>
      <c r="L563" s="164"/>
      <c r="M563" s="164"/>
      <c r="N563" s="164"/>
      <c r="O563" s="164"/>
      <c r="P563" s="164"/>
      <c r="Q563" s="164"/>
      <c r="R563" s="164"/>
      <c r="S563" s="164"/>
      <c r="T563" s="164"/>
      <c r="U563" s="164"/>
      <c r="V563" s="164"/>
      <c r="W563" s="164"/>
      <c r="X563" s="164"/>
      <c r="Y563" s="164"/>
      <c r="Z563" s="164"/>
      <c r="AA563" s="164"/>
      <c r="AB563" s="164"/>
    </row>
    <row r="564">
      <c r="A564" s="164"/>
      <c r="B564" s="164"/>
      <c r="C564" s="9"/>
      <c r="D564" s="9"/>
      <c r="E564" s="9"/>
      <c r="F564" s="9"/>
      <c r="G564" s="164"/>
      <c r="H564" s="164"/>
      <c r="I564" s="164"/>
      <c r="J564" s="652"/>
      <c r="K564" s="164"/>
      <c r="L564" s="164"/>
      <c r="M564" s="164"/>
      <c r="N564" s="164"/>
      <c r="O564" s="164"/>
      <c r="P564" s="164"/>
      <c r="Q564" s="164"/>
      <c r="R564" s="164"/>
      <c r="S564" s="164"/>
      <c r="T564" s="164"/>
      <c r="U564" s="164"/>
      <c r="V564" s="164"/>
      <c r="W564" s="164"/>
      <c r="X564" s="164"/>
      <c r="Y564" s="164"/>
      <c r="Z564" s="164"/>
      <c r="AA564" s="164"/>
      <c r="AB564" s="164"/>
    </row>
    <row r="565">
      <c r="A565" s="164"/>
      <c r="B565" s="164"/>
      <c r="C565" s="9"/>
      <c r="D565" s="9"/>
      <c r="E565" s="9"/>
      <c r="F565" s="9"/>
      <c r="G565" s="164"/>
      <c r="H565" s="164"/>
      <c r="I565" s="164"/>
      <c r="J565" s="652"/>
      <c r="K565" s="164"/>
      <c r="L565" s="164"/>
      <c r="M565" s="164"/>
      <c r="N565" s="164"/>
      <c r="O565" s="164"/>
      <c r="P565" s="164"/>
      <c r="Q565" s="164"/>
      <c r="R565" s="164"/>
      <c r="S565" s="164"/>
      <c r="T565" s="164"/>
      <c r="U565" s="164"/>
      <c r="V565" s="164"/>
      <c r="W565" s="164"/>
      <c r="X565" s="164"/>
      <c r="Y565" s="164"/>
      <c r="Z565" s="164"/>
      <c r="AA565" s="164"/>
      <c r="AB565" s="164"/>
    </row>
    <row r="566">
      <c r="A566" s="164"/>
      <c r="B566" s="164"/>
      <c r="C566" s="9"/>
      <c r="D566" s="9"/>
      <c r="E566" s="9"/>
      <c r="F566" s="9"/>
      <c r="G566" s="164"/>
      <c r="H566" s="164"/>
      <c r="I566" s="164"/>
      <c r="J566" s="652"/>
      <c r="K566" s="164"/>
      <c r="L566" s="164"/>
      <c r="M566" s="164"/>
      <c r="N566" s="164"/>
      <c r="O566" s="164"/>
      <c r="P566" s="164"/>
      <c r="Q566" s="164"/>
      <c r="R566" s="164"/>
      <c r="S566" s="164"/>
      <c r="T566" s="164"/>
      <c r="U566" s="164"/>
      <c r="V566" s="164"/>
      <c r="W566" s="164"/>
      <c r="X566" s="164"/>
      <c r="Y566" s="164"/>
      <c r="Z566" s="164"/>
      <c r="AA566" s="164"/>
      <c r="AB566" s="164"/>
    </row>
    <row r="567">
      <c r="A567" s="164"/>
      <c r="B567" s="164"/>
      <c r="C567" s="9"/>
      <c r="D567" s="9"/>
      <c r="E567" s="9"/>
      <c r="F567" s="9"/>
      <c r="G567" s="164"/>
      <c r="H567" s="164"/>
      <c r="I567" s="164"/>
      <c r="J567" s="652"/>
      <c r="K567" s="164"/>
      <c r="L567" s="164"/>
      <c r="M567" s="164"/>
      <c r="N567" s="164"/>
      <c r="O567" s="164"/>
      <c r="P567" s="164"/>
      <c r="Q567" s="164"/>
      <c r="R567" s="164"/>
      <c r="S567" s="164"/>
      <c r="T567" s="164"/>
      <c r="U567" s="164"/>
      <c r="V567" s="164"/>
      <c r="W567" s="164"/>
      <c r="X567" s="164"/>
      <c r="Y567" s="164"/>
      <c r="Z567" s="164"/>
      <c r="AA567" s="164"/>
      <c r="AB567" s="164"/>
    </row>
    <row r="568">
      <c r="A568" s="164"/>
      <c r="B568" s="164"/>
      <c r="C568" s="9"/>
      <c r="D568" s="9"/>
      <c r="E568" s="9"/>
      <c r="F568" s="9"/>
      <c r="G568" s="164"/>
      <c r="H568" s="164"/>
      <c r="I568" s="164"/>
      <c r="J568" s="652"/>
      <c r="K568" s="164"/>
      <c r="L568" s="164"/>
      <c r="M568" s="164"/>
      <c r="N568" s="164"/>
      <c r="O568" s="164"/>
      <c r="P568" s="164"/>
      <c r="Q568" s="164"/>
      <c r="R568" s="164"/>
      <c r="S568" s="164"/>
      <c r="T568" s="164"/>
      <c r="U568" s="164"/>
      <c r="V568" s="164"/>
      <c r="W568" s="164"/>
      <c r="X568" s="164"/>
      <c r="Y568" s="164"/>
      <c r="Z568" s="164"/>
      <c r="AA568" s="164"/>
      <c r="AB568" s="164"/>
    </row>
    <row r="569">
      <c r="A569" s="164"/>
      <c r="B569" s="164"/>
      <c r="C569" s="9"/>
      <c r="D569" s="9"/>
      <c r="E569" s="9"/>
      <c r="F569" s="9"/>
      <c r="G569" s="164"/>
      <c r="H569" s="164"/>
      <c r="I569" s="164"/>
      <c r="J569" s="652"/>
      <c r="K569" s="164"/>
      <c r="L569" s="164"/>
      <c r="M569" s="164"/>
      <c r="N569" s="164"/>
      <c r="O569" s="164"/>
      <c r="P569" s="164"/>
      <c r="Q569" s="164"/>
      <c r="R569" s="164"/>
      <c r="S569" s="164"/>
      <c r="T569" s="164"/>
      <c r="U569" s="164"/>
      <c r="V569" s="164"/>
      <c r="W569" s="164"/>
      <c r="X569" s="164"/>
      <c r="Y569" s="164"/>
      <c r="Z569" s="164"/>
      <c r="AA569" s="164"/>
      <c r="AB569" s="164"/>
    </row>
    <row r="570">
      <c r="A570" s="164"/>
      <c r="B570" s="164"/>
      <c r="C570" s="9"/>
      <c r="D570" s="9"/>
      <c r="E570" s="9"/>
      <c r="F570" s="9"/>
      <c r="G570" s="164"/>
      <c r="H570" s="164"/>
      <c r="I570" s="164"/>
      <c r="J570" s="652"/>
      <c r="K570" s="164"/>
      <c r="L570" s="164"/>
      <c r="M570" s="164"/>
      <c r="N570" s="164"/>
      <c r="O570" s="164"/>
      <c r="P570" s="164"/>
      <c r="Q570" s="164"/>
      <c r="R570" s="164"/>
      <c r="S570" s="164"/>
      <c r="T570" s="164"/>
      <c r="U570" s="164"/>
      <c r="V570" s="164"/>
      <c r="W570" s="164"/>
      <c r="X570" s="164"/>
      <c r="Y570" s="164"/>
      <c r="Z570" s="164"/>
      <c r="AA570" s="164"/>
      <c r="AB570" s="164"/>
    </row>
    <row r="571">
      <c r="A571" s="164"/>
      <c r="B571" s="164"/>
      <c r="C571" s="9"/>
      <c r="D571" s="9"/>
      <c r="E571" s="9"/>
      <c r="F571" s="9"/>
      <c r="G571" s="164"/>
      <c r="H571" s="164"/>
      <c r="I571" s="164"/>
      <c r="J571" s="652"/>
      <c r="K571" s="164"/>
      <c r="L571" s="164"/>
      <c r="M571" s="164"/>
      <c r="N571" s="164"/>
      <c r="O571" s="164"/>
      <c r="P571" s="164"/>
      <c r="Q571" s="164"/>
      <c r="R571" s="164"/>
      <c r="S571" s="164"/>
      <c r="T571" s="164"/>
      <c r="U571" s="164"/>
      <c r="V571" s="164"/>
      <c r="W571" s="164"/>
      <c r="X571" s="164"/>
      <c r="Y571" s="164"/>
      <c r="Z571" s="164"/>
      <c r="AA571" s="164"/>
      <c r="AB571" s="164"/>
    </row>
    <row r="572">
      <c r="A572" s="164"/>
      <c r="B572" s="164"/>
      <c r="C572" s="9"/>
      <c r="D572" s="9"/>
      <c r="E572" s="9"/>
      <c r="F572" s="9"/>
      <c r="G572" s="164"/>
      <c r="H572" s="164"/>
      <c r="I572" s="164"/>
      <c r="J572" s="652"/>
      <c r="K572" s="164"/>
      <c r="L572" s="164"/>
      <c r="M572" s="164"/>
      <c r="N572" s="164"/>
      <c r="O572" s="164"/>
      <c r="P572" s="164"/>
      <c r="Q572" s="164"/>
      <c r="R572" s="164"/>
      <c r="S572" s="164"/>
      <c r="T572" s="164"/>
      <c r="U572" s="164"/>
      <c r="V572" s="164"/>
      <c r="W572" s="164"/>
      <c r="X572" s="164"/>
      <c r="Y572" s="164"/>
      <c r="Z572" s="164"/>
      <c r="AA572" s="164"/>
      <c r="AB572" s="164"/>
    </row>
    <row r="573">
      <c r="A573" s="164"/>
      <c r="B573" s="164"/>
      <c r="C573" s="9"/>
      <c r="D573" s="9"/>
      <c r="E573" s="9"/>
      <c r="F573" s="9"/>
      <c r="G573" s="164"/>
      <c r="H573" s="164"/>
      <c r="I573" s="164"/>
      <c r="J573" s="652"/>
      <c r="K573" s="164"/>
      <c r="L573" s="164"/>
      <c r="M573" s="164"/>
      <c r="N573" s="164"/>
      <c r="O573" s="164"/>
      <c r="P573" s="164"/>
      <c r="Q573" s="164"/>
      <c r="R573" s="164"/>
      <c r="S573" s="164"/>
      <c r="T573" s="164"/>
      <c r="U573" s="164"/>
      <c r="V573" s="164"/>
      <c r="W573" s="164"/>
      <c r="X573" s="164"/>
      <c r="Y573" s="164"/>
      <c r="Z573" s="164"/>
      <c r="AA573" s="164"/>
      <c r="AB573" s="164"/>
    </row>
    <row r="574">
      <c r="A574" s="164"/>
      <c r="B574" s="164"/>
      <c r="C574" s="9"/>
      <c r="D574" s="9"/>
      <c r="E574" s="9"/>
      <c r="F574" s="9"/>
      <c r="G574" s="164"/>
      <c r="H574" s="164"/>
      <c r="I574" s="164"/>
      <c r="J574" s="652"/>
      <c r="K574" s="164"/>
      <c r="L574" s="164"/>
      <c r="M574" s="164"/>
      <c r="N574" s="164"/>
      <c r="O574" s="164"/>
      <c r="P574" s="164"/>
      <c r="Q574" s="164"/>
      <c r="R574" s="164"/>
      <c r="S574" s="164"/>
      <c r="T574" s="164"/>
      <c r="U574" s="164"/>
      <c r="V574" s="164"/>
      <c r="W574" s="164"/>
      <c r="X574" s="164"/>
      <c r="Y574" s="164"/>
      <c r="Z574" s="164"/>
      <c r="AA574" s="164"/>
      <c r="AB574" s="164"/>
    </row>
    <row r="575">
      <c r="A575" s="164"/>
      <c r="B575" s="164"/>
      <c r="C575" s="9"/>
      <c r="D575" s="9"/>
      <c r="E575" s="9"/>
      <c r="F575" s="9"/>
      <c r="G575" s="164"/>
      <c r="H575" s="164"/>
      <c r="I575" s="164"/>
      <c r="J575" s="652"/>
      <c r="K575" s="164"/>
      <c r="L575" s="164"/>
      <c r="M575" s="164"/>
      <c r="N575" s="164"/>
      <c r="O575" s="164"/>
      <c r="P575" s="164"/>
      <c r="Q575" s="164"/>
      <c r="R575" s="164"/>
      <c r="S575" s="164"/>
      <c r="T575" s="164"/>
      <c r="U575" s="164"/>
      <c r="V575" s="164"/>
      <c r="W575" s="164"/>
      <c r="X575" s="164"/>
      <c r="Y575" s="164"/>
      <c r="Z575" s="164"/>
      <c r="AA575" s="164"/>
      <c r="AB575" s="164"/>
    </row>
    <row r="576">
      <c r="A576" s="164"/>
      <c r="B576" s="164"/>
      <c r="C576" s="9"/>
      <c r="D576" s="9"/>
      <c r="E576" s="9"/>
      <c r="F576" s="9"/>
      <c r="G576" s="164"/>
      <c r="H576" s="164"/>
      <c r="I576" s="164"/>
      <c r="J576" s="652"/>
      <c r="K576" s="164"/>
      <c r="L576" s="164"/>
      <c r="M576" s="164"/>
      <c r="N576" s="164"/>
      <c r="O576" s="164"/>
      <c r="P576" s="164"/>
      <c r="Q576" s="164"/>
      <c r="R576" s="164"/>
      <c r="S576" s="164"/>
      <c r="T576" s="164"/>
      <c r="U576" s="164"/>
      <c r="V576" s="164"/>
      <c r="W576" s="164"/>
      <c r="X576" s="164"/>
      <c r="Y576" s="164"/>
      <c r="Z576" s="164"/>
      <c r="AA576" s="164"/>
      <c r="AB576" s="164"/>
    </row>
    <row r="577">
      <c r="A577" s="164"/>
      <c r="B577" s="164"/>
      <c r="C577" s="9"/>
      <c r="D577" s="9"/>
      <c r="E577" s="9"/>
      <c r="F577" s="9"/>
      <c r="G577" s="164"/>
      <c r="H577" s="164"/>
      <c r="I577" s="164"/>
      <c r="J577" s="652"/>
      <c r="K577" s="164"/>
      <c r="L577" s="164"/>
      <c r="M577" s="164"/>
      <c r="N577" s="164"/>
      <c r="O577" s="164"/>
      <c r="P577" s="164"/>
      <c r="Q577" s="164"/>
      <c r="R577" s="164"/>
      <c r="S577" s="164"/>
      <c r="T577" s="164"/>
      <c r="U577" s="164"/>
      <c r="V577" s="164"/>
      <c r="W577" s="164"/>
      <c r="X577" s="164"/>
      <c r="Y577" s="164"/>
      <c r="Z577" s="164"/>
      <c r="AA577" s="164"/>
      <c r="AB577" s="164"/>
    </row>
    <row r="578">
      <c r="A578" s="164"/>
      <c r="B578" s="164"/>
      <c r="C578" s="9"/>
      <c r="D578" s="9"/>
      <c r="E578" s="9"/>
      <c r="F578" s="9"/>
      <c r="G578" s="164"/>
      <c r="H578" s="164"/>
      <c r="I578" s="164"/>
      <c r="J578" s="652"/>
      <c r="K578" s="164"/>
      <c r="L578" s="164"/>
      <c r="M578" s="164"/>
      <c r="N578" s="164"/>
      <c r="O578" s="164"/>
      <c r="P578" s="164"/>
      <c r="Q578" s="164"/>
      <c r="R578" s="164"/>
      <c r="S578" s="164"/>
      <c r="T578" s="164"/>
      <c r="U578" s="164"/>
      <c r="V578" s="164"/>
      <c r="W578" s="164"/>
      <c r="X578" s="164"/>
      <c r="Y578" s="164"/>
      <c r="Z578" s="164"/>
      <c r="AA578" s="164"/>
      <c r="AB578" s="164"/>
    </row>
    <row r="579">
      <c r="A579" s="164"/>
      <c r="B579" s="164"/>
      <c r="C579" s="9"/>
      <c r="D579" s="9"/>
      <c r="E579" s="9"/>
      <c r="F579" s="9"/>
      <c r="G579" s="164"/>
      <c r="H579" s="164"/>
      <c r="I579" s="164"/>
      <c r="J579" s="652"/>
      <c r="K579" s="164"/>
      <c r="L579" s="164"/>
      <c r="M579" s="164"/>
      <c r="N579" s="164"/>
      <c r="O579" s="164"/>
      <c r="P579" s="164"/>
      <c r="Q579" s="164"/>
      <c r="R579" s="164"/>
      <c r="S579" s="164"/>
      <c r="T579" s="164"/>
      <c r="U579" s="164"/>
      <c r="V579" s="164"/>
      <c r="W579" s="164"/>
      <c r="X579" s="164"/>
      <c r="Y579" s="164"/>
      <c r="Z579" s="164"/>
      <c r="AA579" s="164"/>
      <c r="AB579" s="164"/>
    </row>
    <row r="580">
      <c r="A580" s="164"/>
      <c r="B580" s="164"/>
      <c r="C580" s="9"/>
      <c r="D580" s="9"/>
      <c r="E580" s="9"/>
      <c r="F580" s="9"/>
      <c r="G580" s="164"/>
      <c r="H580" s="164"/>
      <c r="I580" s="164"/>
      <c r="J580" s="652"/>
      <c r="K580" s="164"/>
      <c r="L580" s="164"/>
      <c r="M580" s="164"/>
      <c r="N580" s="164"/>
      <c r="O580" s="164"/>
      <c r="P580" s="164"/>
      <c r="Q580" s="164"/>
      <c r="R580" s="164"/>
      <c r="S580" s="164"/>
      <c r="T580" s="164"/>
      <c r="U580" s="164"/>
      <c r="V580" s="164"/>
      <c r="W580" s="164"/>
      <c r="X580" s="164"/>
      <c r="Y580" s="164"/>
      <c r="Z580" s="164"/>
      <c r="AA580" s="164"/>
      <c r="AB580" s="164"/>
    </row>
    <row r="581">
      <c r="A581" s="164"/>
      <c r="B581" s="164"/>
      <c r="C581" s="9"/>
      <c r="D581" s="9"/>
      <c r="E581" s="9"/>
      <c r="F581" s="9"/>
      <c r="G581" s="164"/>
      <c r="H581" s="164"/>
      <c r="I581" s="164"/>
      <c r="J581" s="652"/>
      <c r="K581" s="164"/>
      <c r="L581" s="164"/>
      <c r="M581" s="164"/>
      <c r="N581" s="164"/>
      <c r="O581" s="164"/>
      <c r="P581" s="164"/>
      <c r="Q581" s="164"/>
      <c r="R581" s="164"/>
      <c r="S581" s="164"/>
      <c r="T581" s="164"/>
      <c r="U581" s="164"/>
      <c r="V581" s="164"/>
      <c r="W581" s="164"/>
      <c r="X581" s="164"/>
      <c r="Y581" s="164"/>
      <c r="Z581" s="164"/>
      <c r="AA581" s="164"/>
      <c r="AB581" s="164"/>
    </row>
    <row r="582">
      <c r="A582" s="164"/>
      <c r="B582" s="164"/>
      <c r="C582" s="9"/>
      <c r="D582" s="9"/>
      <c r="E582" s="9"/>
      <c r="F582" s="9"/>
      <c r="G582" s="164"/>
      <c r="H582" s="164"/>
      <c r="I582" s="164"/>
      <c r="J582" s="652"/>
      <c r="K582" s="164"/>
      <c r="L582" s="164"/>
      <c r="M582" s="164"/>
      <c r="N582" s="164"/>
      <c r="O582" s="164"/>
      <c r="P582" s="164"/>
      <c r="Q582" s="164"/>
      <c r="R582" s="164"/>
      <c r="S582" s="164"/>
      <c r="T582" s="164"/>
      <c r="U582" s="164"/>
      <c r="V582" s="164"/>
      <c r="W582" s="164"/>
      <c r="X582" s="164"/>
      <c r="Y582" s="164"/>
      <c r="Z582" s="164"/>
      <c r="AA582" s="164"/>
      <c r="AB582" s="164"/>
    </row>
    <row r="583">
      <c r="A583" s="164"/>
      <c r="B583" s="164"/>
      <c r="C583" s="9"/>
      <c r="D583" s="9"/>
      <c r="E583" s="9"/>
      <c r="F583" s="9"/>
      <c r="G583" s="164"/>
      <c r="H583" s="164"/>
      <c r="I583" s="164"/>
      <c r="J583" s="652"/>
      <c r="K583" s="164"/>
      <c r="L583" s="164"/>
      <c r="M583" s="164"/>
      <c r="N583" s="164"/>
      <c r="O583" s="164"/>
      <c r="P583" s="164"/>
      <c r="Q583" s="164"/>
      <c r="R583" s="164"/>
      <c r="S583" s="164"/>
      <c r="T583" s="164"/>
      <c r="U583" s="164"/>
      <c r="V583" s="164"/>
      <c r="W583" s="164"/>
      <c r="X583" s="164"/>
      <c r="Y583" s="164"/>
      <c r="Z583" s="164"/>
      <c r="AA583" s="164"/>
      <c r="AB583" s="164"/>
    </row>
    <row r="584">
      <c r="A584" s="164"/>
      <c r="B584" s="164"/>
      <c r="C584" s="9"/>
      <c r="D584" s="9"/>
      <c r="E584" s="9"/>
      <c r="F584" s="9"/>
      <c r="G584" s="164"/>
      <c r="H584" s="164"/>
      <c r="I584" s="164"/>
      <c r="J584" s="652"/>
      <c r="K584" s="164"/>
      <c r="L584" s="164"/>
      <c r="M584" s="164"/>
      <c r="N584" s="164"/>
      <c r="O584" s="164"/>
      <c r="P584" s="164"/>
      <c r="Q584" s="164"/>
      <c r="R584" s="164"/>
      <c r="S584" s="164"/>
      <c r="T584" s="164"/>
      <c r="U584" s="164"/>
      <c r="V584" s="164"/>
      <c r="W584" s="164"/>
      <c r="X584" s="164"/>
      <c r="Y584" s="164"/>
      <c r="Z584" s="164"/>
      <c r="AA584" s="164"/>
      <c r="AB584" s="164"/>
    </row>
    <row r="585">
      <c r="A585" s="164"/>
      <c r="B585" s="164"/>
      <c r="C585" s="9"/>
      <c r="D585" s="9"/>
      <c r="E585" s="9"/>
      <c r="F585" s="9"/>
      <c r="G585" s="164"/>
      <c r="H585" s="164"/>
      <c r="I585" s="164"/>
      <c r="J585" s="652"/>
      <c r="K585" s="164"/>
      <c r="L585" s="164"/>
      <c r="M585" s="164"/>
      <c r="N585" s="164"/>
      <c r="O585" s="164"/>
      <c r="P585" s="164"/>
      <c r="Q585" s="164"/>
      <c r="R585" s="164"/>
      <c r="S585" s="164"/>
      <c r="T585" s="164"/>
      <c r="U585" s="164"/>
      <c r="V585" s="164"/>
      <c r="W585" s="164"/>
      <c r="X585" s="164"/>
      <c r="Y585" s="164"/>
      <c r="Z585" s="164"/>
      <c r="AA585" s="164"/>
      <c r="AB585" s="164"/>
    </row>
    <row r="586">
      <c r="A586" s="164"/>
      <c r="B586" s="164"/>
      <c r="C586" s="9"/>
      <c r="D586" s="9"/>
      <c r="E586" s="9"/>
      <c r="F586" s="9"/>
      <c r="G586" s="164"/>
      <c r="H586" s="164"/>
      <c r="I586" s="164"/>
      <c r="J586" s="652"/>
      <c r="K586" s="164"/>
      <c r="L586" s="164"/>
      <c r="M586" s="164"/>
      <c r="N586" s="164"/>
      <c r="O586" s="164"/>
      <c r="P586" s="164"/>
      <c r="Q586" s="164"/>
      <c r="R586" s="164"/>
      <c r="S586" s="164"/>
      <c r="T586" s="164"/>
      <c r="U586" s="164"/>
      <c r="V586" s="164"/>
      <c r="W586" s="164"/>
      <c r="X586" s="164"/>
      <c r="Y586" s="164"/>
      <c r="Z586" s="164"/>
      <c r="AA586" s="164"/>
      <c r="AB586" s="164"/>
    </row>
    <row r="587">
      <c r="A587" s="164"/>
      <c r="B587" s="164"/>
      <c r="C587" s="9"/>
      <c r="D587" s="9"/>
      <c r="E587" s="9"/>
      <c r="F587" s="9"/>
      <c r="G587" s="164"/>
      <c r="H587" s="164"/>
      <c r="I587" s="164"/>
      <c r="J587" s="652"/>
      <c r="K587" s="164"/>
      <c r="L587" s="164"/>
      <c r="M587" s="164"/>
      <c r="N587" s="164"/>
      <c r="O587" s="164"/>
      <c r="P587" s="164"/>
      <c r="Q587" s="164"/>
      <c r="R587" s="164"/>
      <c r="S587" s="164"/>
      <c r="T587" s="164"/>
      <c r="U587" s="164"/>
      <c r="V587" s="164"/>
      <c r="W587" s="164"/>
      <c r="X587" s="164"/>
      <c r="Y587" s="164"/>
      <c r="Z587" s="164"/>
      <c r="AA587" s="164"/>
      <c r="AB587" s="164"/>
    </row>
    <row r="588">
      <c r="A588" s="164"/>
      <c r="B588" s="164"/>
      <c r="C588" s="9"/>
      <c r="D588" s="9"/>
      <c r="E588" s="9"/>
      <c r="F588" s="9"/>
      <c r="G588" s="164"/>
      <c r="H588" s="164"/>
      <c r="I588" s="164"/>
      <c r="J588" s="652"/>
      <c r="K588" s="164"/>
      <c r="L588" s="164"/>
      <c r="M588" s="164"/>
      <c r="N588" s="164"/>
      <c r="O588" s="164"/>
      <c r="P588" s="164"/>
      <c r="Q588" s="164"/>
      <c r="R588" s="164"/>
      <c r="S588" s="164"/>
      <c r="T588" s="164"/>
      <c r="U588" s="164"/>
      <c r="V588" s="164"/>
      <c r="W588" s="164"/>
      <c r="X588" s="164"/>
      <c r="Y588" s="164"/>
      <c r="Z588" s="164"/>
      <c r="AA588" s="164"/>
      <c r="AB588" s="164"/>
    </row>
    <row r="589">
      <c r="A589" s="164"/>
      <c r="B589" s="164"/>
      <c r="C589" s="9"/>
      <c r="D589" s="9"/>
      <c r="E589" s="9"/>
      <c r="F589" s="9"/>
      <c r="G589" s="164"/>
      <c r="H589" s="164"/>
      <c r="I589" s="164"/>
      <c r="J589" s="652"/>
      <c r="K589" s="164"/>
      <c r="L589" s="164"/>
      <c r="M589" s="164"/>
      <c r="N589" s="164"/>
      <c r="O589" s="164"/>
      <c r="P589" s="164"/>
      <c r="Q589" s="164"/>
      <c r="R589" s="164"/>
      <c r="S589" s="164"/>
      <c r="T589" s="164"/>
      <c r="U589" s="164"/>
      <c r="V589" s="164"/>
      <c r="W589" s="164"/>
      <c r="X589" s="164"/>
      <c r="Y589" s="164"/>
      <c r="Z589" s="164"/>
      <c r="AA589" s="164"/>
      <c r="AB589" s="164"/>
    </row>
    <row r="590">
      <c r="A590" s="164"/>
      <c r="B590" s="164"/>
      <c r="C590" s="9"/>
      <c r="D590" s="9"/>
      <c r="E590" s="9"/>
      <c r="F590" s="9"/>
      <c r="G590" s="164"/>
      <c r="H590" s="164"/>
      <c r="I590" s="164"/>
      <c r="J590" s="652"/>
      <c r="K590" s="164"/>
      <c r="L590" s="164"/>
      <c r="M590" s="164"/>
      <c r="N590" s="164"/>
      <c r="O590" s="164"/>
      <c r="P590" s="164"/>
      <c r="Q590" s="164"/>
      <c r="R590" s="164"/>
      <c r="S590" s="164"/>
      <c r="T590" s="164"/>
      <c r="U590" s="164"/>
      <c r="V590" s="164"/>
      <c r="W590" s="164"/>
      <c r="X590" s="164"/>
      <c r="Y590" s="164"/>
      <c r="Z590" s="164"/>
      <c r="AA590" s="164"/>
      <c r="AB590" s="164"/>
    </row>
    <row r="591">
      <c r="A591" s="164"/>
      <c r="B591" s="164"/>
      <c r="C591" s="9"/>
      <c r="D591" s="9"/>
      <c r="E591" s="9"/>
      <c r="F591" s="9"/>
      <c r="G591" s="164"/>
      <c r="H591" s="164"/>
      <c r="I591" s="164"/>
      <c r="J591" s="652"/>
      <c r="K591" s="164"/>
      <c r="L591" s="164"/>
      <c r="M591" s="164"/>
      <c r="N591" s="164"/>
      <c r="O591" s="164"/>
      <c r="P591" s="164"/>
      <c r="Q591" s="164"/>
      <c r="R591" s="164"/>
      <c r="S591" s="164"/>
      <c r="T591" s="164"/>
      <c r="U591" s="164"/>
      <c r="V591" s="164"/>
      <c r="W591" s="164"/>
      <c r="X591" s="164"/>
      <c r="Y591" s="164"/>
      <c r="Z591" s="164"/>
      <c r="AA591" s="164"/>
      <c r="AB591" s="164"/>
    </row>
    <row r="592">
      <c r="A592" s="164"/>
      <c r="B592" s="164"/>
      <c r="C592" s="9"/>
      <c r="D592" s="9"/>
      <c r="E592" s="9"/>
      <c r="F592" s="9"/>
      <c r="G592" s="164"/>
      <c r="H592" s="164"/>
      <c r="I592" s="164"/>
      <c r="J592" s="652"/>
      <c r="K592" s="164"/>
      <c r="L592" s="164"/>
      <c r="M592" s="164"/>
      <c r="N592" s="164"/>
      <c r="O592" s="164"/>
      <c r="P592" s="164"/>
      <c r="Q592" s="164"/>
      <c r="R592" s="164"/>
      <c r="S592" s="164"/>
      <c r="T592" s="164"/>
      <c r="U592" s="164"/>
      <c r="V592" s="164"/>
      <c r="W592" s="164"/>
      <c r="X592" s="164"/>
      <c r="Y592" s="164"/>
      <c r="Z592" s="164"/>
      <c r="AA592" s="164"/>
      <c r="AB592" s="164"/>
    </row>
    <row r="593">
      <c r="A593" s="164"/>
      <c r="B593" s="164"/>
      <c r="C593" s="9"/>
      <c r="D593" s="9"/>
      <c r="E593" s="9"/>
      <c r="F593" s="9"/>
      <c r="G593" s="164"/>
      <c r="H593" s="164"/>
      <c r="I593" s="164"/>
      <c r="J593" s="652"/>
      <c r="K593" s="164"/>
      <c r="L593" s="164"/>
      <c r="M593" s="164"/>
      <c r="N593" s="164"/>
      <c r="O593" s="164"/>
      <c r="P593" s="164"/>
      <c r="Q593" s="164"/>
      <c r="R593" s="164"/>
      <c r="S593" s="164"/>
      <c r="T593" s="164"/>
      <c r="U593" s="164"/>
      <c r="V593" s="164"/>
      <c r="W593" s="164"/>
      <c r="X593" s="164"/>
      <c r="Y593" s="164"/>
      <c r="Z593" s="164"/>
      <c r="AA593" s="164"/>
      <c r="AB593" s="164"/>
    </row>
    <row r="594">
      <c r="A594" s="164"/>
      <c r="B594" s="164"/>
      <c r="C594" s="9"/>
      <c r="D594" s="9"/>
      <c r="E594" s="9"/>
      <c r="F594" s="9"/>
      <c r="G594" s="164"/>
      <c r="H594" s="164"/>
      <c r="I594" s="164"/>
      <c r="J594" s="652"/>
      <c r="K594" s="164"/>
      <c r="L594" s="164"/>
      <c r="M594" s="164"/>
      <c r="N594" s="164"/>
      <c r="O594" s="164"/>
      <c r="P594" s="164"/>
      <c r="Q594" s="164"/>
      <c r="R594" s="164"/>
      <c r="S594" s="164"/>
      <c r="T594" s="164"/>
      <c r="U594" s="164"/>
      <c r="V594" s="164"/>
      <c r="W594" s="164"/>
      <c r="X594" s="164"/>
      <c r="Y594" s="164"/>
      <c r="Z594" s="164"/>
      <c r="AA594" s="164"/>
      <c r="AB594" s="164"/>
    </row>
    <row r="595">
      <c r="A595" s="164"/>
      <c r="B595" s="164"/>
      <c r="C595" s="9"/>
      <c r="D595" s="9"/>
      <c r="E595" s="9"/>
      <c r="F595" s="9"/>
      <c r="G595" s="164"/>
      <c r="H595" s="164"/>
      <c r="I595" s="164"/>
      <c r="J595" s="652"/>
      <c r="K595" s="164"/>
      <c r="L595" s="164"/>
      <c r="M595" s="164"/>
      <c r="N595" s="164"/>
      <c r="O595" s="164"/>
      <c r="P595" s="164"/>
      <c r="Q595" s="164"/>
      <c r="R595" s="164"/>
      <c r="S595" s="164"/>
      <c r="T595" s="164"/>
      <c r="U595" s="164"/>
      <c r="V595" s="164"/>
      <c r="W595" s="164"/>
      <c r="X595" s="164"/>
      <c r="Y595" s="164"/>
      <c r="Z595" s="164"/>
      <c r="AA595" s="164"/>
      <c r="AB595" s="164"/>
    </row>
    <row r="596">
      <c r="A596" s="164"/>
      <c r="B596" s="164"/>
      <c r="C596" s="9"/>
      <c r="D596" s="9"/>
      <c r="E596" s="9"/>
      <c r="F596" s="9"/>
      <c r="G596" s="164"/>
      <c r="H596" s="164"/>
      <c r="I596" s="164"/>
      <c r="J596" s="652"/>
      <c r="K596" s="164"/>
      <c r="L596" s="164"/>
      <c r="M596" s="164"/>
      <c r="N596" s="164"/>
      <c r="O596" s="164"/>
      <c r="P596" s="164"/>
      <c r="Q596" s="164"/>
      <c r="R596" s="164"/>
      <c r="S596" s="164"/>
      <c r="T596" s="164"/>
      <c r="U596" s="164"/>
      <c r="V596" s="164"/>
      <c r="W596" s="164"/>
      <c r="X596" s="164"/>
      <c r="Y596" s="164"/>
      <c r="Z596" s="164"/>
      <c r="AA596" s="164"/>
      <c r="AB596" s="164"/>
    </row>
    <row r="597">
      <c r="A597" s="164"/>
      <c r="B597" s="164"/>
      <c r="C597" s="9"/>
      <c r="D597" s="9"/>
      <c r="E597" s="9"/>
      <c r="F597" s="9"/>
      <c r="G597" s="164"/>
      <c r="H597" s="164"/>
      <c r="I597" s="164"/>
      <c r="J597" s="652"/>
      <c r="K597" s="164"/>
      <c r="L597" s="164"/>
      <c r="M597" s="164"/>
      <c r="N597" s="164"/>
      <c r="O597" s="164"/>
      <c r="P597" s="164"/>
      <c r="Q597" s="164"/>
      <c r="R597" s="164"/>
      <c r="S597" s="164"/>
      <c r="T597" s="164"/>
      <c r="U597" s="164"/>
      <c r="V597" s="164"/>
      <c r="W597" s="164"/>
      <c r="X597" s="164"/>
      <c r="Y597" s="164"/>
      <c r="Z597" s="164"/>
      <c r="AA597" s="164"/>
      <c r="AB597" s="164"/>
    </row>
    <row r="598">
      <c r="A598" s="164"/>
      <c r="B598" s="164"/>
      <c r="C598" s="9"/>
      <c r="D598" s="9"/>
      <c r="E598" s="9"/>
      <c r="F598" s="9"/>
      <c r="G598" s="164"/>
      <c r="H598" s="164"/>
      <c r="I598" s="164"/>
      <c r="J598" s="652"/>
      <c r="K598" s="164"/>
      <c r="L598" s="164"/>
      <c r="M598" s="164"/>
      <c r="N598" s="164"/>
      <c r="O598" s="164"/>
      <c r="P598" s="164"/>
      <c r="Q598" s="164"/>
      <c r="R598" s="164"/>
      <c r="S598" s="164"/>
      <c r="T598" s="164"/>
      <c r="U598" s="164"/>
      <c r="V598" s="164"/>
      <c r="W598" s="164"/>
      <c r="X598" s="164"/>
      <c r="Y598" s="164"/>
      <c r="Z598" s="164"/>
      <c r="AA598" s="164"/>
      <c r="AB598" s="164"/>
    </row>
    <row r="599">
      <c r="A599" s="164"/>
      <c r="B599" s="164"/>
      <c r="C599" s="9"/>
      <c r="D599" s="9"/>
      <c r="E599" s="9"/>
      <c r="F599" s="9"/>
      <c r="G599" s="164"/>
      <c r="H599" s="164"/>
      <c r="I599" s="164"/>
      <c r="J599" s="652"/>
      <c r="K599" s="164"/>
      <c r="L599" s="164"/>
      <c r="M599" s="164"/>
      <c r="N599" s="164"/>
      <c r="O599" s="164"/>
      <c r="P599" s="164"/>
      <c r="Q599" s="164"/>
      <c r="R599" s="164"/>
      <c r="S599" s="164"/>
      <c r="T599" s="164"/>
      <c r="U599" s="164"/>
      <c r="V599" s="164"/>
      <c r="W599" s="164"/>
      <c r="X599" s="164"/>
      <c r="Y599" s="164"/>
      <c r="Z599" s="164"/>
      <c r="AA599" s="164"/>
      <c r="AB599" s="164"/>
    </row>
    <row r="600">
      <c r="A600" s="164"/>
      <c r="B600" s="164"/>
      <c r="C600" s="9"/>
      <c r="D600" s="9"/>
      <c r="E600" s="9"/>
      <c r="F600" s="9"/>
      <c r="G600" s="164"/>
      <c r="H600" s="164"/>
      <c r="I600" s="164"/>
      <c r="J600" s="652"/>
      <c r="K600" s="164"/>
      <c r="L600" s="164"/>
      <c r="M600" s="164"/>
      <c r="N600" s="164"/>
      <c r="O600" s="164"/>
      <c r="P600" s="164"/>
      <c r="Q600" s="164"/>
      <c r="R600" s="164"/>
      <c r="S600" s="164"/>
      <c r="T600" s="164"/>
      <c r="U600" s="164"/>
      <c r="V600" s="164"/>
      <c r="W600" s="164"/>
      <c r="X600" s="164"/>
      <c r="Y600" s="164"/>
      <c r="Z600" s="164"/>
      <c r="AA600" s="164"/>
      <c r="AB600" s="164"/>
    </row>
    <row r="601">
      <c r="A601" s="164"/>
      <c r="B601" s="164"/>
      <c r="C601" s="9"/>
      <c r="D601" s="9"/>
      <c r="E601" s="9"/>
      <c r="F601" s="9"/>
      <c r="G601" s="164"/>
      <c r="H601" s="164"/>
      <c r="I601" s="164"/>
      <c r="J601" s="652"/>
      <c r="K601" s="164"/>
      <c r="L601" s="164"/>
      <c r="M601" s="164"/>
      <c r="N601" s="164"/>
      <c r="O601" s="164"/>
      <c r="P601" s="164"/>
      <c r="Q601" s="164"/>
      <c r="R601" s="164"/>
      <c r="S601" s="164"/>
      <c r="T601" s="164"/>
      <c r="U601" s="164"/>
      <c r="V601" s="164"/>
      <c r="W601" s="164"/>
      <c r="X601" s="164"/>
      <c r="Y601" s="164"/>
      <c r="Z601" s="164"/>
      <c r="AA601" s="164"/>
      <c r="AB601" s="164"/>
    </row>
    <row r="602">
      <c r="A602" s="164"/>
      <c r="B602" s="164"/>
      <c r="C602" s="9"/>
      <c r="D602" s="9"/>
      <c r="E602" s="9"/>
      <c r="F602" s="9"/>
      <c r="G602" s="164"/>
      <c r="H602" s="164"/>
      <c r="I602" s="164"/>
      <c r="J602" s="652"/>
      <c r="K602" s="164"/>
      <c r="L602" s="164"/>
      <c r="M602" s="164"/>
      <c r="N602" s="164"/>
      <c r="O602" s="164"/>
      <c r="P602" s="164"/>
      <c r="Q602" s="164"/>
      <c r="R602" s="164"/>
      <c r="S602" s="164"/>
      <c r="T602" s="164"/>
      <c r="U602" s="164"/>
      <c r="V602" s="164"/>
      <c r="W602" s="164"/>
      <c r="X602" s="164"/>
      <c r="Y602" s="164"/>
      <c r="Z602" s="164"/>
      <c r="AA602" s="164"/>
      <c r="AB602" s="164"/>
    </row>
    <row r="603">
      <c r="A603" s="164"/>
      <c r="B603" s="164"/>
      <c r="C603" s="9"/>
      <c r="D603" s="9"/>
      <c r="E603" s="9"/>
      <c r="F603" s="9"/>
      <c r="G603" s="164"/>
      <c r="H603" s="164"/>
      <c r="I603" s="164"/>
      <c r="J603" s="652"/>
      <c r="K603" s="164"/>
      <c r="L603" s="164"/>
      <c r="M603" s="164"/>
      <c r="N603" s="164"/>
      <c r="O603" s="164"/>
      <c r="P603" s="164"/>
      <c r="Q603" s="164"/>
      <c r="R603" s="164"/>
      <c r="S603" s="164"/>
      <c r="T603" s="164"/>
      <c r="U603" s="164"/>
      <c r="V603" s="164"/>
      <c r="W603" s="164"/>
      <c r="X603" s="164"/>
      <c r="Y603" s="164"/>
      <c r="Z603" s="164"/>
      <c r="AA603" s="164"/>
      <c r="AB603" s="164"/>
    </row>
    <row r="604">
      <c r="A604" s="164"/>
      <c r="B604" s="164"/>
      <c r="C604" s="9"/>
      <c r="D604" s="9"/>
      <c r="E604" s="9"/>
      <c r="F604" s="9"/>
      <c r="G604" s="164"/>
      <c r="H604" s="164"/>
      <c r="I604" s="164"/>
      <c r="J604" s="652"/>
      <c r="K604" s="164"/>
      <c r="L604" s="164"/>
      <c r="M604" s="164"/>
      <c r="N604" s="164"/>
      <c r="O604" s="164"/>
      <c r="P604" s="164"/>
      <c r="Q604" s="164"/>
      <c r="R604" s="164"/>
      <c r="S604" s="164"/>
      <c r="T604" s="164"/>
      <c r="U604" s="164"/>
      <c r="V604" s="164"/>
      <c r="W604" s="164"/>
      <c r="X604" s="164"/>
      <c r="Y604" s="164"/>
      <c r="Z604" s="164"/>
      <c r="AA604" s="164"/>
      <c r="AB604" s="164"/>
    </row>
    <row r="605">
      <c r="A605" s="164"/>
      <c r="B605" s="164"/>
      <c r="C605" s="9"/>
      <c r="D605" s="9"/>
      <c r="E605" s="9"/>
      <c r="F605" s="9"/>
      <c r="G605" s="164"/>
      <c r="H605" s="164"/>
      <c r="I605" s="164"/>
      <c r="J605" s="652"/>
      <c r="K605" s="164"/>
      <c r="L605" s="164"/>
      <c r="M605" s="164"/>
      <c r="N605" s="164"/>
      <c r="O605" s="164"/>
      <c r="P605" s="164"/>
      <c r="Q605" s="164"/>
      <c r="R605" s="164"/>
      <c r="S605" s="164"/>
      <c r="T605" s="164"/>
      <c r="U605" s="164"/>
      <c r="V605" s="164"/>
      <c r="W605" s="164"/>
      <c r="X605" s="164"/>
      <c r="Y605" s="164"/>
      <c r="Z605" s="164"/>
      <c r="AA605" s="164"/>
      <c r="AB605" s="164"/>
    </row>
    <row r="606">
      <c r="A606" s="164"/>
      <c r="B606" s="164"/>
      <c r="C606" s="9"/>
      <c r="D606" s="9"/>
      <c r="E606" s="9"/>
      <c r="F606" s="9"/>
      <c r="G606" s="164"/>
      <c r="H606" s="164"/>
      <c r="I606" s="164"/>
      <c r="J606" s="652"/>
      <c r="K606" s="164"/>
      <c r="L606" s="164"/>
      <c r="M606" s="164"/>
      <c r="N606" s="164"/>
      <c r="O606" s="164"/>
      <c r="P606" s="164"/>
      <c r="Q606" s="164"/>
      <c r="R606" s="164"/>
      <c r="S606" s="164"/>
      <c r="T606" s="164"/>
      <c r="U606" s="164"/>
      <c r="V606" s="164"/>
      <c r="W606" s="164"/>
      <c r="X606" s="164"/>
      <c r="Y606" s="164"/>
      <c r="Z606" s="164"/>
      <c r="AA606" s="164"/>
      <c r="AB606" s="164"/>
    </row>
    <row r="607">
      <c r="A607" s="164"/>
      <c r="B607" s="164"/>
      <c r="C607" s="9"/>
      <c r="D607" s="9"/>
      <c r="E607" s="9"/>
      <c r="F607" s="9"/>
      <c r="G607" s="164"/>
      <c r="H607" s="164"/>
      <c r="I607" s="164"/>
      <c r="J607" s="652"/>
      <c r="K607" s="164"/>
      <c r="L607" s="164"/>
      <c r="M607" s="164"/>
      <c r="N607" s="164"/>
      <c r="O607" s="164"/>
      <c r="P607" s="164"/>
      <c r="Q607" s="164"/>
      <c r="R607" s="164"/>
      <c r="S607" s="164"/>
      <c r="T607" s="164"/>
      <c r="U607" s="164"/>
      <c r="V607" s="164"/>
      <c r="W607" s="164"/>
      <c r="X607" s="164"/>
      <c r="Y607" s="164"/>
      <c r="Z607" s="164"/>
      <c r="AA607" s="164"/>
      <c r="AB607" s="164"/>
    </row>
    <row r="608">
      <c r="A608" s="164"/>
      <c r="B608" s="164"/>
      <c r="C608" s="9"/>
      <c r="D608" s="9"/>
      <c r="E608" s="9"/>
      <c r="F608" s="9"/>
      <c r="G608" s="164"/>
      <c r="H608" s="164"/>
      <c r="I608" s="164"/>
      <c r="J608" s="652"/>
      <c r="K608" s="164"/>
      <c r="L608" s="164"/>
      <c r="M608" s="164"/>
      <c r="N608" s="164"/>
      <c r="O608" s="164"/>
      <c r="P608" s="164"/>
      <c r="Q608" s="164"/>
      <c r="R608" s="164"/>
      <c r="S608" s="164"/>
      <c r="T608" s="164"/>
      <c r="U608" s="164"/>
      <c r="V608" s="164"/>
      <c r="W608" s="164"/>
      <c r="X608" s="164"/>
      <c r="Y608" s="164"/>
      <c r="Z608" s="164"/>
      <c r="AA608" s="164"/>
      <c r="AB608" s="164"/>
    </row>
    <row r="609">
      <c r="A609" s="164"/>
      <c r="B609" s="164"/>
      <c r="C609" s="9"/>
      <c r="D609" s="9"/>
      <c r="E609" s="9"/>
      <c r="F609" s="9"/>
      <c r="G609" s="164"/>
      <c r="H609" s="164"/>
      <c r="I609" s="164"/>
      <c r="J609" s="652"/>
      <c r="K609" s="164"/>
      <c r="L609" s="164"/>
      <c r="M609" s="164"/>
      <c r="N609" s="164"/>
      <c r="O609" s="164"/>
      <c r="P609" s="164"/>
      <c r="Q609" s="164"/>
      <c r="R609" s="164"/>
      <c r="S609" s="164"/>
      <c r="T609" s="164"/>
      <c r="U609" s="164"/>
      <c r="V609" s="164"/>
      <c r="W609" s="164"/>
      <c r="X609" s="164"/>
      <c r="Y609" s="164"/>
      <c r="Z609" s="164"/>
      <c r="AA609" s="164"/>
      <c r="AB609" s="164"/>
    </row>
    <row r="610">
      <c r="A610" s="164"/>
      <c r="B610" s="164"/>
      <c r="C610" s="9"/>
      <c r="D610" s="9"/>
      <c r="E610" s="9"/>
      <c r="F610" s="9"/>
      <c r="G610" s="164"/>
      <c r="H610" s="164"/>
      <c r="I610" s="164"/>
      <c r="J610" s="652"/>
      <c r="K610" s="164"/>
      <c r="L610" s="164"/>
      <c r="M610" s="164"/>
      <c r="N610" s="164"/>
      <c r="O610" s="164"/>
      <c r="P610" s="164"/>
      <c r="Q610" s="164"/>
      <c r="R610" s="164"/>
      <c r="S610" s="164"/>
      <c r="T610" s="164"/>
      <c r="U610" s="164"/>
      <c r="V610" s="164"/>
      <c r="W610" s="164"/>
      <c r="X610" s="164"/>
      <c r="Y610" s="164"/>
      <c r="Z610" s="164"/>
      <c r="AA610" s="164"/>
      <c r="AB610" s="164"/>
    </row>
    <row r="611">
      <c r="A611" s="164"/>
      <c r="B611" s="164"/>
      <c r="C611" s="9"/>
      <c r="D611" s="9"/>
      <c r="E611" s="9"/>
      <c r="F611" s="9"/>
      <c r="G611" s="164"/>
      <c r="H611" s="164"/>
      <c r="I611" s="164"/>
      <c r="J611" s="652"/>
      <c r="K611" s="164"/>
      <c r="L611" s="164"/>
      <c r="M611" s="164"/>
      <c r="N611" s="164"/>
      <c r="O611" s="164"/>
      <c r="P611" s="164"/>
      <c r="Q611" s="164"/>
      <c r="R611" s="164"/>
      <c r="S611" s="164"/>
      <c r="T611" s="164"/>
      <c r="U611" s="164"/>
      <c r="V611" s="164"/>
      <c r="W611" s="164"/>
      <c r="X611" s="164"/>
      <c r="Y611" s="164"/>
      <c r="Z611" s="164"/>
      <c r="AA611" s="164"/>
      <c r="AB611" s="164"/>
    </row>
    <row r="612">
      <c r="A612" s="164"/>
      <c r="B612" s="164"/>
      <c r="C612" s="9"/>
      <c r="D612" s="9"/>
      <c r="E612" s="9"/>
      <c r="F612" s="9"/>
      <c r="G612" s="164"/>
      <c r="H612" s="164"/>
      <c r="I612" s="164"/>
      <c r="J612" s="652"/>
      <c r="K612" s="164"/>
      <c r="L612" s="164"/>
      <c r="M612" s="164"/>
      <c r="N612" s="164"/>
      <c r="O612" s="164"/>
      <c r="P612" s="164"/>
      <c r="Q612" s="164"/>
      <c r="R612" s="164"/>
      <c r="S612" s="164"/>
      <c r="T612" s="164"/>
      <c r="U612" s="164"/>
      <c r="V612" s="164"/>
      <c r="W612" s="164"/>
      <c r="X612" s="164"/>
      <c r="Y612" s="164"/>
      <c r="Z612" s="164"/>
      <c r="AA612" s="164"/>
      <c r="AB612" s="164"/>
    </row>
    <row r="613">
      <c r="A613" s="164"/>
      <c r="B613" s="164"/>
      <c r="C613" s="9"/>
      <c r="D613" s="9"/>
      <c r="E613" s="9"/>
      <c r="F613" s="9"/>
      <c r="G613" s="164"/>
      <c r="H613" s="164"/>
      <c r="I613" s="164"/>
      <c r="J613" s="652"/>
      <c r="K613" s="164"/>
      <c r="L613" s="164"/>
      <c r="M613" s="164"/>
      <c r="N613" s="164"/>
      <c r="O613" s="164"/>
      <c r="P613" s="164"/>
      <c r="Q613" s="164"/>
      <c r="R613" s="164"/>
      <c r="S613" s="164"/>
      <c r="T613" s="164"/>
      <c r="U613" s="164"/>
      <c r="V613" s="164"/>
      <c r="W613" s="164"/>
      <c r="X613" s="164"/>
      <c r="Y613" s="164"/>
      <c r="Z613" s="164"/>
      <c r="AA613" s="164"/>
      <c r="AB613" s="164"/>
    </row>
    <row r="614">
      <c r="A614" s="164"/>
      <c r="B614" s="164"/>
      <c r="C614" s="9"/>
      <c r="D614" s="9"/>
      <c r="E614" s="9"/>
      <c r="F614" s="9"/>
      <c r="G614" s="164"/>
      <c r="H614" s="164"/>
      <c r="I614" s="164"/>
      <c r="J614" s="652"/>
      <c r="K614" s="164"/>
      <c r="L614" s="164"/>
      <c r="M614" s="164"/>
      <c r="N614" s="164"/>
      <c r="O614" s="164"/>
      <c r="P614" s="164"/>
      <c r="Q614" s="164"/>
      <c r="R614" s="164"/>
      <c r="S614" s="164"/>
      <c r="T614" s="164"/>
      <c r="U614" s="164"/>
      <c r="V614" s="164"/>
      <c r="W614" s="164"/>
      <c r="X614" s="164"/>
      <c r="Y614" s="164"/>
      <c r="Z614" s="164"/>
      <c r="AA614" s="164"/>
      <c r="AB614" s="164"/>
    </row>
    <row r="615">
      <c r="A615" s="164"/>
      <c r="B615" s="164"/>
      <c r="C615" s="9"/>
      <c r="D615" s="9"/>
      <c r="E615" s="9"/>
      <c r="F615" s="9"/>
      <c r="G615" s="164"/>
      <c r="H615" s="164"/>
      <c r="I615" s="164"/>
      <c r="J615" s="652"/>
      <c r="K615" s="164"/>
      <c r="L615" s="164"/>
      <c r="M615" s="164"/>
      <c r="N615" s="164"/>
      <c r="O615" s="164"/>
      <c r="P615" s="164"/>
      <c r="Q615" s="164"/>
      <c r="R615" s="164"/>
      <c r="S615" s="164"/>
      <c r="T615" s="164"/>
      <c r="U615" s="164"/>
      <c r="V615" s="164"/>
      <c r="W615" s="164"/>
      <c r="X615" s="164"/>
      <c r="Y615" s="164"/>
      <c r="Z615" s="164"/>
      <c r="AA615" s="164"/>
      <c r="AB615" s="164"/>
    </row>
    <row r="616">
      <c r="A616" s="164"/>
      <c r="B616" s="164"/>
      <c r="C616" s="9"/>
      <c r="D616" s="9"/>
      <c r="E616" s="9"/>
      <c r="F616" s="9"/>
      <c r="G616" s="164"/>
      <c r="H616" s="164"/>
      <c r="I616" s="164"/>
      <c r="J616" s="652"/>
      <c r="K616" s="164"/>
      <c r="L616" s="164"/>
      <c r="M616" s="164"/>
      <c r="N616" s="164"/>
      <c r="O616" s="164"/>
      <c r="P616" s="164"/>
      <c r="Q616" s="164"/>
      <c r="R616" s="164"/>
      <c r="S616" s="164"/>
      <c r="T616" s="164"/>
      <c r="U616" s="164"/>
      <c r="V616" s="164"/>
      <c r="W616" s="164"/>
      <c r="X616" s="164"/>
      <c r="Y616" s="164"/>
      <c r="Z616" s="164"/>
      <c r="AA616" s="164"/>
      <c r="AB616" s="164"/>
    </row>
    <row r="617">
      <c r="A617" s="164"/>
      <c r="B617" s="164"/>
      <c r="C617" s="9"/>
      <c r="D617" s="9"/>
      <c r="E617" s="9"/>
      <c r="F617" s="9"/>
      <c r="G617" s="164"/>
      <c r="H617" s="164"/>
      <c r="I617" s="164"/>
      <c r="J617" s="652"/>
      <c r="K617" s="164"/>
      <c r="L617" s="164"/>
      <c r="M617" s="164"/>
      <c r="N617" s="164"/>
      <c r="O617" s="164"/>
      <c r="P617" s="164"/>
      <c r="Q617" s="164"/>
      <c r="R617" s="164"/>
      <c r="S617" s="164"/>
      <c r="T617" s="164"/>
      <c r="U617" s="164"/>
      <c r="V617" s="164"/>
      <c r="W617" s="164"/>
      <c r="X617" s="164"/>
      <c r="Y617" s="164"/>
      <c r="Z617" s="164"/>
      <c r="AA617" s="164"/>
      <c r="AB617" s="164"/>
    </row>
    <row r="618">
      <c r="A618" s="164"/>
      <c r="B618" s="164"/>
      <c r="C618" s="9"/>
      <c r="D618" s="9"/>
      <c r="E618" s="9"/>
      <c r="F618" s="9"/>
      <c r="G618" s="164"/>
      <c r="H618" s="164"/>
      <c r="I618" s="164"/>
      <c r="J618" s="652"/>
      <c r="K618" s="164"/>
      <c r="L618" s="164"/>
      <c r="M618" s="164"/>
      <c r="N618" s="164"/>
      <c r="O618" s="164"/>
      <c r="P618" s="164"/>
      <c r="Q618" s="164"/>
      <c r="R618" s="164"/>
      <c r="S618" s="164"/>
      <c r="T618" s="164"/>
      <c r="U618" s="164"/>
      <c r="V618" s="164"/>
      <c r="W618" s="164"/>
      <c r="X618" s="164"/>
      <c r="Y618" s="164"/>
      <c r="Z618" s="164"/>
      <c r="AA618" s="164"/>
      <c r="AB618" s="164"/>
    </row>
    <row r="619">
      <c r="A619" s="164"/>
      <c r="B619" s="164"/>
      <c r="C619" s="9"/>
      <c r="D619" s="9"/>
      <c r="E619" s="9"/>
      <c r="F619" s="9"/>
      <c r="G619" s="164"/>
      <c r="H619" s="164"/>
      <c r="I619" s="164"/>
      <c r="J619" s="652"/>
      <c r="K619" s="164"/>
      <c r="L619" s="164"/>
      <c r="M619" s="164"/>
      <c r="N619" s="164"/>
      <c r="O619" s="164"/>
      <c r="P619" s="164"/>
      <c r="Q619" s="164"/>
      <c r="R619" s="164"/>
      <c r="S619" s="164"/>
      <c r="T619" s="164"/>
      <c r="U619" s="164"/>
      <c r="V619" s="164"/>
      <c r="W619" s="164"/>
      <c r="X619" s="164"/>
      <c r="Y619" s="164"/>
      <c r="Z619" s="164"/>
      <c r="AA619" s="164"/>
      <c r="AB619" s="164"/>
    </row>
    <row r="620">
      <c r="A620" s="164"/>
      <c r="B620" s="164"/>
      <c r="C620" s="9"/>
      <c r="D620" s="9"/>
      <c r="E620" s="9"/>
      <c r="F620" s="9"/>
      <c r="G620" s="164"/>
      <c r="H620" s="164"/>
      <c r="I620" s="164"/>
      <c r="J620" s="652"/>
      <c r="K620" s="164"/>
      <c r="L620" s="164"/>
      <c r="M620" s="164"/>
      <c r="N620" s="164"/>
      <c r="O620" s="164"/>
      <c r="P620" s="164"/>
      <c r="Q620" s="164"/>
      <c r="R620" s="164"/>
      <c r="S620" s="164"/>
      <c r="T620" s="164"/>
      <c r="U620" s="164"/>
      <c r="V620" s="164"/>
      <c r="W620" s="164"/>
      <c r="X620" s="164"/>
      <c r="Y620" s="164"/>
      <c r="Z620" s="164"/>
      <c r="AA620" s="164"/>
      <c r="AB620" s="164"/>
    </row>
    <row r="621">
      <c r="A621" s="164"/>
      <c r="B621" s="164"/>
      <c r="C621" s="9"/>
      <c r="D621" s="9"/>
      <c r="E621" s="9"/>
      <c r="F621" s="9"/>
      <c r="G621" s="164"/>
      <c r="H621" s="164"/>
      <c r="I621" s="164"/>
      <c r="J621" s="652"/>
      <c r="K621" s="164"/>
      <c r="L621" s="164"/>
      <c r="M621" s="164"/>
      <c r="N621" s="164"/>
      <c r="O621" s="164"/>
      <c r="P621" s="164"/>
      <c r="Q621" s="164"/>
      <c r="R621" s="164"/>
      <c r="S621" s="164"/>
      <c r="T621" s="164"/>
      <c r="U621" s="164"/>
      <c r="V621" s="164"/>
      <c r="W621" s="164"/>
      <c r="X621" s="164"/>
      <c r="Y621" s="164"/>
      <c r="Z621" s="164"/>
      <c r="AA621" s="164"/>
      <c r="AB621" s="164"/>
    </row>
    <row r="622">
      <c r="A622" s="164"/>
      <c r="B622" s="164"/>
      <c r="C622" s="9"/>
      <c r="D622" s="9"/>
      <c r="E622" s="9"/>
      <c r="F622" s="9"/>
      <c r="G622" s="164"/>
      <c r="H622" s="164"/>
      <c r="I622" s="164"/>
      <c r="J622" s="652"/>
      <c r="K622" s="164"/>
      <c r="L622" s="164"/>
      <c r="M622" s="164"/>
      <c r="N622" s="164"/>
      <c r="O622" s="164"/>
      <c r="P622" s="164"/>
      <c r="Q622" s="164"/>
      <c r="R622" s="164"/>
      <c r="S622" s="164"/>
      <c r="T622" s="164"/>
      <c r="U622" s="164"/>
      <c r="V622" s="164"/>
      <c r="W622" s="164"/>
      <c r="X622" s="164"/>
      <c r="Y622" s="164"/>
      <c r="Z622" s="164"/>
      <c r="AA622" s="164"/>
      <c r="AB622" s="164"/>
    </row>
    <row r="623">
      <c r="A623" s="164"/>
      <c r="B623" s="164"/>
      <c r="C623" s="9"/>
      <c r="D623" s="9"/>
      <c r="E623" s="9"/>
      <c r="F623" s="9"/>
      <c r="G623" s="164"/>
      <c r="H623" s="164"/>
      <c r="I623" s="164"/>
      <c r="J623" s="652"/>
      <c r="K623" s="164"/>
      <c r="L623" s="164"/>
      <c r="M623" s="164"/>
      <c r="N623" s="164"/>
      <c r="O623" s="164"/>
      <c r="P623" s="164"/>
      <c r="Q623" s="164"/>
      <c r="R623" s="164"/>
      <c r="S623" s="164"/>
      <c r="T623" s="164"/>
      <c r="U623" s="164"/>
      <c r="V623" s="164"/>
      <c r="W623" s="164"/>
      <c r="X623" s="164"/>
      <c r="Y623" s="164"/>
      <c r="Z623" s="164"/>
      <c r="AA623" s="164"/>
      <c r="AB623" s="164"/>
    </row>
    <row r="624">
      <c r="A624" s="164"/>
      <c r="B624" s="164"/>
      <c r="C624" s="9"/>
      <c r="D624" s="9"/>
      <c r="E624" s="9"/>
      <c r="F624" s="9"/>
      <c r="G624" s="164"/>
      <c r="H624" s="164"/>
      <c r="I624" s="164"/>
      <c r="J624" s="652"/>
      <c r="K624" s="164"/>
      <c r="L624" s="164"/>
      <c r="M624" s="164"/>
      <c r="N624" s="164"/>
      <c r="O624" s="164"/>
      <c r="P624" s="164"/>
      <c r="Q624" s="164"/>
      <c r="R624" s="164"/>
      <c r="S624" s="164"/>
      <c r="T624" s="164"/>
      <c r="U624" s="164"/>
      <c r="V624" s="164"/>
      <c r="W624" s="164"/>
      <c r="X624" s="164"/>
      <c r="Y624" s="164"/>
      <c r="Z624" s="164"/>
      <c r="AA624" s="164"/>
      <c r="AB624" s="164"/>
    </row>
    <row r="625">
      <c r="A625" s="164"/>
      <c r="B625" s="164"/>
      <c r="C625" s="9"/>
      <c r="D625" s="9"/>
      <c r="E625" s="9"/>
      <c r="F625" s="9"/>
      <c r="G625" s="164"/>
      <c r="H625" s="164"/>
      <c r="I625" s="164"/>
      <c r="J625" s="652"/>
      <c r="K625" s="164"/>
      <c r="L625" s="164"/>
      <c r="M625" s="164"/>
      <c r="N625" s="164"/>
      <c r="O625" s="164"/>
      <c r="P625" s="164"/>
      <c r="Q625" s="164"/>
      <c r="R625" s="164"/>
      <c r="S625" s="164"/>
      <c r="T625" s="164"/>
      <c r="U625" s="164"/>
      <c r="V625" s="164"/>
      <c r="W625" s="164"/>
      <c r="X625" s="164"/>
      <c r="Y625" s="164"/>
      <c r="Z625" s="164"/>
      <c r="AA625" s="164"/>
      <c r="AB625" s="164"/>
    </row>
    <row r="626">
      <c r="A626" s="164"/>
      <c r="B626" s="164"/>
      <c r="C626" s="9"/>
      <c r="D626" s="9"/>
      <c r="E626" s="9"/>
      <c r="F626" s="9"/>
      <c r="G626" s="164"/>
      <c r="H626" s="164"/>
      <c r="I626" s="164"/>
      <c r="J626" s="652"/>
      <c r="K626" s="164"/>
      <c r="L626" s="164"/>
      <c r="M626" s="164"/>
      <c r="N626" s="164"/>
      <c r="O626" s="164"/>
      <c r="P626" s="164"/>
      <c r="Q626" s="164"/>
      <c r="R626" s="164"/>
      <c r="S626" s="164"/>
      <c r="T626" s="164"/>
      <c r="U626" s="164"/>
      <c r="V626" s="164"/>
      <c r="W626" s="164"/>
      <c r="X626" s="164"/>
      <c r="Y626" s="164"/>
      <c r="Z626" s="164"/>
      <c r="AA626" s="164"/>
      <c r="AB626" s="164"/>
    </row>
    <row r="627">
      <c r="A627" s="164"/>
      <c r="B627" s="164"/>
      <c r="C627" s="9"/>
      <c r="D627" s="9"/>
      <c r="E627" s="9"/>
      <c r="F627" s="9"/>
      <c r="G627" s="164"/>
      <c r="H627" s="164"/>
      <c r="I627" s="164"/>
      <c r="J627" s="652"/>
      <c r="K627" s="164"/>
      <c r="L627" s="164"/>
      <c r="M627" s="164"/>
      <c r="N627" s="164"/>
      <c r="O627" s="164"/>
      <c r="P627" s="164"/>
      <c r="Q627" s="164"/>
      <c r="R627" s="164"/>
      <c r="S627" s="164"/>
      <c r="T627" s="164"/>
      <c r="U627" s="164"/>
      <c r="V627" s="164"/>
      <c r="W627" s="164"/>
      <c r="X627" s="164"/>
      <c r="Y627" s="164"/>
      <c r="Z627" s="164"/>
      <c r="AA627" s="164"/>
      <c r="AB627" s="164"/>
    </row>
    <row r="628">
      <c r="A628" s="164"/>
      <c r="B628" s="164"/>
      <c r="C628" s="9"/>
      <c r="D628" s="9"/>
      <c r="E628" s="9"/>
      <c r="F628" s="9"/>
      <c r="G628" s="164"/>
      <c r="H628" s="164"/>
      <c r="I628" s="164"/>
      <c r="J628" s="652"/>
      <c r="K628" s="164"/>
      <c r="L628" s="164"/>
      <c r="M628" s="164"/>
      <c r="N628" s="164"/>
      <c r="O628" s="164"/>
      <c r="P628" s="164"/>
      <c r="Q628" s="164"/>
      <c r="R628" s="164"/>
      <c r="S628" s="164"/>
      <c r="T628" s="164"/>
      <c r="U628" s="164"/>
      <c r="V628" s="164"/>
      <c r="W628" s="164"/>
      <c r="X628" s="164"/>
      <c r="Y628" s="164"/>
      <c r="Z628" s="164"/>
      <c r="AA628" s="164"/>
      <c r="AB628" s="164"/>
    </row>
    <row r="629">
      <c r="A629" s="164"/>
      <c r="B629" s="164"/>
      <c r="C629" s="9"/>
      <c r="D629" s="9"/>
      <c r="E629" s="9"/>
      <c r="F629" s="9"/>
      <c r="G629" s="164"/>
      <c r="H629" s="164"/>
      <c r="I629" s="164"/>
      <c r="J629" s="652"/>
      <c r="K629" s="164"/>
      <c r="L629" s="164"/>
      <c r="M629" s="164"/>
      <c r="N629" s="164"/>
      <c r="O629" s="164"/>
      <c r="P629" s="164"/>
      <c r="Q629" s="164"/>
      <c r="R629" s="164"/>
      <c r="S629" s="164"/>
      <c r="T629" s="164"/>
      <c r="U629" s="164"/>
      <c r="V629" s="164"/>
      <c r="W629" s="164"/>
      <c r="X629" s="164"/>
      <c r="Y629" s="164"/>
      <c r="Z629" s="164"/>
      <c r="AA629" s="164"/>
      <c r="AB629" s="164"/>
    </row>
    <row r="630">
      <c r="A630" s="164"/>
      <c r="B630" s="164"/>
      <c r="C630" s="9"/>
      <c r="D630" s="9"/>
      <c r="E630" s="9"/>
      <c r="F630" s="9"/>
      <c r="G630" s="164"/>
      <c r="H630" s="164"/>
      <c r="I630" s="164"/>
      <c r="J630" s="652"/>
      <c r="K630" s="164"/>
      <c r="L630" s="164"/>
      <c r="M630" s="164"/>
      <c r="N630" s="164"/>
      <c r="O630" s="164"/>
      <c r="P630" s="164"/>
      <c r="Q630" s="164"/>
      <c r="R630" s="164"/>
      <c r="S630" s="164"/>
      <c r="T630" s="164"/>
      <c r="U630" s="164"/>
      <c r="V630" s="164"/>
      <c r="W630" s="164"/>
      <c r="X630" s="164"/>
      <c r="Y630" s="164"/>
      <c r="Z630" s="164"/>
      <c r="AA630" s="164"/>
      <c r="AB630" s="164"/>
    </row>
    <row r="631">
      <c r="A631" s="164"/>
      <c r="B631" s="164"/>
      <c r="C631" s="9"/>
      <c r="D631" s="9"/>
      <c r="E631" s="9"/>
      <c r="F631" s="9"/>
      <c r="G631" s="164"/>
      <c r="H631" s="164"/>
      <c r="I631" s="164"/>
      <c r="J631" s="652"/>
      <c r="K631" s="164"/>
      <c r="L631" s="164"/>
      <c r="M631" s="164"/>
      <c r="N631" s="164"/>
      <c r="O631" s="164"/>
      <c r="P631" s="164"/>
      <c r="Q631" s="164"/>
      <c r="R631" s="164"/>
      <c r="S631" s="164"/>
      <c r="T631" s="164"/>
      <c r="U631" s="164"/>
      <c r="V631" s="164"/>
      <c r="W631" s="164"/>
      <c r="X631" s="164"/>
      <c r="Y631" s="164"/>
      <c r="Z631" s="164"/>
      <c r="AA631" s="164"/>
      <c r="AB631" s="164"/>
    </row>
    <row r="632">
      <c r="A632" s="164"/>
      <c r="B632" s="164"/>
      <c r="C632" s="9"/>
      <c r="D632" s="9"/>
      <c r="E632" s="9"/>
      <c r="F632" s="9"/>
      <c r="G632" s="164"/>
      <c r="H632" s="164"/>
      <c r="I632" s="164"/>
      <c r="J632" s="652"/>
      <c r="K632" s="164"/>
      <c r="L632" s="164"/>
      <c r="M632" s="164"/>
      <c r="N632" s="164"/>
      <c r="O632" s="164"/>
      <c r="P632" s="164"/>
      <c r="Q632" s="164"/>
      <c r="R632" s="164"/>
      <c r="S632" s="164"/>
      <c r="T632" s="164"/>
      <c r="U632" s="164"/>
      <c r="V632" s="164"/>
      <c r="W632" s="164"/>
      <c r="X632" s="164"/>
      <c r="Y632" s="164"/>
      <c r="Z632" s="164"/>
      <c r="AA632" s="164"/>
      <c r="AB632" s="164"/>
    </row>
    <row r="633">
      <c r="A633" s="164"/>
      <c r="B633" s="164"/>
      <c r="C633" s="9"/>
      <c r="D633" s="9"/>
      <c r="E633" s="9"/>
      <c r="F633" s="9"/>
      <c r="G633" s="164"/>
      <c r="H633" s="164"/>
      <c r="I633" s="164"/>
      <c r="J633" s="652"/>
      <c r="K633" s="164"/>
      <c r="L633" s="164"/>
      <c r="M633" s="164"/>
      <c r="N633" s="164"/>
      <c r="O633" s="164"/>
      <c r="P633" s="164"/>
      <c r="Q633" s="164"/>
      <c r="R633" s="164"/>
      <c r="S633" s="164"/>
      <c r="T633" s="164"/>
      <c r="U633" s="164"/>
      <c r="V633" s="164"/>
      <c r="W633" s="164"/>
      <c r="X633" s="164"/>
      <c r="Y633" s="164"/>
      <c r="Z633" s="164"/>
      <c r="AA633" s="164"/>
      <c r="AB633" s="164"/>
    </row>
    <row r="634">
      <c r="A634" s="164"/>
      <c r="B634" s="164"/>
      <c r="C634" s="9"/>
      <c r="D634" s="9"/>
      <c r="E634" s="9"/>
      <c r="F634" s="9"/>
      <c r="G634" s="164"/>
      <c r="H634" s="164"/>
      <c r="I634" s="164"/>
      <c r="J634" s="652"/>
      <c r="K634" s="164"/>
      <c r="L634" s="164"/>
      <c r="M634" s="164"/>
      <c r="N634" s="164"/>
      <c r="O634" s="164"/>
      <c r="P634" s="164"/>
      <c r="Q634" s="164"/>
      <c r="R634" s="164"/>
      <c r="S634" s="164"/>
      <c r="T634" s="164"/>
      <c r="U634" s="164"/>
      <c r="V634" s="164"/>
      <c r="W634" s="164"/>
      <c r="X634" s="164"/>
      <c r="Y634" s="164"/>
      <c r="Z634" s="164"/>
      <c r="AA634" s="164"/>
      <c r="AB634" s="164"/>
    </row>
    <row r="635">
      <c r="A635" s="164"/>
      <c r="B635" s="164"/>
      <c r="C635" s="9"/>
      <c r="D635" s="9"/>
      <c r="E635" s="9"/>
      <c r="F635" s="9"/>
      <c r="G635" s="164"/>
      <c r="H635" s="164"/>
      <c r="I635" s="164"/>
      <c r="J635" s="652"/>
      <c r="K635" s="164"/>
      <c r="L635" s="164"/>
      <c r="M635" s="164"/>
      <c r="N635" s="164"/>
      <c r="O635" s="164"/>
      <c r="P635" s="164"/>
      <c r="Q635" s="164"/>
      <c r="R635" s="164"/>
      <c r="S635" s="164"/>
      <c r="T635" s="164"/>
      <c r="U635" s="164"/>
      <c r="V635" s="164"/>
      <c r="W635" s="164"/>
      <c r="X635" s="164"/>
      <c r="Y635" s="164"/>
      <c r="Z635" s="164"/>
      <c r="AA635" s="164"/>
      <c r="AB635" s="164"/>
    </row>
    <row r="636">
      <c r="A636" s="164"/>
      <c r="B636" s="164"/>
      <c r="C636" s="9"/>
      <c r="D636" s="9"/>
      <c r="E636" s="9"/>
      <c r="F636" s="9"/>
      <c r="G636" s="164"/>
      <c r="H636" s="164"/>
      <c r="I636" s="164"/>
      <c r="J636" s="652"/>
      <c r="K636" s="164"/>
      <c r="L636" s="164"/>
      <c r="M636" s="164"/>
      <c r="N636" s="164"/>
      <c r="O636" s="164"/>
      <c r="P636" s="164"/>
      <c r="Q636" s="164"/>
      <c r="R636" s="164"/>
      <c r="S636" s="164"/>
      <c r="T636" s="164"/>
      <c r="U636" s="164"/>
      <c r="V636" s="164"/>
      <c r="W636" s="164"/>
      <c r="X636" s="164"/>
      <c r="Y636" s="164"/>
      <c r="Z636" s="164"/>
      <c r="AA636" s="164"/>
      <c r="AB636" s="164"/>
    </row>
    <row r="637">
      <c r="A637" s="164"/>
      <c r="B637" s="164"/>
      <c r="C637" s="9"/>
      <c r="D637" s="9"/>
      <c r="E637" s="9"/>
      <c r="F637" s="9"/>
      <c r="G637" s="164"/>
      <c r="H637" s="164"/>
      <c r="I637" s="164"/>
      <c r="J637" s="652"/>
      <c r="K637" s="164"/>
      <c r="L637" s="164"/>
      <c r="M637" s="164"/>
      <c r="N637" s="164"/>
      <c r="O637" s="164"/>
      <c r="P637" s="164"/>
      <c r="Q637" s="164"/>
      <c r="R637" s="164"/>
      <c r="S637" s="164"/>
      <c r="T637" s="164"/>
      <c r="U637" s="164"/>
      <c r="V637" s="164"/>
      <c r="W637" s="164"/>
      <c r="X637" s="164"/>
      <c r="Y637" s="164"/>
      <c r="Z637" s="164"/>
      <c r="AA637" s="164"/>
      <c r="AB637" s="164"/>
    </row>
    <row r="638">
      <c r="A638" s="164"/>
      <c r="B638" s="164"/>
      <c r="C638" s="9"/>
      <c r="D638" s="9"/>
      <c r="E638" s="9"/>
      <c r="F638" s="9"/>
      <c r="G638" s="164"/>
      <c r="H638" s="164"/>
      <c r="I638" s="164"/>
      <c r="J638" s="652"/>
      <c r="K638" s="164"/>
      <c r="L638" s="164"/>
      <c r="M638" s="164"/>
      <c r="N638" s="164"/>
      <c r="O638" s="164"/>
      <c r="P638" s="164"/>
      <c r="Q638" s="164"/>
      <c r="R638" s="164"/>
      <c r="S638" s="164"/>
      <c r="T638" s="164"/>
      <c r="U638" s="164"/>
      <c r="V638" s="164"/>
      <c r="W638" s="164"/>
      <c r="X638" s="164"/>
      <c r="Y638" s="164"/>
      <c r="Z638" s="164"/>
      <c r="AA638" s="164"/>
      <c r="AB638" s="164"/>
    </row>
    <row r="639">
      <c r="A639" s="164"/>
      <c r="B639" s="164"/>
      <c r="C639" s="9"/>
      <c r="D639" s="9"/>
      <c r="E639" s="9"/>
      <c r="F639" s="9"/>
      <c r="G639" s="164"/>
      <c r="H639" s="164"/>
      <c r="I639" s="164"/>
      <c r="J639" s="652"/>
      <c r="K639" s="164"/>
      <c r="L639" s="164"/>
      <c r="M639" s="164"/>
      <c r="N639" s="164"/>
      <c r="O639" s="164"/>
      <c r="P639" s="164"/>
      <c r="Q639" s="164"/>
      <c r="R639" s="164"/>
      <c r="S639" s="164"/>
      <c r="T639" s="164"/>
      <c r="U639" s="164"/>
      <c r="V639" s="164"/>
      <c r="W639" s="164"/>
      <c r="X639" s="164"/>
      <c r="Y639" s="164"/>
      <c r="Z639" s="164"/>
      <c r="AA639" s="164"/>
      <c r="AB639" s="164"/>
    </row>
    <row r="640">
      <c r="A640" s="164"/>
      <c r="B640" s="164"/>
      <c r="C640" s="9"/>
      <c r="D640" s="9"/>
      <c r="E640" s="9"/>
      <c r="F640" s="9"/>
      <c r="G640" s="164"/>
      <c r="H640" s="164"/>
      <c r="I640" s="164"/>
      <c r="J640" s="652"/>
      <c r="K640" s="164"/>
      <c r="L640" s="164"/>
      <c r="M640" s="164"/>
      <c r="N640" s="164"/>
      <c r="O640" s="164"/>
      <c r="P640" s="164"/>
      <c r="Q640" s="164"/>
      <c r="R640" s="164"/>
      <c r="S640" s="164"/>
      <c r="T640" s="164"/>
      <c r="U640" s="164"/>
      <c r="V640" s="164"/>
      <c r="W640" s="164"/>
      <c r="X640" s="164"/>
      <c r="Y640" s="164"/>
      <c r="Z640" s="164"/>
      <c r="AA640" s="164"/>
      <c r="AB640" s="164"/>
    </row>
    <row r="641">
      <c r="A641" s="164"/>
      <c r="B641" s="164"/>
      <c r="C641" s="9"/>
      <c r="D641" s="9"/>
      <c r="E641" s="9"/>
      <c r="F641" s="9"/>
      <c r="G641" s="164"/>
      <c r="H641" s="164"/>
      <c r="I641" s="164"/>
      <c r="J641" s="652"/>
      <c r="K641" s="164"/>
      <c r="L641" s="164"/>
      <c r="M641" s="164"/>
      <c r="N641" s="164"/>
      <c r="O641" s="164"/>
      <c r="P641" s="164"/>
      <c r="Q641" s="164"/>
      <c r="R641" s="164"/>
      <c r="S641" s="164"/>
      <c r="T641" s="164"/>
      <c r="U641" s="164"/>
      <c r="V641" s="164"/>
      <c r="W641" s="164"/>
      <c r="X641" s="164"/>
      <c r="Y641" s="164"/>
      <c r="Z641" s="164"/>
      <c r="AA641" s="164"/>
      <c r="AB641" s="164"/>
    </row>
    <row r="642">
      <c r="A642" s="164"/>
      <c r="B642" s="164"/>
      <c r="C642" s="9"/>
      <c r="D642" s="9"/>
      <c r="E642" s="9"/>
      <c r="F642" s="9"/>
      <c r="G642" s="164"/>
      <c r="H642" s="164"/>
      <c r="I642" s="164"/>
      <c r="J642" s="652"/>
      <c r="K642" s="164"/>
      <c r="L642" s="164"/>
      <c r="M642" s="164"/>
      <c r="N642" s="164"/>
      <c r="O642" s="164"/>
      <c r="P642" s="164"/>
      <c r="Q642" s="164"/>
      <c r="R642" s="164"/>
      <c r="S642" s="164"/>
      <c r="T642" s="164"/>
      <c r="U642" s="164"/>
      <c r="V642" s="164"/>
      <c r="W642" s="164"/>
      <c r="X642" s="164"/>
      <c r="Y642" s="164"/>
      <c r="Z642" s="164"/>
      <c r="AA642" s="164"/>
      <c r="AB642" s="164"/>
    </row>
    <row r="643">
      <c r="A643" s="164"/>
      <c r="B643" s="164"/>
      <c r="C643" s="9"/>
      <c r="D643" s="9"/>
      <c r="E643" s="9"/>
      <c r="F643" s="9"/>
      <c r="G643" s="164"/>
      <c r="H643" s="164"/>
      <c r="I643" s="164"/>
      <c r="J643" s="652"/>
      <c r="K643" s="164"/>
      <c r="L643" s="164"/>
      <c r="M643" s="164"/>
      <c r="N643" s="164"/>
      <c r="O643" s="164"/>
      <c r="P643" s="164"/>
      <c r="Q643" s="164"/>
      <c r="R643" s="164"/>
      <c r="S643" s="164"/>
      <c r="T643" s="164"/>
      <c r="U643" s="164"/>
      <c r="V643" s="164"/>
      <c r="W643" s="164"/>
      <c r="X643" s="164"/>
      <c r="Y643" s="164"/>
      <c r="Z643" s="164"/>
      <c r="AA643" s="164"/>
      <c r="AB643" s="164"/>
    </row>
    <row r="644">
      <c r="A644" s="164"/>
      <c r="B644" s="164"/>
      <c r="C644" s="9"/>
      <c r="D644" s="9"/>
      <c r="E644" s="9"/>
      <c r="F644" s="9"/>
      <c r="G644" s="164"/>
      <c r="H644" s="164"/>
      <c r="I644" s="164"/>
      <c r="J644" s="652"/>
      <c r="K644" s="164"/>
      <c r="L644" s="164"/>
      <c r="M644" s="164"/>
      <c r="N644" s="164"/>
      <c r="O644" s="164"/>
      <c r="P644" s="164"/>
      <c r="Q644" s="164"/>
      <c r="R644" s="164"/>
      <c r="S644" s="164"/>
      <c r="T644" s="164"/>
      <c r="U644" s="164"/>
      <c r="V644" s="164"/>
      <c r="W644" s="164"/>
      <c r="X644" s="164"/>
      <c r="Y644" s="164"/>
      <c r="Z644" s="164"/>
      <c r="AA644" s="164"/>
      <c r="AB644" s="164"/>
    </row>
    <row r="645">
      <c r="A645" s="164"/>
      <c r="B645" s="164"/>
      <c r="C645" s="9"/>
      <c r="D645" s="9"/>
      <c r="E645" s="9"/>
      <c r="F645" s="9"/>
      <c r="G645" s="164"/>
      <c r="H645" s="164"/>
      <c r="I645" s="164"/>
      <c r="J645" s="652"/>
      <c r="K645" s="164"/>
      <c r="L645" s="164"/>
      <c r="M645" s="164"/>
      <c r="N645" s="164"/>
      <c r="O645" s="164"/>
      <c r="P645" s="164"/>
      <c r="Q645" s="164"/>
      <c r="R645" s="164"/>
      <c r="S645" s="164"/>
      <c r="T645" s="164"/>
      <c r="U645" s="164"/>
      <c r="V645" s="164"/>
      <c r="W645" s="164"/>
      <c r="X645" s="164"/>
      <c r="Y645" s="164"/>
      <c r="Z645" s="164"/>
      <c r="AA645" s="164"/>
      <c r="AB645" s="164"/>
    </row>
    <row r="646">
      <c r="A646" s="164"/>
      <c r="B646" s="164"/>
      <c r="C646" s="9"/>
      <c r="D646" s="9"/>
      <c r="E646" s="9"/>
      <c r="F646" s="9"/>
      <c r="G646" s="164"/>
      <c r="H646" s="164"/>
      <c r="I646" s="164"/>
      <c r="J646" s="652"/>
      <c r="K646" s="164"/>
      <c r="L646" s="164"/>
      <c r="M646" s="164"/>
      <c r="N646" s="164"/>
      <c r="O646" s="164"/>
      <c r="P646" s="164"/>
      <c r="Q646" s="164"/>
      <c r="R646" s="164"/>
      <c r="S646" s="164"/>
      <c r="T646" s="164"/>
      <c r="U646" s="164"/>
      <c r="V646" s="164"/>
      <c r="W646" s="164"/>
      <c r="X646" s="164"/>
      <c r="Y646" s="164"/>
      <c r="Z646" s="164"/>
      <c r="AA646" s="164"/>
      <c r="AB646" s="164"/>
    </row>
    <row r="647">
      <c r="A647" s="164"/>
      <c r="B647" s="164"/>
      <c r="C647" s="9"/>
      <c r="D647" s="9"/>
      <c r="E647" s="9"/>
      <c r="F647" s="9"/>
      <c r="G647" s="164"/>
      <c r="H647" s="164"/>
      <c r="I647" s="164"/>
      <c r="J647" s="652"/>
      <c r="K647" s="164"/>
      <c r="L647" s="164"/>
      <c r="M647" s="164"/>
      <c r="N647" s="164"/>
      <c r="O647" s="164"/>
      <c r="P647" s="164"/>
      <c r="Q647" s="164"/>
      <c r="R647" s="164"/>
      <c r="S647" s="164"/>
      <c r="T647" s="164"/>
      <c r="U647" s="164"/>
      <c r="V647" s="164"/>
      <c r="W647" s="164"/>
      <c r="X647" s="164"/>
      <c r="Y647" s="164"/>
      <c r="Z647" s="164"/>
      <c r="AA647" s="164"/>
      <c r="AB647" s="164"/>
    </row>
    <row r="648">
      <c r="A648" s="164"/>
      <c r="B648" s="164"/>
      <c r="C648" s="9"/>
      <c r="D648" s="9"/>
      <c r="E648" s="9"/>
      <c r="F648" s="9"/>
      <c r="G648" s="164"/>
      <c r="H648" s="164"/>
      <c r="I648" s="164"/>
      <c r="J648" s="652"/>
      <c r="K648" s="164"/>
      <c r="L648" s="164"/>
      <c r="M648" s="164"/>
      <c r="N648" s="164"/>
      <c r="O648" s="164"/>
      <c r="P648" s="164"/>
      <c r="Q648" s="164"/>
      <c r="R648" s="164"/>
      <c r="S648" s="164"/>
      <c r="T648" s="164"/>
      <c r="U648" s="164"/>
      <c r="V648" s="164"/>
      <c r="W648" s="164"/>
      <c r="X648" s="164"/>
      <c r="Y648" s="164"/>
      <c r="Z648" s="164"/>
      <c r="AA648" s="164"/>
      <c r="AB648" s="164"/>
    </row>
    <row r="649">
      <c r="A649" s="164"/>
      <c r="B649" s="164"/>
      <c r="C649" s="9"/>
      <c r="D649" s="9"/>
      <c r="E649" s="9"/>
      <c r="F649" s="9"/>
      <c r="G649" s="164"/>
      <c r="H649" s="164"/>
      <c r="I649" s="164"/>
      <c r="J649" s="652"/>
      <c r="K649" s="164"/>
      <c r="L649" s="164"/>
      <c r="M649" s="164"/>
      <c r="N649" s="164"/>
      <c r="O649" s="164"/>
      <c r="P649" s="164"/>
      <c r="Q649" s="164"/>
      <c r="R649" s="164"/>
      <c r="S649" s="164"/>
      <c r="T649" s="164"/>
      <c r="U649" s="164"/>
      <c r="V649" s="164"/>
      <c r="W649" s="164"/>
      <c r="X649" s="164"/>
      <c r="Y649" s="164"/>
      <c r="Z649" s="164"/>
      <c r="AA649" s="164"/>
      <c r="AB649" s="164"/>
    </row>
    <row r="650">
      <c r="A650" s="164"/>
      <c r="B650" s="164"/>
      <c r="C650" s="9"/>
      <c r="D650" s="9"/>
      <c r="E650" s="9"/>
      <c r="F650" s="9"/>
      <c r="G650" s="164"/>
      <c r="H650" s="164"/>
      <c r="I650" s="164"/>
      <c r="J650" s="652"/>
      <c r="K650" s="164"/>
      <c r="L650" s="164"/>
      <c r="M650" s="164"/>
      <c r="N650" s="164"/>
      <c r="O650" s="164"/>
      <c r="P650" s="164"/>
      <c r="Q650" s="164"/>
      <c r="R650" s="164"/>
      <c r="S650" s="164"/>
      <c r="T650" s="164"/>
      <c r="U650" s="164"/>
      <c r="V650" s="164"/>
      <c r="W650" s="164"/>
      <c r="X650" s="164"/>
      <c r="Y650" s="164"/>
      <c r="Z650" s="164"/>
      <c r="AA650" s="164"/>
      <c r="AB650" s="164"/>
    </row>
    <row r="651">
      <c r="A651" s="164"/>
      <c r="B651" s="164"/>
      <c r="C651" s="9"/>
      <c r="D651" s="9"/>
      <c r="E651" s="9"/>
      <c r="F651" s="9"/>
      <c r="G651" s="164"/>
      <c r="H651" s="164"/>
      <c r="I651" s="164"/>
      <c r="J651" s="652"/>
      <c r="K651" s="164"/>
      <c r="L651" s="164"/>
      <c r="M651" s="164"/>
      <c r="N651" s="164"/>
      <c r="O651" s="164"/>
      <c r="P651" s="164"/>
      <c r="Q651" s="164"/>
      <c r="R651" s="164"/>
      <c r="S651" s="164"/>
      <c r="T651" s="164"/>
      <c r="U651" s="164"/>
      <c r="V651" s="164"/>
      <c r="W651" s="164"/>
      <c r="X651" s="164"/>
      <c r="Y651" s="164"/>
      <c r="Z651" s="164"/>
      <c r="AA651" s="164"/>
      <c r="AB651" s="164"/>
    </row>
    <row r="652">
      <c r="A652" s="164"/>
      <c r="B652" s="164"/>
      <c r="C652" s="9"/>
      <c r="D652" s="9"/>
      <c r="E652" s="9"/>
      <c r="F652" s="9"/>
      <c r="G652" s="164"/>
      <c r="H652" s="164"/>
      <c r="I652" s="164"/>
      <c r="J652" s="652"/>
      <c r="K652" s="164"/>
      <c r="L652" s="164"/>
      <c r="M652" s="164"/>
      <c r="N652" s="164"/>
      <c r="O652" s="164"/>
      <c r="P652" s="164"/>
      <c r="Q652" s="164"/>
      <c r="R652" s="164"/>
      <c r="S652" s="164"/>
      <c r="T652" s="164"/>
      <c r="U652" s="164"/>
      <c r="V652" s="164"/>
      <c r="W652" s="164"/>
      <c r="X652" s="164"/>
      <c r="Y652" s="164"/>
      <c r="Z652" s="164"/>
      <c r="AA652" s="164"/>
      <c r="AB652" s="164"/>
    </row>
    <row r="653">
      <c r="A653" s="164"/>
      <c r="B653" s="164"/>
      <c r="C653" s="9"/>
      <c r="D653" s="9"/>
      <c r="E653" s="9"/>
      <c r="F653" s="9"/>
      <c r="G653" s="164"/>
      <c r="H653" s="164"/>
      <c r="I653" s="164"/>
      <c r="J653" s="652"/>
      <c r="K653" s="164"/>
      <c r="L653" s="164"/>
      <c r="M653" s="164"/>
      <c r="N653" s="164"/>
      <c r="O653" s="164"/>
      <c r="P653" s="164"/>
      <c r="Q653" s="164"/>
      <c r="R653" s="164"/>
      <c r="S653" s="164"/>
      <c r="T653" s="164"/>
      <c r="U653" s="164"/>
      <c r="V653" s="164"/>
      <c r="W653" s="164"/>
      <c r="X653" s="164"/>
      <c r="Y653" s="164"/>
      <c r="Z653" s="164"/>
      <c r="AA653" s="164"/>
      <c r="AB653" s="164"/>
    </row>
    <row r="654">
      <c r="A654" s="164"/>
      <c r="B654" s="164"/>
      <c r="C654" s="9"/>
      <c r="D654" s="9"/>
      <c r="E654" s="9"/>
      <c r="F654" s="9"/>
      <c r="G654" s="164"/>
      <c r="H654" s="164"/>
      <c r="I654" s="164"/>
      <c r="J654" s="652"/>
      <c r="K654" s="164"/>
      <c r="L654" s="164"/>
      <c r="M654" s="164"/>
      <c r="N654" s="164"/>
      <c r="O654" s="164"/>
      <c r="P654" s="164"/>
      <c r="Q654" s="164"/>
      <c r="R654" s="164"/>
      <c r="S654" s="164"/>
      <c r="T654" s="164"/>
      <c r="U654" s="164"/>
      <c r="V654" s="164"/>
      <c r="W654" s="164"/>
      <c r="X654" s="164"/>
      <c r="Y654" s="164"/>
      <c r="Z654" s="164"/>
      <c r="AA654" s="164"/>
      <c r="AB654" s="164"/>
    </row>
    <row r="655">
      <c r="A655" s="164"/>
      <c r="B655" s="164"/>
      <c r="C655" s="9"/>
      <c r="D655" s="9"/>
      <c r="E655" s="9"/>
      <c r="F655" s="9"/>
      <c r="G655" s="164"/>
      <c r="H655" s="164"/>
      <c r="I655" s="164"/>
      <c r="J655" s="652"/>
      <c r="K655" s="164"/>
      <c r="L655" s="164"/>
      <c r="M655" s="164"/>
      <c r="N655" s="164"/>
      <c r="O655" s="164"/>
      <c r="P655" s="164"/>
      <c r="Q655" s="164"/>
      <c r="R655" s="164"/>
      <c r="S655" s="164"/>
      <c r="T655" s="164"/>
      <c r="U655" s="164"/>
      <c r="V655" s="164"/>
      <c r="W655" s="164"/>
      <c r="X655" s="164"/>
      <c r="Y655" s="164"/>
      <c r="Z655" s="164"/>
      <c r="AA655" s="164"/>
      <c r="AB655" s="164"/>
    </row>
    <row r="656">
      <c r="A656" s="164"/>
      <c r="B656" s="164"/>
      <c r="C656" s="9"/>
      <c r="D656" s="9"/>
      <c r="E656" s="9"/>
      <c r="F656" s="9"/>
      <c r="G656" s="164"/>
      <c r="H656" s="164"/>
      <c r="I656" s="164"/>
      <c r="J656" s="652"/>
      <c r="K656" s="164"/>
      <c r="L656" s="164"/>
      <c r="M656" s="164"/>
      <c r="N656" s="164"/>
      <c r="O656" s="164"/>
      <c r="P656" s="164"/>
      <c r="Q656" s="164"/>
      <c r="R656" s="164"/>
      <c r="S656" s="164"/>
      <c r="T656" s="164"/>
      <c r="U656" s="164"/>
      <c r="V656" s="164"/>
      <c r="W656" s="164"/>
      <c r="X656" s="164"/>
      <c r="Y656" s="164"/>
      <c r="Z656" s="164"/>
      <c r="AA656" s="164"/>
      <c r="AB656" s="164"/>
    </row>
    <row r="657">
      <c r="A657" s="164"/>
      <c r="B657" s="164"/>
      <c r="C657" s="9"/>
      <c r="D657" s="9"/>
      <c r="E657" s="9"/>
      <c r="F657" s="9"/>
      <c r="G657" s="164"/>
      <c r="H657" s="164"/>
      <c r="I657" s="164"/>
      <c r="J657" s="652"/>
      <c r="K657" s="164"/>
      <c r="L657" s="164"/>
      <c r="M657" s="164"/>
      <c r="N657" s="164"/>
      <c r="O657" s="164"/>
      <c r="P657" s="164"/>
      <c r="Q657" s="164"/>
      <c r="R657" s="164"/>
      <c r="S657" s="164"/>
      <c r="T657" s="164"/>
      <c r="U657" s="164"/>
      <c r="V657" s="164"/>
      <c r="W657" s="164"/>
      <c r="X657" s="164"/>
      <c r="Y657" s="164"/>
      <c r="Z657" s="164"/>
      <c r="AA657" s="164"/>
      <c r="AB657" s="164"/>
    </row>
    <row r="658">
      <c r="A658" s="164"/>
      <c r="B658" s="164"/>
      <c r="C658" s="9"/>
      <c r="D658" s="9"/>
      <c r="E658" s="9"/>
      <c r="F658" s="9"/>
      <c r="G658" s="164"/>
      <c r="H658" s="164"/>
      <c r="I658" s="164"/>
      <c r="J658" s="652"/>
      <c r="K658" s="164"/>
      <c r="L658" s="164"/>
      <c r="M658" s="164"/>
      <c r="N658" s="164"/>
      <c r="O658" s="164"/>
      <c r="P658" s="164"/>
      <c r="Q658" s="164"/>
      <c r="R658" s="164"/>
      <c r="S658" s="164"/>
      <c r="T658" s="164"/>
      <c r="U658" s="164"/>
      <c r="V658" s="164"/>
      <c r="W658" s="164"/>
      <c r="X658" s="164"/>
      <c r="Y658" s="164"/>
      <c r="Z658" s="164"/>
      <c r="AA658" s="164"/>
      <c r="AB658" s="164"/>
    </row>
    <row r="659">
      <c r="A659" s="164"/>
      <c r="B659" s="164"/>
      <c r="C659" s="9"/>
      <c r="D659" s="9"/>
      <c r="E659" s="9"/>
      <c r="F659" s="9"/>
      <c r="G659" s="164"/>
      <c r="H659" s="164"/>
      <c r="I659" s="164"/>
      <c r="J659" s="652"/>
      <c r="K659" s="164"/>
      <c r="L659" s="164"/>
      <c r="M659" s="164"/>
      <c r="N659" s="164"/>
      <c r="O659" s="164"/>
      <c r="P659" s="164"/>
      <c r="Q659" s="164"/>
      <c r="R659" s="164"/>
      <c r="S659" s="164"/>
      <c r="T659" s="164"/>
      <c r="U659" s="164"/>
      <c r="V659" s="164"/>
      <c r="W659" s="164"/>
      <c r="X659" s="164"/>
      <c r="Y659" s="164"/>
      <c r="Z659" s="164"/>
      <c r="AA659" s="164"/>
      <c r="AB659" s="164"/>
    </row>
    <row r="660">
      <c r="A660" s="164"/>
      <c r="B660" s="164"/>
      <c r="C660" s="9"/>
      <c r="D660" s="9"/>
      <c r="E660" s="9"/>
      <c r="F660" s="9"/>
      <c r="G660" s="164"/>
      <c r="H660" s="164"/>
      <c r="I660" s="164"/>
      <c r="J660" s="652"/>
      <c r="K660" s="164"/>
      <c r="L660" s="164"/>
      <c r="M660" s="164"/>
      <c r="N660" s="164"/>
      <c r="O660" s="164"/>
      <c r="P660" s="164"/>
      <c r="Q660" s="164"/>
      <c r="R660" s="164"/>
      <c r="S660" s="164"/>
      <c r="T660" s="164"/>
      <c r="U660" s="164"/>
      <c r="V660" s="164"/>
      <c r="W660" s="164"/>
      <c r="X660" s="164"/>
      <c r="Y660" s="164"/>
      <c r="Z660" s="164"/>
      <c r="AA660" s="164"/>
      <c r="AB660" s="164"/>
    </row>
    <row r="661">
      <c r="A661" s="164"/>
      <c r="B661" s="164"/>
      <c r="C661" s="9"/>
      <c r="D661" s="9"/>
      <c r="E661" s="9"/>
      <c r="F661" s="9"/>
      <c r="G661" s="164"/>
      <c r="H661" s="164"/>
      <c r="I661" s="164"/>
      <c r="J661" s="652"/>
      <c r="K661" s="164"/>
      <c r="L661" s="164"/>
      <c r="M661" s="164"/>
      <c r="N661" s="164"/>
      <c r="O661" s="164"/>
      <c r="P661" s="164"/>
      <c r="Q661" s="164"/>
      <c r="R661" s="164"/>
      <c r="S661" s="164"/>
      <c r="T661" s="164"/>
      <c r="U661" s="164"/>
      <c r="V661" s="164"/>
      <c r="W661" s="164"/>
      <c r="X661" s="164"/>
      <c r="Y661" s="164"/>
      <c r="Z661" s="164"/>
      <c r="AA661" s="164"/>
      <c r="AB661" s="164"/>
    </row>
    <row r="662">
      <c r="A662" s="164"/>
      <c r="B662" s="164"/>
      <c r="C662" s="9"/>
      <c r="D662" s="9"/>
      <c r="E662" s="9"/>
      <c r="F662" s="9"/>
      <c r="G662" s="164"/>
      <c r="H662" s="164"/>
      <c r="I662" s="164"/>
      <c r="J662" s="652"/>
      <c r="K662" s="164"/>
      <c r="L662" s="164"/>
      <c r="M662" s="164"/>
      <c r="N662" s="164"/>
      <c r="O662" s="164"/>
      <c r="P662" s="164"/>
      <c r="Q662" s="164"/>
      <c r="R662" s="164"/>
      <c r="S662" s="164"/>
      <c r="T662" s="164"/>
      <c r="U662" s="164"/>
      <c r="V662" s="164"/>
      <c r="W662" s="164"/>
      <c r="X662" s="164"/>
      <c r="Y662" s="164"/>
      <c r="Z662" s="164"/>
      <c r="AA662" s="164"/>
      <c r="AB662" s="164"/>
    </row>
    <row r="663">
      <c r="A663" s="164"/>
      <c r="B663" s="164"/>
      <c r="C663" s="9"/>
      <c r="D663" s="9"/>
      <c r="E663" s="9"/>
      <c r="F663" s="9"/>
      <c r="G663" s="164"/>
      <c r="H663" s="164"/>
      <c r="I663" s="164"/>
      <c r="J663" s="652"/>
      <c r="K663" s="164"/>
      <c r="L663" s="164"/>
      <c r="M663" s="164"/>
      <c r="N663" s="164"/>
      <c r="O663" s="164"/>
      <c r="P663" s="164"/>
      <c r="Q663" s="164"/>
      <c r="R663" s="164"/>
      <c r="S663" s="164"/>
      <c r="T663" s="164"/>
      <c r="U663" s="164"/>
      <c r="V663" s="164"/>
      <c r="W663" s="164"/>
      <c r="X663" s="164"/>
      <c r="Y663" s="164"/>
      <c r="Z663" s="164"/>
      <c r="AA663" s="164"/>
      <c r="AB663" s="164"/>
    </row>
    <row r="664">
      <c r="A664" s="164"/>
      <c r="B664" s="164"/>
      <c r="C664" s="9"/>
      <c r="D664" s="9"/>
      <c r="E664" s="9"/>
      <c r="F664" s="9"/>
      <c r="G664" s="164"/>
      <c r="H664" s="164"/>
      <c r="I664" s="164"/>
      <c r="J664" s="652"/>
      <c r="K664" s="164"/>
      <c r="L664" s="164"/>
      <c r="M664" s="164"/>
      <c r="N664" s="164"/>
      <c r="O664" s="164"/>
      <c r="P664" s="164"/>
      <c r="Q664" s="164"/>
      <c r="R664" s="164"/>
      <c r="S664" s="164"/>
      <c r="T664" s="164"/>
      <c r="U664" s="164"/>
      <c r="V664" s="164"/>
      <c r="W664" s="164"/>
      <c r="X664" s="164"/>
      <c r="Y664" s="164"/>
      <c r="Z664" s="164"/>
      <c r="AA664" s="164"/>
      <c r="AB664" s="164"/>
    </row>
    <row r="665">
      <c r="A665" s="164"/>
      <c r="B665" s="164"/>
      <c r="C665" s="9"/>
      <c r="D665" s="9"/>
      <c r="E665" s="9"/>
      <c r="F665" s="9"/>
      <c r="G665" s="164"/>
      <c r="H665" s="164"/>
      <c r="I665" s="164"/>
      <c r="J665" s="652"/>
      <c r="K665" s="164"/>
      <c r="L665" s="164"/>
      <c r="M665" s="164"/>
      <c r="N665" s="164"/>
      <c r="O665" s="164"/>
      <c r="P665" s="164"/>
      <c r="Q665" s="164"/>
      <c r="R665" s="164"/>
      <c r="S665" s="164"/>
      <c r="T665" s="164"/>
      <c r="U665" s="164"/>
      <c r="V665" s="164"/>
      <c r="W665" s="164"/>
      <c r="X665" s="164"/>
      <c r="Y665" s="164"/>
      <c r="Z665" s="164"/>
      <c r="AA665" s="164"/>
      <c r="AB665" s="164"/>
    </row>
    <row r="666">
      <c r="A666" s="164"/>
      <c r="B666" s="164"/>
      <c r="C666" s="9"/>
      <c r="D666" s="9"/>
      <c r="E666" s="9"/>
      <c r="F666" s="9"/>
      <c r="G666" s="164"/>
      <c r="H666" s="164"/>
      <c r="I666" s="164"/>
      <c r="J666" s="652"/>
      <c r="K666" s="164"/>
      <c r="L666" s="164"/>
      <c r="M666" s="164"/>
      <c r="N666" s="164"/>
      <c r="O666" s="164"/>
      <c r="P666" s="164"/>
      <c r="Q666" s="164"/>
      <c r="R666" s="164"/>
      <c r="S666" s="164"/>
      <c r="T666" s="164"/>
      <c r="U666" s="164"/>
      <c r="V666" s="164"/>
      <c r="W666" s="164"/>
      <c r="X666" s="164"/>
      <c r="Y666" s="164"/>
      <c r="Z666" s="164"/>
      <c r="AA666" s="164"/>
      <c r="AB666" s="164"/>
    </row>
    <row r="667">
      <c r="A667" s="164"/>
      <c r="B667" s="164"/>
      <c r="C667" s="9"/>
      <c r="D667" s="9"/>
      <c r="E667" s="9"/>
      <c r="F667" s="9"/>
      <c r="G667" s="164"/>
      <c r="H667" s="164"/>
      <c r="I667" s="164"/>
      <c r="J667" s="652"/>
      <c r="K667" s="164"/>
      <c r="L667" s="164"/>
      <c r="M667" s="164"/>
      <c r="N667" s="164"/>
      <c r="O667" s="164"/>
      <c r="P667" s="164"/>
      <c r="Q667" s="164"/>
      <c r="R667" s="164"/>
      <c r="S667" s="164"/>
      <c r="T667" s="164"/>
      <c r="U667" s="164"/>
      <c r="V667" s="164"/>
      <c r="W667" s="164"/>
      <c r="X667" s="164"/>
      <c r="Y667" s="164"/>
      <c r="Z667" s="164"/>
      <c r="AA667" s="164"/>
      <c r="AB667" s="164"/>
    </row>
    <row r="668">
      <c r="A668" s="164"/>
      <c r="B668" s="164"/>
      <c r="C668" s="9"/>
      <c r="D668" s="9"/>
      <c r="E668" s="9"/>
      <c r="F668" s="9"/>
      <c r="G668" s="164"/>
      <c r="H668" s="164"/>
      <c r="I668" s="164"/>
      <c r="J668" s="652"/>
      <c r="K668" s="164"/>
      <c r="L668" s="164"/>
      <c r="M668" s="164"/>
      <c r="N668" s="164"/>
      <c r="O668" s="164"/>
      <c r="P668" s="164"/>
      <c r="Q668" s="164"/>
      <c r="R668" s="164"/>
      <c r="S668" s="164"/>
      <c r="T668" s="164"/>
      <c r="U668" s="164"/>
      <c r="V668" s="164"/>
      <c r="W668" s="164"/>
      <c r="X668" s="164"/>
      <c r="Y668" s="164"/>
      <c r="Z668" s="164"/>
      <c r="AA668" s="164"/>
      <c r="AB668" s="164"/>
    </row>
    <row r="669">
      <c r="A669" s="164"/>
      <c r="B669" s="164"/>
      <c r="C669" s="9"/>
      <c r="D669" s="9"/>
      <c r="E669" s="9"/>
      <c r="F669" s="9"/>
      <c r="G669" s="164"/>
      <c r="H669" s="164"/>
      <c r="I669" s="164"/>
      <c r="J669" s="652"/>
      <c r="K669" s="164"/>
      <c r="L669" s="164"/>
      <c r="M669" s="164"/>
      <c r="N669" s="164"/>
      <c r="O669" s="164"/>
      <c r="P669" s="164"/>
      <c r="Q669" s="164"/>
      <c r="R669" s="164"/>
      <c r="S669" s="164"/>
      <c r="T669" s="164"/>
      <c r="U669" s="164"/>
      <c r="V669" s="164"/>
      <c r="W669" s="164"/>
      <c r="X669" s="164"/>
      <c r="Y669" s="164"/>
      <c r="Z669" s="164"/>
      <c r="AA669" s="164"/>
      <c r="AB669" s="164"/>
    </row>
    <row r="670">
      <c r="A670" s="164"/>
      <c r="B670" s="164"/>
      <c r="C670" s="9"/>
      <c r="D670" s="9"/>
      <c r="E670" s="9"/>
      <c r="F670" s="9"/>
      <c r="G670" s="164"/>
      <c r="H670" s="164"/>
      <c r="I670" s="164"/>
      <c r="J670" s="652"/>
      <c r="K670" s="164"/>
      <c r="L670" s="164"/>
      <c r="M670" s="164"/>
      <c r="N670" s="164"/>
      <c r="O670" s="164"/>
      <c r="P670" s="164"/>
      <c r="Q670" s="164"/>
      <c r="R670" s="164"/>
      <c r="S670" s="164"/>
      <c r="T670" s="164"/>
      <c r="U670" s="164"/>
      <c r="V670" s="164"/>
      <c r="W670" s="164"/>
      <c r="X670" s="164"/>
      <c r="Y670" s="164"/>
      <c r="Z670" s="164"/>
      <c r="AA670" s="164"/>
      <c r="AB670" s="164"/>
    </row>
    <row r="671">
      <c r="A671" s="164"/>
      <c r="B671" s="164"/>
      <c r="C671" s="9"/>
      <c r="D671" s="9"/>
      <c r="E671" s="9"/>
      <c r="F671" s="9"/>
      <c r="G671" s="164"/>
      <c r="H671" s="164"/>
      <c r="I671" s="164"/>
      <c r="J671" s="652"/>
      <c r="K671" s="164"/>
      <c r="L671" s="164"/>
      <c r="M671" s="164"/>
      <c r="N671" s="164"/>
      <c r="O671" s="164"/>
      <c r="P671" s="164"/>
      <c r="Q671" s="164"/>
      <c r="R671" s="164"/>
      <c r="S671" s="164"/>
      <c r="T671" s="164"/>
      <c r="U671" s="164"/>
      <c r="V671" s="164"/>
      <c r="W671" s="164"/>
      <c r="X671" s="164"/>
      <c r="Y671" s="164"/>
      <c r="Z671" s="164"/>
      <c r="AA671" s="164"/>
      <c r="AB671" s="164"/>
    </row>
    <row r="672">
      <c r="A672" s="164"/>
      <c r="B672" s="164"/>
      <c r="C672" s="9"/>
      <c r="D672" s="9"/>
      <c r="E672" s="9"/>
      <c r="F672" s="9"/>
      <c r="G672" s="164"/>
      <c r="H672" s="164"/>
      <c r="I672" s="164"/>
      <c r="J672" s="652"/>
      <c r="K672" s="164"/>
      <c r="L672" s="164"/>
      <c r="M672" s="164"/>
      <c r="N672" s="164"/>
      <c r="O672" s="164"/>
      <c r="P672" s="164"/>
      <c r="Q672" s="164"/>
      <c r="R672" s="164"/>
      <c r="S672" s="164"/>
      <c r="T672" s="164"/>
      <c r="U672" s="164"/>
      <c r="V672" s="164"/>
      <c r="W672" s="164"/>
      <c r="X672" s="164"/>
      <c r="Y672" s="164"/>
      <c r="Z672" s="164"/>
      <c r="AA672" s="164"/>
      <c r="AB672" s="164"/>
    </row>
    <row r="673">
      <c r="A673" s="164"/>
      <c r="B673" s="164"/>
      <c r="C673" s="9"/>
      <c r="D673" s="9"/>
      <c r="E673" s="9"/>
      <c r="F673" s="9"/>
      <c r="G673" s="164"/>
      <c r="H673" s="164"/>
      <c r="I673" s="164"/>
      <c r="J673" s="652"/>
      <c r="K673" s="164"/>
      <c r="L673" s="164"/>
      <c r="M673" s="164"/>
      <c r="N673" s="164"/>
      <c r="O673" s="164"/>
      <c r="P673" s="164"/>
      <c r="Q673" s="164"/>
      <c r="R673" s="164"/>
      <c r="S673" s="164"/>
      <c r="T673" s="164"/>
      <c r="U673" s="164"/>
      <c r="V673" s="164"/>
      <c r="W673" s="164"/>
      <c r="X673" s="164"/>
      <c r="Y673" s="164"/>
      <c r="Z673" s="164"/>
      <c r="AA673" s="164"/>
      <c r="AB673" s="164"/>
    </row>
    <row r="674">
      <c r="A674" s="164"/>
      <c r="B674" s="164"/>
      <c r="C674" s="9"/>
      <c r="D674" s="9"/>
      <c r="E674" s="9"/>
      <c r="F674" s="9"/>
      <c r="G674" s="164"/>
      <c r="H674" s="164"/>
      <c r="I674" s="164"/>
      <c r="J674" s="652"/>
      <c r="K674" s="164"/>
      <c r="L674" s="164"/>
      <c r="M674" s="164"/>
      <c r="N674" s="164"/>
      <c r="O674" s="164"/>
      <c r="P674" s="164"/>
      <c r="Q674" s="164"/>
      <c r="R674" s="164"/>
      <c r="S674" s="164"/>
      <c r="T674" s="164"/>
      <c r="U674" s="164"/>
      <c r="V674" s="164"/>
      <c r="W674" s="164"/>
      <c r="X674" s="164"/>
      <c r="Y674" s="164"/>
      <c r="Z674" s="164"/>
      <c r="AA674" s="164"/>
      <c r="AB674" s="164"/>
    </row>
    <row r="675">
      <c r="A675" s="164"/>
      <c r="B675" s="164"/>
      <c r="C675" s="9"/>
      <c r="D675" s="9"/>
      <c r="E675" s="9"/>
      <c r="F675" s="9"/>
      <c r="G675" s="164"/>
      <c r="H675" s="164"/>
      <c r="I675" s="164"/>
      <c r="J675" s="652"/>
      <c r="K675" s="164"/>
      <c r="L675" s="164"/>
      <c r="M675" s="164"/>
      <c r="N675" s="164"/>
      <c r="O675" s="164"/>
      <c r="P675" s="164"/>
      <c r="Q675" s="164"/>
      <c r="R675" s="164"/>
      <c r="S675" s="164"/>
      <c r="T675" s="164"/>
      <c r="U675" s="164"/>
      <c r="V675" s="164"/>
      <c r="W675" s="164"/>
      <c r="X675" s="164"/>
      <c r="Y675" s="164"/>
      <c r="Z675" s="164"/>
      <c r="AA675" s="164"/>
      <c r="AB675" s="164"/>
    </row>
    <row r="676">
      <c r="A676" s="164"/>
      <c r="B676" s="164"/>
      <c r="C676" s="9"/>
      <c r="D676" s="9"/>
      <c r="E676" s="9"/>
      <c r="F676" s="9"/>
      <c r="G676" s="164"/>
      <c r="H676" s="164"/>
      <c r="I676" s="164"/>
      <c r="J676" s="652"/>
      <c r="K676" s="164"/>
      <c r="L676" s="164"/>
      <c r="M676" s="164"/>
      <c r="N676" s="164"/>
      <c r="O676" s="164"/>
      <c r="P676" s="164"/>
      <c r="Q676" s="164"/>
      <c r="R676" s="164"/>
      <c r="S676" s="164"/>
      <c r="T676" s="164"/>
      <c r="U676" s="164"/>
      <c r="V676" s="164"/>
      <c r="W676" s="164"/>
      <c r="X676" s="164"/>
      <c r="Y676" s="164"/>
      <c r="Z676" s="164"/>
      <c r="AA676" s="164"/>
      <c r="AB676" s="164"/>
    </row>
    <row r="677">
      <c r="A677" s="164"/>
      <c r="B677" s="164"/>
      <c r="C677" s="9"/>
      <c r="D677" s="9"/>
      <c r="E677" s="9"/>
      <c r="F677" s="9"/>
      <c r="G677" s="164"/>
      <c r="H677" s="164"/>
      <c r="I677" s="164"/>
      <c r="J677" s="652"/>
      <c r="K677" s="164"/>
      <c r="L677" s="164"/>
      <c r="M677" s="164"/>
      <c r="N677" s="164"/>
      <c r="O677" s="164"/>
      <c r="P677" s="164"/>
      <c r="Q677" s="164"/>
      <c r="R677" s="164"/>
      <c r="S677" s="164"/>
      <c r="T677" s="164"/>
      <c r="U677" s="164"/>
      <c r="V677" s="164"/>
      <c r="W677" s="164"/>
      <c r="X677" s="164"/>
      <c r="Y677" s="164"/>
      <c r="Z677" s="164"/>
      <c r="AA677" s="164"/>
      <c r="AB677" s="164"/>
    </row>
    <row r="678">
      <c r="A678" s="164"/>
      <c r="B678" s="164"/>
      <c r="C678" s="9"/>
      <c r="D678" s="9"/>
      <c r="E678" s="9"/>
      <c r="F678" s="9"/>
      <c r="G678" s="164"/>
      <c r="H678" s="164"/>
      <c r="I678" s="164"/>
      <c r="J678" s="652"/>
      <c r="K678" s="164"/>
      <c r="L678" s="164"/>
      <c r="M678" s="164"/>
      <c r="N678" s="164"/>
      <c r="O678" s="164"/>
      <c r="P678" s="164"/>
      <c r="Q678" s="164"/>
      <c r="R678" s="164"/>
      <c r="S678" s="164"/>
      <c r="T678" s="164"/>
      <c r="U678" s="164"/>
      <c r="V678" s="164"/>
      <c r="W678" s="164"/>
      <c r="X678" s="164"/>
      <c r="Y678" s="164"/>
      <c r="Z678" s="164"/>
      <c r="AA678" s="164"/>
      <c r="AB678" s="164"/>
    </row>
    <row r="679">
      <c r="A679" s="164"/>
      <c r="B679" s="164"/>
      <c r="C679" s="9"/>
      <c r="D679" s="9"/>
      <c r="E679" s="9"/>
      <c r="F679" s="9"/>
      <c r="G679" s="164"/>
      <c r="H679" s="164"/>
      <c r="I679" s="164"/>
      <c r="J679" s="652"/>
      <c r="K679" s="164"/>
      <c r="L679" s="164"/>
      <c r="M679" s="164"/>
      <c r="N679" s="164"/>
      <c r="O679" s="164"/>
      <c r="P679" s="164"/>
      <c r="Q679" s="164"/>
      <c r="R679" s="164"/>
      <c r="S679" s="164"/>
      <c r="T679" s="164"/>
      <c r="U679" s="164"/>
      <c r="V679" s="164"/>
      <c r="W679" s="164"/>
      <c r="X679" s="164"/>
      <c r="Y679" s="164"/>
      <c r="Z679" s="164"/>
      <c r="AA679" s="164"/>
      <c r="AB679" s="164"/>
    </row>
    <row r="680">
      <c r="A680" s="164"/>
      <c r="B680" s="164"/>
      <c r="C680" s="9"/>
      <c r="D680" s="9"/>
      <c r="E680" s="9"/>
      <c r="F680" s="9"/>
      <c r="G680" s="164"/>
      <c r="H680" s="164"/>
      <c r="I680" s="164"/>
      <c r="J680" s="652"/>
      <c r="K680" s="164"/>
      <c r="L680" s="164"/>
      <c r="M680" s="164"/>
      <c r="N680" s="164"/>
      <c r="O680" s="164"/>
      <c r="P680" s="164"/>
      <c r="Q680" s="164"/>
      <c r="R680" s="164"/>
      <c r="S680" s="164"/>
      <c r="T680" s="164"/>
      <c r="U680" s="164"/>
      <c r="V680" s="164"/>
      <c r="W680" s="164"/>
      <c r="X680" s="164"/>
      <c r="Y680" s="164"/>
      <c r="Z680" s="164"/>
      <c r="AA680" s="164"/>
      <c r="AB680" s="164"/>
    </row>
    <row r="681">
      <c r="A681" s="164"/>
      <c r="B681" s="164"/>
      <c r="C681" s="9"/>
      <c r="D681" s="9"/>
      <c r="E681" s="9"/>
      <c r="F681" s="9"/>
      <c r="G681" s="164"/>
      <c r="H681" s="164"/>
      <c r="I681" s="164"/>
      <c r="J681" s="652"/>
      <c r="K681" s="164"/>
      <c r="L681" s="164"/>
      <c r="M681" s="164"/>
      <c r="N681" s="164"/>
      <c r="O681" s="164"/>
      <c r="P681" s="164"/>
      <c r="Q681" s="164"/>
      <c r="R681" s="164"/>
      <c r="S681" s="164"/>
      <c r="T681" s="164"/>
      <c r="U681" s="164"/>
      <c r="V681" s="164"/>
      <c r="W681" s="164"/>
      <c r="X681" s="164"/>
      <c r="Y681" s="164"/>
      <c r="Z681" s="164"/>
      <c r="AA681" s="164"/>
      <c r="AB681" s="164"/>
    </row>
    <row r="682">
      <c r="A682" s="164"/>
      <c r="B682" s="164"/>
      <c r="C682" s="9"/>
      <c r="D682" s="9"/>
      <c r="E682" s="9"/>
      <c r="F682" s="9"/>
      <c r="G682" s="164"/>
      <c r="H682" s="164"/>
      <c r="I682" s="164"/>
      <c r="J682" s="652"/>
      <c r="K682" s="164"/>
      <c r="L682" s="164"/>
      <c r="M682" s="164"/>
      <c r="N682" s="164"/>
      <c r="O682" s="164"/>
      <c r="P682" s="164"/>
      <c r="Q682" s="164"/>
      <c r="R682" s="164"/>
      <c r="S682" s="164"/>
      <c r="T682" s="164"/>
      <c r="U682" s="164"/>
      <c r="V682" s="164"/>
      <c r="W682" s="164"/>
      <c r="X682" s="164"/>
      <c r="Y682" s="164"/>
      <c r="Z682" s="164"/>
      <c r="AA682" s="164"/>
      <c r="AB682" s="164"/>
    </row>
    <row r="683">
      <c r="A683" s="164"/>
      <c r="B683" s="164"/>
      <c r="C683" s="9"/>
      <c r="D683" s="9"/>
      <c r="E683" s="9"/>
      <c r="F683" s="9"/>
      <c r="G683" s="164"/>
      <c r="H683" s="164"/>
      <c r="I683" s="164"/>
      <c r="J683" s="652"/>
      <c r="K683" s="164"/>
      <c r="L683" s="164"/>
      <c r="M683" s="164"/>
      <c r="N683" s="164"/>
      <c r="O683" s="164"/>
      <c r="P683" s="164"/>
      <c r="Q683" s="164"/>
      <c r="R683" s="164"/>
      <c r="S683" s="164"/>
      <c r="T683" s="164"/>
      <c r="U683" s="164"/>
      <c r="V683" s="164"/>
      <c r="W683" s="164"/>
      <c r="X683" s="164"/>
      <c r="Y683" s="164"/>
      <c r="Z683" s="164"/>
      <c r="AA683" s="164"/>
      <c r="AB683" s="164"/>
    </row>
    <row r="684">
      <c r="A684" s="164"/>
      <c r="B684" s="164"/>
      <c r="C684" s="9"/>
      <c r="D684" s="9"/>
      <c r="E684" s="9"/>
      <c r="F684" s="9"/>
      <c r="G684" s="164"/>
      <c r="H684" s="164"/>
      <c r="I684" s="164"/>
      <c r="J684" s="652"/>
      <c r="K684" s="164"/>
      <c r="L684" s="164"/>
      <c r="M684" s="164"/>
      <c r="N684" s="164"/>
      <c r="O684" s="164"/>
      <c r="P684" s="164"/>
      <c r="Q684" s="164"/>
      <c r="R684" s="164"/>
      <c r="S684" s="164"/>
      <c r="T684" s="164"/>
      <c r="U684" s="164"/>
      <c r="V684" s="164"/>
      <c r="W684" s="164"/>
      <c r="X684" s="164"/>
      <c r="Y684" s="164"/>
      <c r="Z684" s="164"/>
      <c r="AA684" s="164"/>
      <c r="AB684" s="164"/>
    </row>
    <row r="685">
      <c r="A685" s="164"/>
      <c r="B685" s="164"/>
      <c r="C685" s="9"/>
      <c r="D685" s="9"/>
      <c r="E685" s="9"/>
      <c r="F685" s="9"/>
      <c r="G685" s="164"/>
      <c r="H685" s="164"/>
      <c r="I685" s="164"/>
      <c r="J685" s="652"/>
      <c r="K685" s="164"/>
      <c r="L685" s="164"/>
      <c r="M685" s="164"/>
      <c r="N685" s="164"/>
      <c r="O685" s="164"/>
      <c r="P685" s="164"/>
      <c r="Q685" s="164"/>
      <c r="R685" s="164"/>
      <c r="S685" s="164"/>
      <c r="T685" s="164"/>
      <c r="U685" s="164"/>
      <c r="V685" s="164"/>
      <c r="W685" s="164"/>
      <c r="X685" s="164"/>
      <c r="Y685" s="164"/>
      <c r="Z685" s="164"/>
      <c r="AA685" s="164"/>
      <c r="AB685" s="164"/>
    </row>
    <row r="686">
      <c r="A686" s="164"/>
      <c r="B686" s="164"/>
      <c r="C686" s="9"/>
      <c r="D686" s="9"/>
      <c r="E686" s="9"/>
      <c r="F686" s="9"/>
      <c r="G686" s="164"/>
      <c r="H686" s="164"/>
      <c r="I686" s="164"/>
      <c r="J686" s="652"/>
      <c r="K686" s="164"/>
      <c r="L686" s="164"/>
      <c r="M686" s="164"/>
      <c r="N686" s="164"/>
      <c r="O686" s="164"/>
      <c r="P686" s="164"/>
      <c r="Q686" s="164"/>
      <c r="R686" s="164"/>
      <c r="S686" s="164"/>
      <c r="T686" s="164"/>
      <c r="U686" s="164"/>
      <c r="V686" s="164"/>
      <c r="W686" s="164"/>
      <c r="X686" s="164"/>
      <c r="Y686" s="164"/>
      <c r="Z686" s="164"/>
      <c r="AA686" s="164"/>
      <c r="AB686" s="164"/>
    </row>
    <row r="687">
      <c r="A687" s="164"/>
      <c r="B687" s="164"/>
      <c r="C687" s="9"/>
      <c r="D687" s="9"/>
      <c r="E687" s="9"/>
      <c r="F687" s="9"/>
      <c r="G687" s="164"/>
      <c r="H687" s="164"/>
      <c r="I687" s="164"/>
      <c r="J687" s="652"/>
      <c r="K687" s="164"/>
      <c r="L687" s="164"/>
      <c r="M687" s="164"/>
      <c r="N687" s="164"/>
      <c r="O687" s="164"/>
      <c r="P687" s="164"/>
      <c r="Q687" s="164"/>
      <c r="R687" s="164"/>
      <c r="S687" s="164"/>
      <c r="T687" s="164"/>
      <c r="U687" s="164"/>
      <c r="V687" s="164"/>
      <c r="W687" s="164"/>
      <c r="X687" s="164"/>
      <c r="Y687" s="164"/>
      <c r="Z687" s="164"/>
      <c r="AA687" s="164"/>
      <c r="AB687" s="164"/>
    </row>
    <row r="688">
      <c r="A688" s="164"/>
      <c r="B688" s="164"/>
      <c r="C688" s="9"/>
      <c r="D688" s="9"/>
      <c r="E688" s="9"/>
      <c r="F688" s="9"/>
      <c r="G688" s="164"/>
      <c r="H688" s="164"/>
      <c r="I688" s="164"/>
      <c r="J688" s="652"/>
      <c r="K688" s="164"/>
      <c r="L688" s="164"/>
      <c r="M688" s="164"/>
      <c r="N688" s="164"/>
      <c r="O688" s="164"/>
      <c r="P688" s="164"/>
      <c r="Q688" s="164"/>
      <c r="R688" s="164"/>
      <c r="S688" s="164"/>
      <c r="T688" s="164"/>
      <c r="U688" s="164"/>
      <c r="V688" s="164"/>
      <c r="W688" s="164"/>
      <c r="X688" s="164"/>
      <c r="Y688" s="164"/>
      <c r="Z688" s="164"/>
      <c r="AA688" s="164"/>
      <c r="AB688" s="164"/>
    </row>
    <row r="689">
      <c r="A689" s="164"/>
      <c r="B689" s="164"/>
      <c r="C689" s="9"/>
      <c r="D689" s="9"/>
      <c r="E689" s="9"/>
      <c r="F689" s="9"/>
      <c r="G689" s="164"/>
      <c r="H689" s="164"/>
      <c r="I689" s="164"/>
      <c r="J689" s="652"/>
      <c r="K689" s="164"/>
      <c r="L689" s="164"/>
      <c r="M689" s="164"/>
      <c r="N689" s="164"/>
      <c r="O689" s="164"/>
      <c r="P689" s="164"/>
      <c r="Q689" s="164"/>
      <c r="R689" s="164"/>
      <c r="S689" s="164"/>
      <c r="T689" s="164"/>
      <c r="U689" s="164"/>
      <c r="V689" s="164"/>
      <c r="W689" s="164"/>
      <c r="X689" s="164"/>
      <c r="Y689" s="164"/>
      <c r="Z689" s="164"/>
      <c r="AA689" s="164"/>
      <c r="AB689" s="164"/>
    </row>
    <row r="690">
      <c r="A690" s="164"/>
      <c r="B690" s="164"/>
      <c r="C690" s="9"/>
      <c r="D690" s="9"/>
      <c r="E690" s="9"/>
      <c r="F690" s="9"/>
      <c r="G690" s="164"/>
      <c r="H690" s="164"/>
      <c r="I690" s="164"/>
      <c r="J690" s="652"/>
      <c r="K690" s="164"/>
      <c r="L690" s="164"/>
      <c r="M690" s="164"/>
      <c r="N690" s="164"/>
      <c r="O690" s="164"/>
      <c r="P690" s="164"/>
      <c r="Q690" s="164"/>
      <c r="R690" s="164"/>
      <c r="S690" s="164"/>
      <c r="T690" s="164"/>
      <c r="U690" s="164"/>
      <c r="V690" s="164"/>
      <c r="W690" s="164"/>
      <c r="X690" s="164"/>
      <c r="Y690" s="164"/>
      <c r="Z690" s="164"/>
      <c r="AA690" s="164"/>
      <c r="AB690" s="164"/>
    </row>
    <row r="691">
      <c r="A691" s="164"/>
      <c r="B691" s="164"/>
      <c r="C691" s="9"/>
      <c r="D691" s="9"/>
      <c r="E691" s="9"/>
      <c r="F691" s="9"/>
      <c r="G691" s="164"/>
      <c r="H691" s="164"/>
      <c r="I691" s="164"/>
      <c r="J691" s="652"/>
      <c r="K691" s="164"/>
      <c r="L691" s="164"/>
      <c r="M691" s="164"/>
      <c r="N691" s="164"/>
      <c r="O691" s="164"/>
      <c r="P691" s="164"/>
      <c r="Q691" s="164"/>
      <c r="R691" s="164"/>
      <c r="S691" s="164"/>
      <c r="T691" s="164"/>
      <c r="U691" s="164"/>
      <c r="V691" s="164"/>
      <c r="W691" s="164"/>
      <c r="X691" s="164"/>
      <c r="Y691" s="164"/>
      <c r="Z691" s="164"/>
      <c r="AA691" s="164"/>
      <c r="AB691" s="164"/>
    </row>
    <row r="692">
      <c r="A692" s="164"/>
      <c r="B692" s="164"/>
      <c r="C692" s="9"/>
      <c r="D692" s="9"/>
      <c r="E692" s="9"/>
      <c r="F692" s="9"/>
      <c r="G692" s="164"/>
      <c r="H692" s="164"/>
      <c r="I692" s="164"/>
      <c r="J692" s="652"/>
      <c r="K692" s="164"/>
      <c r="L692" s="164"/>
      <c r="M692" s="164"/>
      <c r="N692" s="164"/>
      <c r="O692" s="164"/>
      <c r="P692" s="164"/>
      <c r="Q692" s="164"/>
      <c r="R692" s="164"/>
      <c r="S692" s="164"/>
      <c r="T692" s="164"/>
      <c r="U692" s="164"/>
      <c r="V692" s="164"/>
      <c r="W692" s="164"/>
      <c r="X692" s="164"/>
      <c r="Y692" s="164"/>
      <c r="Z692" s="164"/>
      <c r="AA692" s="164"/>
      <c r="AB692" s="164"/>
    </row>
    <row r="693">
      <c r="A693" s="164"/>
      <c r="B693" s="164"/>
      <c r="C693" s="9"/>
      <c r="D693" s="9"/>
      <c r="E693" s="9"/>
      <c r="F693" s="9"/>
      <c r="G693" s="164"/>
      <c r="H693" s="164"/>
      <c r="I693" s="164"/>
      <c r="J693" s="652"/>
      <c r="K693" s="164"/>
      <c r="L693" s="164"/>
      <c r="M693" s="164"/>
      <c r="N693" s="164"/>
      <c r="O693" s="164"/>
      <c r="P693" s="164"/>
      <c r="Q693" s="164"/>
      <c r="R693" s="164"/>
      <c r="S693" s="164"/>
      <c r="T693" s="164"/>
      <c r="U693" s="164"/>
      <c r="V693" s="164"/>
      <c r="W693" s="164"/>
      <c r="X693" s="164"/>
      <c r="Y693" s="164"/>
      <c r="Z693" s="164"/>
      <c r="AA693" s="164"/>
      <c r="AB693" s="164"/>
    </row>
    <row r="694">
      <c r="A694" s="164"/>
      <c r="B694" s="164"/>
      <c r="C694" s="9"/>
      <c r="D694" s="9"/>
      <c r="E694" s="9"/>
      <c r="F694" s="9"/>
      <c r="G694" s="164"/>
      <c r="H694" s="164"/>
      <c r="I694" s="164"/>
      <c r="J694" s="652"/>
      <c r="K694" s="164"/>
      <c r="L694" s="164"/>
      <c r="M694" s="164"/>
      <c r="N694" s="164"/>
      <c r="O694" s="164"/>
      <c r="P694" s="164"/>
      <c r="Q694" s="164"/>
      <c r="R694" s="164"/>
      <c r="S694" s="164"/>
      <c r="T694" s="164"/>
      <c r="U694" s="164"/>
      <c r="V694" s="164"/>
      <c r="W694" s="164"/>
      <c r="X694" s="164"/>
      <c r="Y694" s="164"/>
      <c r="Z694" s="164"/>
      <c r="AA694" s="164"/>
      <c r="AB694" s="164"/>
    </row>
    <row r="695">
      <c r="A695" s="164"/>
      <c r="B695" s="164"/>
      <c r="C695" s="9"/>
      <c r="D695" s="9"/>
      <c r="E695" s="9"/>
      <c r="F695" s="9"/>
      <c r="G695" s="164"/>
      <c r="H695" s="164"/>
      <c r="I695" s="164"/>
      <c r="J695" s="652"/>
      <c r="K695" s="164"/>
      <c r="L695" s="164"/>
      <c r="M695" s="164"/>
      <c r="N695" s="164"/>
      <c r="O695" s="164"/>
      <c r="P695" s="164"/>
      <c r="Q695" s="164"/>
      <c r="R695" s="164"/>
      <c r="S695" s="164"/>
      <c r="T695" s="164"/>
      <c r="U695" s="164"/>
      <c r="V695" s="164"/>
      <c r="W695" s="164"/>
      <c r="X695" s="164"/>
      <c r="Y695" s="164"/>
      <c r="Z695" s="164"/>
      <c r="AA695" s="164"/>
      <c r="AB695" s="164"/>
    </row>
    <row r="696">
      <c r="A696" s="164"/>
      <c r="B696" s="164"/>
      <c r="C696" s="9"/>
      <c r="D696" s="9"/>
      <c r="E696" s="9"/>
      <c r="F696" s="9"/>
      <c r="G696" s="164"/>
      <c r="H696" s="164"/>
      <c r="I696" s="164"/>
      <c r="J696" s="652"/>
      <c r="K696" s="164"/>
      <c r="L696" s="164"/>
      <c r="M696" s="164"/>
      <c r="N696" s="164"/>
      <c r="O696" s="164"/>
      <c r="P696" s="164"/>
      <c r="Q696" s="164"/>
      <c r="R696" s="164"/>
      <c r="S696" s="164"/>
      <c r="T696" s="164"/>
      <c r="U696" s="164"/>
      <c r="V696" s="164"/>
      <c r="W696" s="164"/>
      <c r="X696" s="164"/>
      <c r="Y696" s="164"/>
      <c r="Z696" s="164"/>
      <c r="AA696" s="164"/>
      <c r="AB696" s="164"/>
    </row>
    <row r="697">
      <c r="A697" s="164"/>
      <c r="B697" s="164"/>
      <c r="C697" s="9"/>
      <c r="D697" s="9"/>
      <c r="E697" s="9"/>
      <c r="F697" s="9"/>
      <c r="G697" s="164"/>
      <c r="H697" s="164"/>
      <c r="I697" s="164"/>
      <c r="J697" s="652"/>
      <c r="K697" s="164"/>
      <c r="L697" s="164"/>
      <c r="M697" s="164"/>
      <c r="N697" s="164"/>
      <c r="O697" s="164"/>
      <c r="P697" s="164"/>
      <c r="Q697" s="164"/>
      <c r="R697" s="164"/>
      <c r="S697" s="164"/>
      <c r="T697" s="164"/>
      <c r="U697" s="164"/>
      <c r="V697" s="164"/>
      <c r="W697" s="164"/>
      <c r="X697" s="164"/>
      <c r="Y697" s="164"/>
      <c r="Z697" s="164"/>
      <c r="AA697" s="164"/>
      <c r="AB697" s="164"/>
    </row>
    <row r="698">
      <c r="A698" s="164"/>
      <c r="B698" s="164"/>
      <c r="C698" s="9"/>
      <c r="D698" s="9"/>
      <c r="E698" s="9"/>
      <c r="F698" s="9"/>
      <c r="G698" s="164"/>
      <c r="H698" s="164"/>
      <c r="I698" s="164"/>
      <c r="J698" s="652"/>
      <c r="K698" s="164"/>
      <c r="L698" s="164"/>
      <c r="M698" s="164"/>
      <c r="N698" s="164"/>
      <c r="O698" s="164"/>
      <c r="P698" s="164"/>
      <c r="Q698" s="164"/>
      <c r="R698" s="164"/>
      <c r="S698" s="164"/>
      <c r="T698" s="164"/>
      <c r="U698" s="164"/>
      <c r="V698" s="164"/>
      <c r="W698" s="164"/>
      <c r="X698" s="164"/>
      <c r="Y698" s="164"/>
      <c r="Z698" s="164"/>
      <c r="AA698" s="164"/>
      <c r="AB698" s="164"/>
    </row>
    <row r="699">
      <c r="A699" s="164"/>
      <c r="B699" s="164"/>
      <c r="C699" s="9"/>
      <c r="D699" s="9"/>
      <c r="E699" s="9"/>
      <c r="F699" s="9"/>
      <c r="G699" s="164"/>
      <c r="H699" s="164"/>
      <c r="I699" s="164"/>
      <c r="J699" s="652"/>
      <c r="K699" s="164"/>
      <c r="L699" s="164"/>
      <c r="M699" s="164"/>
      <c r="N699" s="164"/>
      <c r="O699" s="164"/>
      <c r="P699" s="164"/>
      <c r="Q699" s="164"/>
      <c r="R699" s="164"/>
      <c r="S699" s="164"/>
      <c r="T699" s="164"/>
      <c r="U699" s="164"/>
      <c r="V699" s="164"/>
      <c r="W699" s="164"/>
      <c r="X699" s="164"/>
      <c r="Y699" s="164"/>
      <c r="Z699" s="164"/>
      <c r="AA699" s="164"/>
      <c r="AB699" s="164"/>
    </row>
    <row r="700">
      <c r="A700" s="164"/>
      <c r="B700" s="164"/>
      <c r="C700" s="9"/>
      <c r="D700" s="9"/>
      <c r="E700" s="9"/>
      <c r="F700" s="9"/>
      <c r="G700" s="164"/>
      <c r="H700" s="164"/>
      <c r="I700" s="164"/>
      <c r="J700" s="652"/>
      <c r="K700" s="164"/>
      <c r="L700" s="164"/>
      <c r="M700" s="164"/>
      <c r="N700" s="164"/>
      <c r="O700" s="164"/>
      <c r="P700" s="164"/>
      <c r="Q700" s="164"/>
      <c r="R700" s="164"/>
      <c r="S700" s="164"/>
      <c r="T700" s="164"/>
      <c r="U700" s="164"/>
      <c r="V700" s="164"/>
      <c r="W700" s="164"/>
      <c r="X700" s="164"/>
      <c r="Y700" s="164"/>
      <c r="Z700" s="164"/>
      <c r="AA700" s="164"/>
      <c r="AB700" s="164"/>
    </row>
    <row r="701">
      <c r="A701" s="164"/>
      <c r="B701" s="164"/>
      <c r="C701" s="9"/>
      <c r="D701" s="9"/>
      <c r="E701" s="9"/>
      <c r="F701" s="9"/>
      <c r="G701" s="164"/>
      <c r="H701" s="164"/>
      <c r="I701" s="164"/>
      <c r="J701" s="652"/>
      <c r="K701" s="164"/>
      <c r="L701" s="164"/>
      <c r="M701" s="164"/>
      <c r="N701" s="164"/>
      <c r="O701" s="164"/>
      <c r="P701" s="164"/>
      <c r="Q701" s="164"/>
      <c r="R701" s="164"/>
      <c r="S701" s="164"/>
      <c r="T701" s="164"/>
      <c r="U701" s="164"/>
      <c r="V701" s="164"/>
      <c r="W701" s="164"/>
      <c r="X701" s="164"/>
      <c r="Y701" s="164"/>
      <c r="Z701" s="164"/>
      <c r="AA701" s="164"/>
      <c r="AB701" s="164"/>
    </row>
    <row r="702">
      <c r="A702" s="164"/>
      <c r="B702" s="164"/>
      <c r="C702" s="9"/>
      <c r="D702" s="9"/>
      <c r="E702" s="9"/>
      <c r="F702" s="9"/>
      <c r="G702" s="164"/>
      <c r="H702" s="164"/>
      <c r="I702" s="164"/>
      <c r="J702" s="652"/>
      <c r="K702" s="164"/>
      <c r="L702" s="164"/>
      <c r="M702" s="164"/>
      <c r="N702" s="164"/>
      <c r="O702" s="164"/>
      <c r="P702" s="164"/>
      <c r="Q702" s="164"/>
      <c r="R702" s="164"/>
      <c r="S702" s="164"/>
      <c r="T702" s="164"/>
      <c r="U702" s="164"/>
      <c r="V702" s="164"/>
      <c r="W702" s="164"/>
      <c r="X702" s="164"/>
      <c r="Y702" s="164"/>
      <c r="Z702" s="164"/>
      <c r="AA702" s="164"/>
      <c r="AB702" s="164"/>
    </row>
    <row r="703">
      <c r="A703" s="164"/>
      <c r="B703" s="164"/>
      <c r="C703" s="9"/>
      <c r="D703" s="9"/>
      <c r="E703" s="9"/>
      <c r="F703" s="9"/>
      <c r="G703" s="164"/>
      <c r="H703" s="164"/>
      <c r="I703" s="164"/>
      <c r="J703" s="652"/>
      <c r="K703" s="164"/>
      <c r="L703" s="164"/>
      <c r="M703" s="164"/>
      <c r="N703" s="164"/>
      <c r="O703" s="164"/>
      <c r="P703" s="164"/>
      <c r="Q703" s="164"/>
      <c r="R703" s="164"/>
      <c r="S703" s="164"/>
      <c r="T703" s="164"/>
      <c r="U703" s="164"/>
      <c r="V703" s="164"/>
      <c r="W703" s="164"/>
      <c r="X703" s="164"/>
      <c r="Y703" s="164"/>
      <c r="Z703" s="164"/>
      <c r="AA703" s="164"/>
      <c r="AB703" s="164"/>
    </row>
    <row r="704">
      <c r="A704" s="164"/>
      <c r="B704" s="164"/>
      <c r="C704" s="9"/>
      <c r="D704" s="9"/>
      <c r="E704" s="9"/>
      <c r="F704" s="9"/>
      <c r="G704" s="164"/>
      <c r="H704" s="164"/>
      <c r="I704" s="164"/>
      <c r="J704" s="652"/>
      <c r="K704" s="164"/>
      <c r="L704" s="164"/>
      <c r="M704" s="164"/>
      <c r="N704" s="164"/>
      <c r="O704" s="164"/>
      <c r="P704" s="164"/>
      <c r="Q704" s="164"/>
      <c r="R704" s="164"/>
      <c r="S704" s="164"/>
      <c r="T704" s="164"/>
      <c r="U704" s="164"/>
      <c r="V704" s="164"/>
      <c r="W704" s="164"/>
      <c r="X704" s="164"/>
      <c r="Y704" s="164"/>
      <c r="Z704" s="164"/>
      <c r="AA704" s="164"/>
      <c r="AB704" s="164"/>
    </row>
    <row r="705">
      <c r="A705" s="164"/>
      <c r="B705" s="164"/>
      <c r="C705" s="9"/>
      <c r="D705" s="9"/>
      <c r="E705" s="9"/>
      <c r="F705" s="9"/>
      <c r="G705" s="164"/>
      <c r="H705" s="164"/>
      <c r="I705" s="164"/>
      <c r="J705" s="652"/>
      <c r="K705" s="164"/>
      <c r="L705" s="164"/>
      <c r="M705" s="164"/>
      <c r="N705" s="164"/>
      <c r="O705" s="164"/>
      <c r="P705" s="164"/>
      <c r="Q705" s="164"/>
      <c r="R705" s="164"/>
      <c r="S705" s="164"/>
      <c r="T705" s="164"/>
      <c r="U705" s="164"/>
      <c r="V705" s="164"/>
      <c r="W705" s="164"/>
      <c r="X705" s="164"/>
      <c r="Y705" s="164"/>
      <c r="Z705" s="164"/>
      <c r="AA705" s="164"/>
      <c r="AB705" s="164"/>
    </row>
    <row r="706">
      <c r="A706" s="164"/>
      <c r="B706" s="164"/>
      <c r="C706" s="9"/>
      <c r="D706" s="9"/>
      <c r="E706" s="9"/>
      <c r="F706" s="9"/>
      <c r="G706" s="164"/>
      <c r="H706" s="164"/>
      <c r="I706" s="164"/>
      <c r="J706" s="652"/>
      <c r="K706" s="164"/>
      <c r="L706" s="164"/>
      <c r="M706" s="164"/>
      <c r="N706" s="164"/>
      <c r="O706" s="164"/>
      <c r="P706" s="164"/>
      <c r="Q706" s="164"/>
      <c r="R706" s="164"/>
      <c r="S706" s="164"/>
      <c r="T706" s="164"/>
      <c r="U706" s="164"/>
      <c r="V706" s="164"/>
      <c r="W706" s="164"/>
      <c r="X706" s="164"/>
      <c r="Y706" s="164"/>
      <c r="Z706" s="164"/>
      <c r="AA706" s="164"/>
      <c r="AB706" s="164"/>
    </row>
    <row r="707">
      <c r="A707" s="164"/>
      <c r="B707" s="164"/>
      <c r="C707" s="9"/>
      <c r="D707" s="9"/>
      <c r="E707" s="9"/>
      <c r="F707" s="9"/>
      <c r="G707" s="164"/>
      <c r="H707" s="164"/>
      <c r="I707" s="164"/>
      <c r="J707" s="652"/>
      <c r="K707" s="164"/>
      <c r="L707" s="164"/>
      <c r="M707" s="164"/>
      <c r="N707" s="164"/>
      <c r="O707" s="164"/>
      <c r="P707" s="164"/>
      <c r="Q707" s="164"/>
      <c r="R707" s="164"/>
      <c r="S707" s="164"/>
      <c r="T707" s="164"/>
      <c r="U707" s="164"/>
      <c r="V707" s="164"/>
      <c r="W707" s="164"/>
      <c r="X707" s="164"/>
      <c r="Y707" s="164"/>
      <c r="Z707" s="164"/>
      <c r="AA707" s="164"/>
      <c r="AB707" s="164"/>
    </row>
    <row r="708">
      <c r="A708" s="164"/>
      <c r="B708" s="164"/>
      <c r="C708" s="9"/>
      <c r="D708" s="9"/>
      <c r="E708" s="9"/>
      <c r="F708" s="9"/>
      <c r="G708" s="164"/>
      <c r="H708" s="164"/>
      <c r="I708" s="164"/>
      <c r="J708" s="652"/>
      <c r="K708" s="164"/>
      <c r="L708" s="164"/>
      <c r="M708" s="164"/>
      <c r="N708" s="164"/>
      <c r="O708" s="164"/>
      <c r="P708" s="164"/>
      <c r="Q708" s="164"/>
      <c r="R708" s="164"/>
      <c r="S708" s="164"/>
      <c r="T708" s="164"/>
      <c r="U708" s="164"/>
      <c r="V708" s="164"/>
      <c r="W708" s="164"/>
      <c r="X708" s="164"/>
      <c r="Y708" s="164"/>
      <c r="Z708" s="164"/>
      <c r="AA708" s="164"/>
      <c r="AB708" s="164"/>
    </row>
    <row r="709">
      <c r="A709" s="164"/>
      <c r="B709" s="164"/>
      <c r="C709" s="9"/>
      <c r="D709" s="9"/>
      <c r="E709" s="9"/>
      <c r="F709" s="9"/>
      <c r="G709" s="164"/>
      <c r="H709" s="164"/>
      <c r="I709" s="164"/>
      <c r="J709" s="652"/>
      <c r="K709" s="164"/>
      <c r="L709" s="164"/>
      <c r="M709" s="164"/>
      <c r="N709" s="164"/>
      <c r="O709" s="164"/>
      <c r="P709" s="164"/>
      <c r="Q709" s="164"/>
      <c r="R709" s="164"/>
      <c r="S709" s="164"/>
      <c r="T709" s="164"/>
      <c r="U709" s="164"/>
      <c r="V709" s="164"/>
      <c r="W709" s="164"/>
      <c r="X709" s="164"/>
      <c r="Y709" s="164"/>
      <c r="Z709" s="164"/>
      <c r="AA709" s="164"/>
      <c r="AB709" s="164"/>
    </row>
    <row r="710">
      <c r="A710" s="164"/>
      <c r="B710" s="164"/>
      <c r="C710" s="9"/>
      <c r="D710" s="9"/>
      <c r="E710" s="9"/>
      <c r="F710" s="9"/>
      <c r="G710" s="164"/>
      <c r="H710" s="164"/>
      <c r="I710" s="164"/>
      <c r="J710" s="652"/>
      <c r="K710" s="164"/>
      <c r="L710" s="164"/>
      <c r="M710" s="164"/>
      <c r="N710" s="164"/>
      <c r="O710" s="164"/>
      <c r="P710" s="164"/>
      <c r="Q710" s="164"/>
      <c r="R710" s="164"/>
      <c r="S710" s="164"/>
      <c r="T710" s="164"/>
      <c r="U710" s="164"/>
      <c r="V710" s="164"/>
      <c r="W710" s="164"/>
      <c r="X710" s="164"/>
      <c r="Y710" s="164"/>
      <c r="Z710" s="164"/>
      <c r="AA710" s="164"/>
      <c r="AB710" s="164"/>
    </row>
    <row r="711">
      <c r="A711" s="164"/>
      <c r="B711" s="164"/>
      <c r="C711" s="9"/>
      <c r="D711" s="9"/>
      <c r="E711" s="9"/>
      <c r="F711" s="9"/>
      <c r="G711" s="164"/>
      <c r="H711" s="164"/>
      <c r="I711" s="164"/>
      <c r="J711" s="652"/>
      <c r="K711" s="164"/>
      <c r="L711" s="164"/>
      <c r="M711" s="164"/>
      <c r="N711" s="164"/>
      <c r="O711" s="164"/>
      <c r="P711" s="164"/>
      <c r="Q711" s="164"/>
      <c r="R711" s="164"/>
      <c r="S711" s="164"/>
      <c r="T711" s="164"/>
      <c r="U711" s="164"/>
      <c r="V711" s="164"/>
      <c r="W711" s="164"/>
      <c r="X711" s="164"/>
      <c r="Y711" s="164"/>
      <c r="Z711" s="164"/>
      <c r="AA711" s="164"/>
      <c r="AB711" s="164"/>
    </row>
    <row r="712">
      <c r="A712" s="164"/>
      <c r="B712" s="164"/>
      <c r="C712" s="9"/>
      <c r="D712" s="9"/>
      <c r="E712" s="9"/>
      <c r="F712" s="9"/>
      <c r="G712" s="164"/>
      <c r="H712" s="164"/>
      <c r="I712" s="164"/>
      <c r="J712" s="652"/>
      <c r="K712" s="164"/>
      <c r="L712" s="164"/>
      <c r="M712" s="164"/>
      <c r="N712" s="164"/>
      <c r="O712" s="164"/>
      <c r="P712" s="164"/>
      <c r="Q712" s="164"/>
      <c r="R712" s="164"/>
      <c r="S712" s="164"/>
      <c r="T712" s="164"/>
      <c r="U712" s="164"/>
      <c r="V712" s="164"/>
      <c r="W712" s="164"/>
      <c r="X712" s="164"/>
      <c r="Y712" s="164"/>
      <c r="Z712" s="164"/>
      <c r="AA712" s="164"/>
      <c r="AB712" s="164"/>
    </row>
    <row r="713">
      <c r="A713" s="164"/>
      <c r="B713" s="164"/>
      <c r="C713" s="9"/>
      <c r="D713" s="9"/>
      <c r="E713" s="9"/>
      <c r="F713" s="9"/>
      <c r="G713" s="164"/>
      <c r="H713" s="164"/>
      <c r="I713" s="164"/>
      <c r="J713" s="652"/>
      <c r="K713" s="164"/>
      <c r="L713" s="164"/>
      <c r="M713" s="164"/>
      <c r="N713" s="164"/>
      <c r="O713" s="164"/>
      <c r="P713" s="164"/>
      <c r="Q713" s="164"/>
      <c r="R713" s="164"/>
      <c r="S713" s="164"/>
      <c r="T713" s="164"/>
      <c r="U713" s="164"/>
      <c r="V713" s="164"/>
      <c r="W713" s="164"/>
      <c r="X713" s="164"/>
      <c r="Y713" s="164"/>
      <c r="Z713" s="164"/>
      <c r="AA713" s="164"/>
      <c r="AB713" s="164"/>
    </row>
    <row r="714">
      <c r="A714" s="164"/>
      <c r="B714" s="164"/>
      <c r="C714" s="9"/>
      <c r="D714" s="9"/>
      <c r="E714" s="9"/>
      <c r="F714" s="9"/>
      <c r="G714" s="164"/>
      <c r="H714" s="164"/>
      <c r="I714" s="164"/>
      <c r="J714" s="652"/>
      <c r="K714" s="164"/>
      <c r="L714" s="164"/>
      <c r="M714" s="164"/>
      <c r="N714" s="164"/>
      <c r="O714" s="164"/>
      <c r="P714" s="164"/>
      <c r="Q714" s="164"/>
      <c r="R714" s="164"/>
      <c r="S714" s="164"/>
      <c r="T714" s="164"/>
      <c r="U714" s="164"/>
      <c r="V714" s="164"/>
      <c r="W714" s="164"/>
      <c r="X714" s="164"/>
      <c r="Y714" s="164"/>
      <c r="Z714" s="164"/>
      <c r="AA714" s="164"/>
      <c r="AB714" s="164"/>
    </row>
    <row r="715">
      <c r="A715" s="164"/>
      <c r="B715" s="164"/>
      <c r="C715" s="9"/>
      <c r="D715" s="9"/>
      <c r="E715" s="9"/>
      <c r="F715" s="9"/>
      <c r="G715" s="164"/>
      <c r="H715" s="164"/>
      <c r="I715" s="164"/>
      <c r="J715" s="652"/>
      <c r="K715" s="164"/>
      <c r="L715" s="164"/>
      <c r="M715" s="164"/>
      <c r="N715" s="164"/>
      <c r="O715" s="164"/>
      <c r="P715" s="164"/>
      <c r="Q715" s="164"/>
      <c r="R715" s="164"/>
      <c r="S715" s="164"/>
      <c r="T715" s="164"/>
      <c r="U715" s="164"/>
      <c r="V715" s="164"/>
      <c r="W715" s="164"/>
      <c r="X715" s="164"/>
      <c r="Y715" s="164"/>
      <c r="Z715" s="164"/>
      <c r="AA715" s="164"/>
      <c r="AB715" s="164"/>
    </row>
    <row r="716">
      <c r="A716" s="164"/>
      <c r="B716" s="164"/>
      <c r="C716" s="9"/>
      <c r="D716" s="9"/>
      <c r="E716" s="9"/>
      <c r="F716" s="9"/>
      <c r="G716" s="164"/>
      <c r="H716" s="164"/>
      <c r="I716" s="164"/>
      <c r="J716" s="652"/>
      <c r="K716" s="164"/>
      <c r="L716" s="164"/>
      <c r="M716" s="164"/>
      <c r="N716" s="164"/>
      <c r="O716" s="164"/>
      <c r="P716" s="164"/>
      <c r="Q716" s="164"/>
      <c r="R716" s="164"/>
      <c r="S716" s="164"/>
      <c r="T716" s="164"/>
      <c r="U716" s="164"/>
      <c r="V716" s="164"/>
      <c r="W716" s="164"/>
      <c r="X716" s="164"/>
      <c r="Y716" s="164"/>
      <c r="Z716" s="164"/>
      <c r="AA716" s="164"/>
      <c r="AB716" s="164"/>
    </row>
    <row r="717">
      <c r="A717" s="164"/>
      <c r="B717" s="164"/>
      <c r="C717" s="9"/>
      <c r="D717" s="9"/>
      <c r="E717" s="9"/>
      <c r="F717" s="9"/>
      <c r="G717" s="164"/>
      <c r="H717" s="164"/>
      <c r="I717" s="164"/>
      <c r="J717" s="652"/>
      <c r="K717" s="164"/>
      <c r="L717" s="164"/>
      <c r="M717" s="164"/>
      <c r="N717" s="164"/>
      <c r="O717" s="164"/>
      <c r="P717" s="164"/>
      <c r="Q717" s="164"/>
      <c r="R717" s="164"/>
      <c r="S717" s="164"/>
      <c r="T717" s="164"/>
      <c r="U717" s="164"/>
      <c r="V717" s="164"/>
      <c r="W717" s="164"/>
      <c r="X717" s="164"/>
      <c r="Y717" s="164"/>
      <c r="Z717" s="164"/>
      <c r="AA717" s="164"/>
      <c r="AB717" s="164"/>
    </row>
    <row r="718">
      <c r="A718" s="164"/>
      <c r="B718" s="164"/>
      <c r="C718" s="9"/>
      <c r="D718" s="9"/>
      <c r="E718" s="9"/>
      <c r="F718" s="9"/>
      <c r="G718" s="164"/>
      <c r="H718" s="164"/>
      <c r="I718" s="164"/>
      <c r="J718" s="652"/>
      <c r="K718" s="164"/>
      <c r="L718" s="164"/>
      <c r="M718" s="164"/>
      <c r="N718" s="164"/>
      <c r="O718" s="164"/>
      <c r="P718" s="164"/>
      <c r="Q718" s="164"/>
      <c r="R718" s="164"/>
      <c r="S718" s="164"/>
      <c r="T718" s="164"/>
      <c r="U718" s="164"/>
      <c r="V718" s="164"/>
      <c r="W718" s="164"/>
      <c r="X718" s="164"/>
      <c r="Y718" s="164"/>
      <c r="Z718" s="164"/>
      <c r="AA718" s="164"/>
      <c r="AB718" s="164"/>
    </row>
    <row r="719">
      <c r="A719" s="164"/>
      <c r="B719" s="164"/>
      <c r="C719" s="9"/>
      <c r="D719" s="9"/>
      <c r="E719" s="9"/>
      <c r="F719" s="9"/>
      <c r="G719" s="164"/>
      <c r="H719" s="164"/>
      <c r="I719" s="164"/>
      <c r="J719" s="652"/>
      <c r="K719" s="164"/>
      <c r="L719" s="164"/>
      <c r="M719" s="164"/>
      <c r="N719" s="164"/>
      <c r="O719" s="164"/>
      <c r="P719" s="164"/>
      <c r="Q719" s="164"/>
      <c r="R719" s="164"/>
      <c r="S719" s="164"/>
      <c r="T719" s="164"/>
      <c r="U719" s="164"/>
      <c r="V719" s="164"/>
      <c r="W719" s="164"/>
      <c r="X719" s="164"/>
      <c r="Y719" s="164"/>
      <c r="Z719" s="164"/>
      <c r="AA719" s="164"/>
      <c r="AB719" s="164"/>
    </row>
    <row r="720">
      <c r="A720" s="164"/>
      <c r="B720" s="164"/>
      <c r="C720" s="9"/>
      <c r="D720" s="9"/>
      <c r="E720" s="9"/>
      <c r="F720" s="9"/>
      <c r="G720" s="164"/>
      <c r="H720" s="164"/>
      <c r="I720" s="164"/>
      <c r="J720" s="652"/>
      <c r="K720" s="164"/>
      <c r="L720" s="164"/>
      <c r="M720" s="164"/>
      <c r="N720" s="164"/>
      <c r="O720" s="164"/>
      <c r="P720" s="164"/>
      <c r="Q720" s="164"/>
      <c r="R720" s="164"/>
      <c r="S720" s="164"/>
      <c r="T720" s="164"/>
      <c r="U720" s="164"/>
      <c r="V720" s="164"/>
      <c r="W720" s="164"/>
      <c r="X720" s="164"/>
      <c r="Y720" s="164"/>
      <c r="Z720" s="164"/>
      <c r="AA720" s="164"/>
      <c r="AB720" s="164"/>
    </row>
    <row r="721">
      <c r="A721" s="164"/>
      <c r="B721" s="164"/>
      <c r="C721" s="9"/>
      <c r="D721" s="9"/>
      <c r="E721" s="9"/>
      <c r="F721" s="9"/>
      <c r="G721" s="164"/>
      <c r="H721" s="164"/>
      <c r="I721" s="164"/>
      <c r="J721" s="652"/>
      <c r="K721" s="164"/>
      <c r="L721" s="164"/>
      <c r="M721" s="164"/>
      <c r="N721" s="164"/>
      <c r="O721" s="164"/>
      <c r="P721" s="164"/>
      <c r="Q721" s="164"/>
      <c r="R721" s="164"/>
      <c r="S721" s="164"/>
      <c r="T721" s="164"/>
      <c r="U721" s="164"/>
      <c r="V721" s="164"/>
      <c r="W721" s="164"/>
      <c r="X721" s="164"/>
      <c r="Y721" s="164"/>
      <c r="Z721" s="164"/>
      <c r="AA721" s="164"/>
      <c r="AB721" s="164"/>
    </row>
    <row r="722">
      <c r="A722" s="164"/>
      <c r="B722" s="164"/>
      <c r="C722" s="9"/>
      <c r="D722" s="9"/>
      <c r="E722" s="9"/>
      <c r="F722" s="9"/>
      <c r="G722" s="164"/>
      <c r="H722" s="164"/>
      <c r="I722" s="164"/>
      <c r="J722" s="652"/>
      <c r="K722" s="164"/>
      <c r="L722" s="164"/>
      <c r="M722" s="164"/>
      <c r="N722" s="164"/>
      <c r="O722" s="164"/>
      <c r="P722" s="164"/>
      <c r="Q722" s="164"/>
      <c r="R722" s="164"/>
      <c r="S722" s="164"/>
      <c r="T722" s="164"/>
      <c r="U722" s="164"/>
      <c r="V722" s="164"/>
      <c r="W722" s="164"/>
      <c r="X722" s="164"/>
      <c r="Y722" s="164"/>
      <c r="Z722" s="164"/>
      <c r="AA722" s="164"/>
      <c r="AB722" s="164"/>
    </row>
    <row r="723">
      <c r="A723" s="164"/>
      <c r="B723" s="164"/>
      <c r="C723" s="9"/>
      <c r="D723" s="9"/>
      <c r="E723" s="9"/>
      <c r="F723" s="9"/>
      <c r="G723" s="164"/>
      <c r="H723" s="164"/>
      <c r="I723" s="164"/>
      <c r="J723" s="652"/>
      <c r="K723" s="164"/>
      <c r="L723" s="164"/>
      <c r="M723" s="164"/>
      <c r="N723" s="164"/>
      <c r="O723" s="164"/>
      <c r="P723" s="164"/>
      <c r="Q723" s="164"/>
      <c r="R723" s="164"/>
      <c r="S723" s="164"/>
      <c r="T723" s="164"/>
      <c r="U723" s="164"/>
      <c r="V723" s="164"/>
      <c r="W723" s="164"/>
      <c r="X723" s="164"/>
      <c r="Y723" s="164"/>
      <c r="Z723" s="164"/>
      <c r="AA723" s="164"/>
      <c r="AB723" s="164"/>
    </row>
    <row r="724">
      <c r="A724" s="164"/>
      <c r="B724" s="164"/>
      <c r="C724" s="9"/>
      <c r="D724" s="9"/>
      <c r="E724" s="9"/>
      <c r="F724" s="9"/>
      <c r="G724" s="164"/>
      <c r="H724" s="164"/>
      <c r="I724" s="164"/>
      <c r="J724" s="652"/>
      <c r="K724" s="164"/>
      <c r="L724" s="164"/>
      <c r="M724" s="164"/>
      <c r="N724" s="164"/>
      <c r="O724" s="164"/>
      <c r="P724" s="164"/>
      <c r="Q724" s="164"/>
      <c r="R724" s="164"/>
      <c r="S724" s="164"/>
      <c r="T724" s="164"/>
      <c r="U724" s="164"/>
      <c r="V724" s="164"/>
      <c r="W724" s="164"/>
      <c r="X724" s="164"/>
      <c r="Y724" s="164"/>
      <c r="Z724" s="164"/>
      <c r="AA724" s="164"/>
      <c r="AB724" s="164"/>
    </row>
    <row r="725">
      <c r="A725" s="164"/>
      <c r="B725" s="164"/>
      <c r="C725" s="9"/>
      <c r="D725" s="9"/>
      <c r="E725" s="9"/>
      <c r="F725" s="9"/>
      <c r="G725" s="164"/>
      <c r="H725" s="164"/>
      <c r="I725" s="164"/>
      <c r="J725" s="652"/>
      <c r="K725" s="164"/>
      <c r="L725" s="164"/>
      <c r="M725" s="164"/>
      <c r="N725" s="164"/>
      <c r="O725" s="164"/>
      <c r="P725" s="164"/>
      <c r="Q725" s="164"/>
      <c r="R725" s="164"/>
      <c r="S725" s="164"/>
      <c r="T725" s="164"/>
      <c r="U725" s="164"/>
      <c r="V725" s="164"/>
      <c r="W725" s="164"/>
      <c r="X725" s="164"/>
      <c r="Y725" s="164"/>
      <c r="Z725" s="164"/>
      <c r="AA725" s="164"/>
      <c r="AB725" s="164"/>
    </row>
    <row r="726">
      <c r="A726" s="164"/>
      <c r="B726" s="164"/>
      <c r="C726" s="9"/>
      <c r="D726" s="9"/>
      <c r="E726" s="9"/>
      <c r="F726" s="9"/>
      <c r="G726" s="164"/>
      <c r="H726" s="164"/>
      <c r="I726" s="164"/>
      <c r="J726" s="652"/>
      <c r="K726" s="164"/>
      <c r="L726" s="164"/>
      <c r="M726" s="164"/>
      <c r="N726" s="164"/>
      <c r="O726" s="164"/>
      <c r="P726" s="164"/>
      <c r="Q726" s="164"/>
      <c r="R726" s="164"/>
      <c r="S726" s="164"/>
      <c r="T726" s="164"/>
      <c r="U726" s="164"/>
      <c r="V726" s="164"/>
      <c r="W726" s="164"/>
      <c r="X726" s="164"/>
      <c r="Y726" s="164"/>
      <c r="Z726" s="164"/>
      <c r="AA726" s="164"/>
      <c r="AB726" s="164"/>
    </row>
    <row r="727">
      <c r="A727" s="164"/>
      <c r="B727" s="164"/>
      <c r="C727" s="9"/>
      <c r="D727" s="9"/>
      <c r="E727" s="9"/>
      <c r="F727" s="9"/>
      <c r="G727" s="164"/>
      <c r="H727" s="164"/>
      <c r="I727" s="164"/>
      <c r="J727" s="652"/>
      <c r="K727" s="164"/>
      <c r="L727" s="164"/>
      <c r="M727" s="164"/>
      <c r="N727" s="164"/>
      <c r="O727" s="164"/>
      <c r="P727" s="164"/>
      <c r="Q727" s="164"/>
      <c r="R727" s="164"/>
      <c r="S727" s="164"/>
      <c r="T727" s="164"/>
      <c r="U727" s="164"/>
      <c r="V727" s="164"/>
      <c r="W727" s="164"/>
      <c r="X727" s="164"/>
      <c r="Y727" s="164"/>
      <c r="Z727" s="164"/>
      <c r="AA727" s="164"/>
      <c r="AB727" s="164"/>
    </row>
    <row r="728">
      <c r="A728" s="164"/>
      <c r="B728" s="164"/>
      <c r="C728" s="9"/>
      <c r="D728" s="9"/>
      <c r="E728" s="9"/>
      <c r="F728" s="9"/>
      <c r="G728" s="164"/>
      <c r="H728" s="164"/>
      <c r="I728" s="164"/>
      <c r="J728" s="652"/>
      <c r="K728" s="164"/>
      <c r="L728" s="164"/>
      <c r="M728" s="164"/>
      <c r="N728" s="164"/>
      <c r="O728" s="164"/>
      <c r="P728" s="164"/>
      <c r="Q728" s="164"/>
      <c r="R728" s="164"/>
      <c r="S728" s="164"/>
      <c r="T728" s="164"/>
      <c r="U728" s="164"/>
      <c r="V728" s="164"/>
      <c r="W728" s="164"/>
      <c r="X728" s="164"/>
      <c r="Y728" s="164"/>
      <c r="Z728" s="164"/>
      <c r="AA728" s="164"/>
      <c r="AB728" s="164"/>
    </row>
    <row r="729">
      <c r="A729" s="164"/>
      <c r="B729" s="164"/>
      <c r="C729" s="9"/>
      <c r="D729" s="9"/>
      <c r="E729" s="9"/>
      <c r="F729" s="9"/>
      <c r="G729" s="164"/>
      <c r="H729" s="164"/>
      <c r="I729" s="164"/>
      <c r="J729" s="652"/>
      <c r="K729" s="164"/>
      <c r="L729" s="164"/>
      <c r="M729" s="164"/>
      <c r="N729" s="164"/>
      <c r="O729" s="164"/>
      <c r="P729" s="164"/>
      <c r="Q729" s="164"/>
      <c r="R729" s="164"/>
      <c r="S729" s="164"/>
      <c r="T729" s="164"/>
      <c r="U729" s="164"/>
      <c r="V729" s="164"/>
      <c r="W729" s="164"/>
      <c r="X729" s="164"/>
      <c r="Y729" s="164"/>
      <c r="Z729" s="164"/>
      <c r="AA729" s="164"/>
      <c r="AB729" s="164"/>
    </row>
    <row r="730">
      <c r="A730" s="164"/>
      <c r="B730" s="164"/>
      <c r="C730" s="9"/>
      <c r="D730" s="9"/>
      <c r="E730" s="9"/>
      <c r="F730" s="9"/>
      <c r="G730" s="164"/>
      <c r="H730" s="164"/>
      <c r="I730" s="164"/>
      <c r="J730" s="652"/>
      <c r="K730" s="164"/>
      <c r="L730" s="164"/>
      <c r="M730" s="164"/>
      <c r="N730" s="164"/>
      <c r="O730" s="164"/>
      <c r="P730" s="164"/>
      <c r="Q730" s="164"/>
      <c r="R730" s="164"/>
      <c r="S730" s="164"/>
      <c r="T730" s="164"/>
      <c r="U730" s="164"/>
      <c r="V730" s="164"/>
      <c r="W730" s="164"/>
      <c r="X730" s="164"/>
      <c r="Y730" s="164"/>
      <c r="Z730" s="164"/>
      <c r="AA730" s="164"/>
      <c r="AB730" s="164"/>
    </row>
    <row r="731">
      <c r="A731" s="164"/>
      <c r="B731" s="164"/>
      <c r="C731" s="9"/>
      <c r="D731" s="9"/>
      <c r="E731" s="9"/>
      <c r="F731" s="9"/>
      <c r="G731" s="164"/>
      <c r="H731" s="164"/>
      <c r="I731" s="164"/>
      <c r="J731" s="652"/>
      <c r="K731" s="164"/>
      <c r="L731" s="164"/>
      <c r="M731" s="164"/>
      <c r="N731" s="164"/>
      <c r="O731" s="164"/>
      <c r="P731" s="164"/>
      <c r="Q731" s="164"/>
      <c r="R731" s="164"/>
      <c r="S731" s="164"/>
      <c r="T731" s="164"/>
      <c r="U731" s="164"/>
      <c r="V731" s="164"/>
      <c r="W731" s="164"/>
      <c r="X731" s="164"/>
      <c r="Y731" s="164"/>
      <c r="Z731" s="164"/>
      <c r="AA731" s="164"/>
      <c r="AB731" s="164"/>
    </row>
    <row r="732">
      <c r="A732" s="164"/>
      <c r="B732" s="164"/>
      <c r="C732" s="9"/>
      <c r="D732" s="9"/>
      <c r="E732" s="9"/>
      <c r="F732" s="9"/>
      <c r="G732" s="164"/>
      <c r="H732" s="164"/>
      <c r="I732" s="164"/>
      <c r="J732" s="652"/>
      <c r="K732" s="164"/>
      <c r="L732" s="164"/>
      <c r="M732" s="164"/>
      <c r="N732" s="164"/>
      <c r="O732" s="164"/>
      <c r="P732" s="164"/>
      <c r="Q732" s="164"/>
      <c r="R732" s="164"/>
      <c r="S732" s="164"/>
      <c r="T732" s="164"/>
      <c r="U732" s="164"/>
      <c r="V732" s="164"/>
      <c r="W732" s="164"/>
      <c r="X732" s="164"/>
      <c r="Y732" s="164"/>
      <c r="Z732" s="164"/>
      <c r="AA732" s="164"/>
      <c r="AB732" s="164"/>
    </row>
    <row r="733">
      <c r="A733" s="164"/>
      <c r="B733" s="164"/>
      <c r="C733" s="9"/>
      <c r="D733" s="9"/>
      <c r="E733" s="9"/>
      <c r="F733" s="9"/>
      <c r="G733" s="164"/>
      <c r="H733" s="164"/>
      <c r="I733" s="164"/>
      <c r="J733" s="652"/>
      <c r="K733" s="164"/>
      <c r="L733" s="164"/>
      <c r="M733" s="164"/>
      <c r="N733" s="164"/>
      <c r="O733" s="164"/>
      <c r="P733" s="164"/>
      <c r="Q733" s="164"/>
      <c r="R733" s="164"/>
      <c r="S733" s="164"/>
      <c r="T733" s="164"/>
      <c r="U733" s="164"/>
      <c r="V733" s="164"/>
      <c r="W733" s="164"/>
      <c r="X733" s="164"/>
      <c r="Y733" s="164"/>
      <c r="Z733" s="164"/>
      <c r="AA733" s="164"/>
      <c r="AB733" s="164"/>
    </row>
    <row r="734">
      <c r="A734" s="164"/>
      <c r="B734" s="164"/>
      <c r="C734" s="9"/>
      <c r="D734" s="9"/>
      <c r="E734" s="9"/>
      <c r="F734" s="9"/>
      <c r="G734" s="164"/>
      <c r="H734" s="164"/>
      <c r="I734" s="164"/>
      <c r="J734" s="652"/>
      <c r="K734" s="164"/>
      <c r="L734" s="164"/>
      <c r="M734" s="164"/>
      <c r="N734" s="164"/>
      <c r="O734" s="164"/>
      <c r="P734" s="164"/>
      <c r="Q734" s="164"/>
      <c r="R734" s="164"/>
      <c r="S734" s="164"/>
      <c r="T734" s="164"/>
      <c r="U734" s="164"/>
      <c r="V734" s="164"/>
      <c r="W734" s="164"/>
      <c r="X734" s="164"/>
      <c r="Y734" s="164"/>
      <c r="Z734" s="164"/>
      <c r="AA734" s="164"/>
      <c r="AB734" s="164"/>
    </row>
    <row r="735">
      <c r="A735" s="164"/>
      <c r="B735" s="164"/>
      <c r="C735" s="9"/>
      <c r="D735" s="9"/>
      <c r="E735" s="9"/>
      <c r="F735" s="9"/>
      <c r="G735" s="164"/>
      <c r="H735" s="164"/>
      <c r="I735" s="164"/>
      <c r="J735" s="652"/>
      <c r="K735" s="164"/>
      <c r="L735" s="164"/>
      <c r="M735" s="164"/>
      <c r="N735" s="164"/>
      <c r="O735" s="164"/>
      <c r="P735" s="164"/>
      <c r="Q735" s="164"/>
      <c r="R735" s="164"/>
      <c r="S735" s="164"/>
      <c r="T735" s="164"/>
      <c r="U735" s="164"/>
      <c r="V735" s="164"/>
      <c r="W735" s="164"/>
      <c r="X735" s="164"/>
      <c r="Y735" s="164"/>
      <c r="Z735" s="164"/>
      <c r="AA735" s="164"/>
      <c r="AB735" s="164"/>
    </row>
    <row r="736">
      <c r="A736" s="164"/>
      <c r="B736" s="164"/>
      <c r="C736" s="9"/>
      <c r="D736" s="9"/>
      <c r="E736" s="9"/>
      <c r="F736" s="9"/>
      <c r="G736" s="164"/>
      <c r="H736" s="164"/>
      <c r="I736" s="164"/>
      <c r="J736" s="652"/>
      <c r="K736" s="164"/>
      <c r="L736" s="164"/>
      <c r="M736" s="164"/>
      <c r="N736" s="164"/>
      <c r="O736" s="164"/>
      <c r="P736" s="164"/>
      <c r="Q736" s="164"/>
      <c r="R736" s="164"/>
      <c r="S736" s="164"/>
      <c r="T736" s="164"/>
      <c r="U736" s="164"/>
      <c r="V736" s="164"/>
      <c r="W736" s="164"/>
      <c r="X736" s="164"/>
      <c r="Y736" s="164"/>
      <c r="Z736" s="164"/>
      <c r="AA736" s="164"/>
      <c r="AB736" s="164"/>
    </row>
    <row r="737">
      <c r="A737" s="164"/>
      <c r="B737" s="164"/>
      <c r="C737" s="9"/>
      <c r="D737" s="9"/>
      <c r="E737" s="9"/>
      <c r="F737" s="9"/>
      <c r="G737" s="164"/>
      <c r="H737" s="164"/>
      <c r="I737" s="164"/>
      <c r="J737" s="652"/>
      <c r="K737" s="164"/>
      <c r="L737" s="164"/>
      <c r="M737" s="164"/>
      <c r="N737" s="164"/>
      <c r="O737" s="164"/>
      <c r="P737" s="164"/>
      <c r="Q737" s="164"/>
      <c r="R737" s="164"/>
      <c r="S737" s="164"/>
      <c r="T737" s="164"/>
      <c r="U737" s="164"/>
      <c r="V737" s="164"/>
      <c r="W737" s="164"/>
      <c r="X737" s="164"/>
      <c r="Y737" s="164"/>
      <c r="Z737" s="164"/>
      <c r="AA737" s="164"/>
      <c r="AB737" s="164"/>
    </row>
    <row r="738">
      <c r="A738" s="164"/>
      <c r="B738" s="164"/>
      <c r="C738" s="9"/>
      <c r="D738" s="9"/>
      <c r="E738" s="9"/>
      <c r="F738" s="9"/>
      <c r="G738" s="164"/>
      <c r="H738" s="164"/>
      <c r="I738" s="164"/>
      <c r="J738" s="652"/>
      <c r="K738" s="164"/>
      <c r="L738" s="164"/>
      <c r="M738" s="164"/>
      <c r="N738" s="164"/>
      <c r="O738" s="164"/>
      <c r="P738" s="164"/>
      <c r="Q738" s="164"/>
      <c r="R738" s="164"/>
      <c r="S738" s="164"/>
      <c r="T738" s="164"/>
      <c r="U738" s="164"/>
      <c r="V738" s="164"/>
      <c r="W738" s="164"/>
      <c r="X738" s="164"/>
      <c r="Y738" s="164"/>
      <c r="Z738" s="164"/>
      <c r="AA738" s="164"/>
      <c r="AB738" s="164"/>
    </row>
    <row r="739">
      <c r="A739" s="164"/>
      <c r="B739" s="164"/>
      <c r="C739" s="9"/>
      <c r="D739" s="9"/>
      <c r="E739" s="9"/>
      <c r="F739" s="9"/>
      <c r="G739" s="164"/>
      <c r="H739" s="164"/>
      <c r="I739" s="164"/>
      <c r="J739" s="652"/>
      <c r="K739" s="164"/>
      <c r="L739" s="164"/>
      <c r="M739" s="164"/>
      <c r="N739" s="164"/>
      <c r="O739" s="164"/>
      <c r="P739" s="164"/>
      <c r="Q739" s="164"/>
      <c r="R739" s="164"/>
      <c r="S739" s="164"/>
      <c r="T739" s="164"/>
      <c r="U739" s="164"/>
      <c r="V739" s="164"/>
      <c r="W739" s="164"/>
      <c r="X739" s="164"/>
      <c r="Y739" s="164"/>
      <c r="Z739" s="164"/>
      <c r="AA739" s="164"/>
      <c r="AB739" s="164"/>
    </row>
    <row r="740">
      <c r="A740" s="164"/>
      <c r="B740" s="164"/>
      <c r="C740" s="9"/>
      <c r="D740" s="9"/>
      <c r="E740" s="9"/>
      <c r="F740" s="9"/>
      <c r="G740" s="164"/>
      <c r="H740" s="164"/>
      <c r="I740" s="164"/>
      <c r="J740" s="652"/>
      <c r="K740" s="164"/>
      <c r="L740" s="164"/>
      <c r="M740" s="164"/>
      <c r="N740" s="164"/>
      <c r="O740" s="164"/>
      <c r="P740" s="164"/>
      <c r="Q740" s="164"/>
      <c r="R740" s="164"/>
      <c r="S740" s="164"/>
      <c r="T740" s="164"/>
      <c r="U740" s="164"/>
      <c r="V740" s="164"/>
      <c r="W740" s="164"/>
      <c r="X740" s="164"/>
      <c r="Y740" s="164"/>
      <c r="Z740" s="164"/>
      <c r="AA740" s="164"/>
      <c r="AB740" s="164"/>
    </row>
    <row r="741">
      <c r="A741" s="164"/>
      <c r="B741" s="164"/>
      <c r="C741" s="9"/>
      <c r="D741" s="9"/>
      <c r="E741" s="9"/>
      <c r="F741" s="9"/>
      <c r="G741" s="164"/>
      <c r="H741" s="164"/>
      <c r="I741" s="164"/>
      <c r="J741" s="652"/>
      <c r="K741" s="164"/>
      <c r="L741" s="164"/>
      <c r="M741" s="164"/>
      <c r="N741" s="164"/>
      <c r="O741" s="164"/>
      <c r="P741" s="164"/>
      <c r="Q741" s="164"/>
      <c r="R741" s="164"/>
      <c r="S741" s="164"/>
      <c r="T741" s="164"/>
      <c r="U741" s="164"/>
      <c r="V741" s="164"/>
      <c r="W741" s="164"/>
      <c r="X741" s="164"/>
      <c r="Y741" s="164"/>
      <c r="Z741" s="164"/>
      <c r="AA741" s="164"/>
      <c r="AB741" s="164"/>
    </row>
    <row r="742">
      <c r="A742" s="164"/>
      <c r="B742" s="164"/>
      <c r="C742" s="9"/>
      <c r="D742" s="9"/>
      <c r="E742" s="9"/>
      <c r="F742" s="9"/>
      <c r="G742" s="164"/>
      <c r="H742" s="164"/>
      <c r="I742" s="164"/>
      <c r="J742" s="652"/>
      <c r="K742" s="164"/>
      <c r="L742" s="164"/>
      <c r="M742" s="164"/>
      <c r="N742" s="164"/>
      <c r="O742" s="164"/>
      <c r="P742" s="164"/>
      <c r="Q742" s="164"/>
      <c r="R742" s="164"/>
      <c r="S742" s="164"/>
      <c r="T742" s="164"/>
      <c r="U742" s="164"/>
      <c r="V742" s="164"/>
      <c r="W742" s="164"/>
      <c r="X742" s="164"/>
      <c r="Y742" s="164"/>
      <c r="Z742" s="164"/>
      <c r="AA742" s="164"/>
      <c r="AB742" s="164"/>
    </row>
    <row r="743">
      <c r="A743" s="164"/>
      <c r="B743" s="164"/>
      <c r="C743" s="9"/>
      <c r="D743" s="9"/>
      <c r="E743" s="9"/>
      <c r="F743" s="9"/>
      <c r="G743" s="164"/>
      <c r="H743" s="164"/>
      <c r="I743" s="164"/>
      <c r="J743" s="652"/>
      <c r="K743" s="164"/>
      <c r="L743" s="164"/>
      <c r="M743" s="164"/>
      <c r="N743" s="164"/>
      <c r="O743" s="164"/>
      <c r="P743" s="164"/>
      <c r="Q743" s="164"/>
      <c r="R743" s="164"/>
      <c r="S743" s="164"/>
      <c r="T743" s="164"/>
      <c r="U743" s="164"/>
      <c r="V743" s="164"/>
      <c r="W743" s="164"/>
      <c r="X743" s="164"/>
      <c r="Y743" s="164"/>
      <c r="Z743" s="164"/>
      <c r="AA743" s="164"/>
      <c r="AB743" s="164"/>
    </row>
    <row r="744">
      <c r="A744" s="164"/>
      <c r="B744" s="164"/>
      <c r="C744" s="9"/>
      <c r="D744" s="9"/>
      <c r="E744" s="9"/>
      <c r="F744" s="9"/>
      <c r="G744" s="164"/>
      <c r="H744" s="164"/>
      <c r="I744" s="164"/>
      <c r="J744" s="652"/>
      <c r="K744" s="164"/>
      <c r="L744" s="164"/>
      <c r="M744" s="164"/>
      <c r="N744" s="164"/>
      <c r="O744" s="164"/>
      <c r="P744" s="164"/>
      <c r="Q744" s="164"/>
      <c r="R744" s="164"/>
      <c r="S744" s="164"/>
      <c r="T744" s="164"/>
      <c r="U744" s="164"/>
      <c r="V744" s="164"/>
      <c r="W744" s="164"/>
      <c r="X744" s="164"/>
      <c r="Y744" s="164"/>
      <c r="Z744" s="164"/>
      <c r="AA744" s="164"/>
      <c r="AB744" s="164"/>
    </row>
    <row r="745">
      <c r="A745" s="164"/>
      <c r="B745" s="164"/>
      <c r="C745" s="9"/>
      <c r="D745" s="9"/>
      <c r="E745" s="9"/>
      <c r="F745" s="9"/>
      <c r="G745" s="164"/>
      <c r="H745" s="164"/>
      <c r="I745" s="164"/>
      <c r="J745" s="652"/>
      <c r="K745" s="164"/>
      <c r="L745" s="164"/>
      <c r="M745" s="164"/>
      <c r="N745" s="164"/>
      <c r="O745" s="164"/>
      <c r="P745" s="164"/>
      <c r="Q745" s="164"/>
      <c r="R745" s="164"/>
      <c r="S745" s="164"/>
      <c r="T745" s="164"/>
      <c r="U745" s="164"/>
      <c r="V745" s="164"/>
      <c r="W745" s="164"/>
      <c r="X745" s="164"/>
      <c r="Y745" s="164"/>
      <c r="Z745" s="164"/>
      <c r="AA745" s="164"/>
      <c r="AB745" s="164"/>
    </row>
    <row r="746">
      <c r="A746" s="164"/>
      <c r="B746" s="164"/>
      <c r="C746" s="9"/>
      <c r="D746" s="9"/>
      <c r="E746" s="9"/>
      <c r="F746" s="9"/>
      <c r="G746" s="164"/>
      <c r="H746" s="164"/>
      <c r="I746" s="164"/>
      <c r="J746" s="652"/>
      <c r="K746" s="164"/>
      <c r="L746" s="164"/>
      <c r="M746" s="164"/>
      <c r="N746" s="164"/>
      <c r="O746" s="164"/>
      <c r="P746" s="164"/>
      <c r="Q746" s="164"/>
      <c r="R746" s="164"/>
      <c r="S746" s="164"/>
      <c r="T746" s="164"/>
      <c r="U746" s="164"/>
      <c r="V746" s="164"/>
      <c r="W746" s="164"/>
      <c r="X746" s="164"/>
      <c r="Y746" s="164"/>
      <c r="Z746" s="164"/>
      <c r="AA746" s="164"/>
      <c r="AB746" s="164"/>
    </row>
    <row r="747">
      <c r="A747" s="164"/>
      <c r="B747" s="164"/>
      <c r="C747" s="9"/>
      <c r="D747" s="9"/>
      <c r="E747" s="9"/>
      <c r="F747" s="9"/>
      <c r="G747" s="164"/>
      <c r="H747" s="164"/>
      <c r="I747" s="164"/>
      <c r="J747" s="652"/>
      <c r="K747" s="164"/>
      <c r="L747" s="164"/>
      <c r="M747" s="164"/>
      <c r="N747" s="164"/>
      <c r="O747" s="164"/>
      <c r="P747" s="164"/>
      <c r="Q747" s="164"/>
      <c r="R747" s="164"/>
      <c r="S747" s="164"/>
      <c r="T747" s="164"/>
      <c r="U747" s="164"/>
      <c r="V747" s="164"/>
      <c r="W747" s="164"/>
      <c r="X747" s="164"/>
      <c r="Y747" s="164"/>
      <c r="Z747" s="164"/>
      <c r="AA747" s="164"/>
      <c r="AB747" s="164"/>
    </row>
    <row r="748">
      <c r="A748" s="164"/>
      <c r="B748" s="164"/>
      <c r="C748" s="9"/>
      <c r="D748" s="9"/>
      <c r="E748" s="9"/>
      <c r="F748" s="9"/>
      <c r="G748" s="164"/>
      <c r="H748" s="164"/>
      <c r="I748" s="164"/>
      <c r="J748" s="652"/>
      <c r="K748" s="164"/>
      <c r="L748" s="164"/>
      <c r="M748" s="164"/>
      <c r="N748" s="164"/>
      <c r="O748" s="164"/>
      <c r="P748" s="164"/>
      <c r="Q748" s="164"/>
      <c r="R748" s="164"/>
      <c r="S748" s="164"/>
      <c r="T748" s="164"/>
      <c r="U748" s="164"/>
      <c r="V748" s="164"/>
      <c r="W748" s="164"/>
      <c r="X748" s="164"/>
      <c r="Y748" s="164"/>
      <c r="Z748" s="164"/>
      <c r="AA748" s="164"/>
      <c r="AB748" s="164"/>
    </row>
    <row r="749">
      <c r="A749" s="164"/>
      <c r="B749" s="164"/>
      <c r="C749" s="9"/>
      <c r="D749" s="9"/>
      <c r="E749" s="9"/>
      <c r="F749" s="9"/>
      <c r="G749" s="164"/>
      <c r="H749" s="164"/>
      <c r="I749" s="164"/>
      <c r="J749" s="652"/>
      <c r="K749" s="164"/>
      <c r="L749" s="164"/>
      <c r="M749" s="164"/>
      <c r="N749" s="164"/>
      <c r="O749" s="164"/>
      <c r="P749" s="164"/>
      <c r="Q749" s="164"/>
      <c r="R749" s="164"/>
      <c r="S749" s="164"/>
      <c r="T749" s="164"/>
      <c r="U749" s="164"/>
      <c r="V749" s="164"/>
      <c r="W749" s="164"/>
      <c r="X749" s="164"/>
      <c r="Y749" s="164"/>
      <c r="Z749" s="164"/>
      <c r="AA749" s="164"/>
      <c r="AB749" s="164"/>
    </row>
    <row r="750">
      <c r="A750" s="164"/>
      <c r="B750" s="164"/>
      <c r="C750" s="9"/>
      <c r="D750" s="9"/>
      <c r="E750" s="9"/>
      <c r="F750" s="9"/>
      <c r="G750" s="164"/>
      <c r="H750" s="164"/>
      <c r="I750" s="164"/>
      <c r="J750" s="652"/>
      <c r="K750" s="164"/>
      <c r="L750" s="164"/>
      <c r="M750" s="164"/>
      <c r="N750" s="164"/>
      <c r="O750" s="164"/>
      <c r="P750" s="164"/>
      <c r="Q750" s="164"/>
      <c r="R750" s="164"/>
      <c r="S750" s="164"/>
      <c r="T750" s="164"/>
      <c r="U750" s="164"/>
      <c r="V750" s="164"/>
      <c r="W750" s="164"/>
      <c r="X750" s="164"/>
      <c r="Y750" s="164"/>
      <c r="Z750" s="164"/>
      <c r="AA750" s="164"/>
      <c r="AB750" s="164"/>
    </row>
    <row r="751">
      <c r="A751" s="164"/>
      <c r="B751" s="164"/>
      <c r="C751" s="9"/>
      <c r="D751" s="9"/>
      <c r="E751" s="9"/>
      <c r="F751" s="9"/>
      <c r="G751" s="164"/>
      <c r="H751" s="164"/>
      <c r="I751" s="164"/>
      <c r="J751" s="652"/>
      <c r="K751" s="164"/>
      <c r="L751" s="164"/>
      <c r="M751" s="164"/>
      <c r="N751" s="164"/>
      <c r="O751" s="164"/>
      <c r="P751" s="164"/>
      <c r="Q751" s="164"/>
      <c r="R751" s="164"/>
      <c r="S751" s="164"/>
      <c r="T751" s="164"/>
      <c r="U751" s="164"/>
      <c r="V751" s="164"/>
      <c r="W751" s="164"/>
      <c r="X751" s="164"/>
      <c r="Y751" s="164"/>
      <c r="Z751" s="164"/>
      <c r="AA751" s="164"/>
      <c r="AB751" s="164"/>
    </row>
    <row r="752">
      <c r="A752" s="164"/>
      <c r="B752" s="164"/>
      <c r="C752" s="9"/>
      <c r="D752" s="9"/>
      <c r="E752" s="9"/>
      <c r="F752" s="9"/>
      <c r="G752" s="164"/>
      <c r="H752" s="164"/>
      <c r="I752" s="164"/>
      <c r="J752" s="652"/>
      <c r="K752" s="164"/>
      <c r="L752" s="164"/>
      <c r="M752" s="164"/>
      <c r="N752" s="164"/>
      <c r="O752" s="164"/>
      <c r="P752" s="164"/>
      <c r="Q752" s="164"/>
      <c r="R752" s="164"/>
      <c r="S752" s="164"/>
      <c r="T752" s="164"/>
      <c r="U752" s="164"/>
      <c r="V752" s="164"/>
      <c r="W752" s="164"/>
      <c r="X752" s="164"/>
      <c r="Y752" s="164"/>
      <c r="Z752" s="164"/>
      <c r="AA752" s="164"/>
      <c r="AB752" s="164"/>
    </row>
    <row r="753">
      <c r="A753" s="164"/>
      <c r="B753" s="164"/>
      <c r="C753" s="9"/>
      <c r="D753" s="9"/>
      <c r="E753" s="9"/>
      <c r="F753" s="9"/>
      <c r="G753" s="164"/>
      <c r="H753" s="164"/>
      <c r="I753" s="164"/>
      <c r="J753" s="652"/>
      <c r="K753" s="164"/>
      <c r="L753" s="164"/>
      <c r="M753" s="164"/>
      <c r="N753" s="164"/>
      <c r="O753" s="164"/>
      <c r="P753" s="164"/>
      <c r="Q753" s="164"/>
      <c r="R753" s="164"/>
      <c r="S753" s="164"/>
      <c r="T753" s="164"/>
      <c r="U753" s="164"/>
      <c r="V753" s="164"/>
      <c r="W753" s="164"/>
      <c r="X753" s="164"/>
      <c r="Y753" s="164"/>
      <c r="Z753" s="164"/>
      <c r="AA753" s="164"/>
      <c r="AB753" s="164"/>
    </row>
    <row r="754">
      <c r="A754" s="164"/>
      <c r="B754" s="164"/>
      <c r="C754" s="9"/>
      <c r="D754" s="9"/>
      <c r="E754" s="9"/>
      <c r="F754" s="9"/>
      <c r="G754" s="164"/>
      <c r="H754" s="164"/>
      <c r="I754" s="164"/>
      <c r="J754" s="652"/>
      <c r="K754" s="164"/>
      <c r="L754" s="164"/>
      <c r="M754" s="164"/>
      <c r="N754" s="164"/>
      <c r="O754" s="164"/>
      <c r="P754" s="164"/>
      <c r="Q754" s="164"/>
      <c r="R754" s="164"/>
      <c r="S754" s="164"/>
      <c r="T754" s="164"/>
      <c r="U754" s="164"/>
      <c r="V754" s="164"/>
      <c r="W754" s="164"/>
      <c r="X754" s="164"/>
      <c r="Y754" s="164"/>
      <c r="Z754" s="164"/>
      <c r="AA754" s="164"/>
      <c r="AB754" s="164"/>
    </row>
    <row r="755">
      <c r="A755" s="164"/>
      <c r="B755" s="164"/>
      <c r="C755" s="9"/>
      <c r="D755" s="9"/>
      <c r="E755" s="9"/>
      <c r="F755" s="9"/>
      <c r="G755" s="164"/>
      <c r="H755" s="164"/>
      <c r="I755" s="164"/>
      <c r="J755" s="652"/>
      <c r="K755" s="164"/>
      <c r="L755" s="164"/>
      <c r="M755" s="164"/>
      <c r="N755" s="164"/>
      <c r="O755" s="164"/>
      <c r="P755" s="164"/>
      <c r="Q755" s="164"/>
      <c r="R755" s="164"/>
      <c r="S755" s="164"/>
      <c r="T755" s="164"/>
      <c r="U755" s="164"/>
      <c r="V755" s="164"/>
      <c r="W755" s="164"/>
      <c r="X755" s="164"/>
      <c r="Y755" s="164"/>
      <c r="Z755" s="164"/>
      <c r="AA755" s="164"/>
      <c r="AB755" s="164"/>
    </row>
    <row r="756">
      <c r="A756" s="164"/>
      <c r="B756" s="164"/>
      <c r="C756" s="9"/>
      <c r="D756" s="9"/>
      <c r="E756" s="9"/>
      <c r="F756" s="9"/>
      <c r="G756" s="164"/>
      <c r="H756" s="164"/>
      <c r="I756" s="164"/>
      <c r="J756" s="652"/>
      <c r="K756" s="164"/>
      <c r="L756" s="164"/>
      <c r="M756" s="164"/>
      <c r="N756" s="164"/>
      <c r="O756" s="164"/>
      <c r="P756" s="164"/>
      <c r="Q756" s="164"/>
      <c r="R756" s="164"/>
      <c r="S756" s="164"/>
      <c r="T756" s="164"/>
      <c r="U756" s="164"/>
      <c r="V756" s="164"/>
      <c r="W756" s="164"/>
      <c r="X756" s="164"/>
      <c r="Y756" s="164"/>
      <c r="Z756" s="164"/>
      <c r="AA756" s="164"/>
      <c r="AB756" s="164"/>
    </row>
    <row r="757">
      <c r="A757" s="164"/>
      <c r="B757" s="164"/>
      <c r="C757" s="9"/>
      <c r="D757" s="9"/>
      <c r="E757" s="9"/>
      <c r="F757" s="9"/>
      <c r="G757" s="164"/>
      <c r="H757" s="164"/>
      <c r="I757" s="164"/>
      <c r="J757" s="652"/>
      <c r="K757" s="164"/>
      <c r="L757" s="164"/>
      <c r="M757" s="164"/>
      <c r="N757" s="164"/>
      <c r="O757" s="164"/>
      <c r="P757" s="164"/>
      <c r="Q757" s="164"/>
      <c r="R757" s="164"/>
      <c r="S757" s="164"/>
      <c r="T757" s="164"/>
      <c r="U757" s="164"/>
      <c r="V757" s="164"/>
      <c r="W757" s="164"/>
      <c r="X757" s="164"/>
      <c r="Y757" s="164"/>
      <c r="Z757" s="164"/>
      <c r="AA757" s="164"/>
      <c r="AB757" s="164"/>
    </row>
    <row r="758">
      <c r="A758" s="164"/>
      <c r="B758" s="164"/>
      <c r="C758" s="9"/>
      <c r="D758" s="9"/>
      <c r="E758" s="9"/>
      <c r="F758" s="9"/>
      <c r="G758" s="164"/>
      <c r="H758" s="164"/>
      <c r="I758" s="164"/>
      <c r="J758" s="652"/>
      <c r="K758" s="164"/>
      <c r="L758" s="164"/>
      <c r="M758" s="164"/>
      <c r="N758" s="164"/>
      <c r="O758" s="164"/>
      <c r="P758" s="164"/>
      <c r="Q758" s="164"/>
      <c r="R758" s="164"/>
      <c r="S758" s="164"/>
      <c r="T758" s="164"/>
      <c r="U758" s="164"/>
      <c r="V758" s="164"/>
      <c r="W758" s="164"/>
      <c r="X758" s="164"/>
      <c r="Y758" s="164"/>
      <c r="Z758" s="164"/>
      <c r="AA758" s="164"/>
      <c r="AB758" s="164"/>
    </row>
    <row r="759">
      <c r="A759" s="164"/>
      <c r="B759" s="164"/>
      <c r="C759" s="9"/>
      <c r="D759" s="9"/>
      <c r="E759" s="9"/>
      <c r="F759" s="9"/>
      <c r="G759" s="164"/>
      <c r="H759" s="164"/>
      <c r="I759" s="164"/>
      <c r="J759" s="652"/>
      <c r="K759" s="164"/>
      <c r="L759" s="164"/>
      <c r="M759" s="164"/>
      <c r="N759" s="164"/>
      <c r="O759" s="164"/>
      <c r="P759" s="164"/>
      <c r="Q759" s="164"/>
      <c r="R759" s="164"/>
      <c r="S759" s="164"/>
      <c r="T759" s="164"/>
      <c r="U759" s="164"/>
      <c r="V759" s="164"/>
      <c r="W759" s="164"/>
      <c r="X759" s="164"/>
      <c r="Y759" s="164"/>
      <c r="Z759" s="164"/>
      <c r="AA759" s="164"/>
      <c r="AB759" s="164"/>
    </row>
    <row r="760">
      <c r="A760" s="164"/>
      <c r="B760" s="164"/>
      <c r="C760" s="9"/>
      <c r="D760" s="9"/>
      <c r="E760" s="9"/>
      <c r="F760" s="9"/>
      <c r="G760" s="164"/>
      <c r="H760" s="164"/>
      <c r="I760" s="164"/>
      <c r="J760" s="652"/>
      <c r="K760" s="164"/>
      <c r="L760" s="164"/>
      <c r="M760" s="164"/>
      <c r="N760" s="164"/>
      <c r="O760" s="164"/>
      <c r="P760" s="164"/>
      <c r="Q760" s="164"/>
      <c r="R760" s="164"/>
      <c r="S760" s="164"/>
      <c r="T760" s="164"/>
      <c r="U760" s="164"/>
      <c r="V760" s="164"/>
      <c r="W760" s="164"/>
      <c r="X760" s="164"/>
      <c r="Y760" s="164"/>
      <c r="Z760" s="164"/>
      <c r="AA760" s="164"/>
      <c r="AB760" s="164"/>
    </row>
    <row r="761">
      <c r="A761" s="164"/>
      <c r="B761" s="164"/>
      <c r="C761" s="9"/>
      <c r="D761" s="9"/>
      <c r="E761" s="9"/>
      <c r="F761" s="9"/>
      <c r="G761" s="164"/>
      <c r="H761" s="164"/>
      <c r="I761" s="164"/>
      <c r="J761" s="652"/>
      <c r="K761" s="164"/>
      <c r="L761" s="164"/>
      <c r="M761" s="164"/>
      <c r="N761" s="164"/>
      <c r="O761" s="164"/>
      <c r="P761" s="164"/>
      <c r="Q761" s="164"/>
      <c r="R761" s="164"/>
      <c r="S761" s="164"/>
      <c r="T761" s="164"/>
      <c r="U761" s="164"/>
      <c r="V761" s="164"/>
      <c r="W761" s="164"/>
      <c r="X761" s="164"/>
      <c r="Y761" s="164"/>
      <c r="Z761" s="164"/>
      <c r="AA761" s="164"/>
      <c r="AB761" s="164"/>
    </row>
    <row r="762">
      <c r="A762" s="164"/>
      <c r="B762" s="164"/>
      <c r="C762" s="9"/>
      <c r="D762" s="9"/>
      <c r="E762" s="9"/>
      <c r="F762" s="9"/>
      <c r="G762" s="164"/>
      <c r="H762" s="164"/>
      <c r="I762" s="164"/>
      <c r="J762" s="652"/>
      <c r="K762" s="164"/>
      <c r="L762" s="164"/>
      <c r="M762" s="164"/>
      <c r="N762" s="164"/>
      <c r="O762" s="164"/>
      <c r="P762" s="164"/>
      <c r="Q762" s="164"/>
      <c r="R762" s="164"/>
      <c r="S762" s="164"/>
      <c r="T762" s="164"/>
      <c r="U762" s="164"/>
      <c r="V762" s="164"/>
      <c r="W762" s="164"/>
      <c r="X762" s="164"/>
      <c r="Y762" s="164"/>
      <c r="Z762" s="164"/>
      <c r="AA762" s="164"/>
      <c r="AB762" s="164"/>
    </row>
    <row r="763">
      <c r="A763" s="164"/>
      <c r="B763" s="164"/>
      <c r="C763" s="9"/>
      <c r="D763" s="9"/>
      <c r="E763" s="9"/>
      <c r="F763" s="9"/>
      <c r="G763" s="164"/>
      <c r="H763" s="164"/>
      <c r="I763" s="164"/>
      <c r="J763" s="652"/>
      <c r="K763" s="164"/>
      <c r="L763" s="164"/>
      <c r="M763" s="164"/>
      <c r="N763" s="164"/>
      <c r="O763" s="164"/>
      <c r="P763" s="164"/>
      <c r="Q763" s="164"/>
      <c r="R763" s="164"/>
      <c r="S763" s="164"/>
      <c r="T763" s="164"/>
      <c r="U763" s="164"/>
      <c r="V763" s="164"/>
      <c r="W763" s="164"/>
      <c r="X763" s="164"/>
      <c r="Y763" s="164"/>
      <c r="Z763" s="164"/>
      <c r="AA763" s="164"/>
      <c r="AB763" s="164"/>
    </row>
    <row r="764">
      <c r="A764" s="164"/>
      <c r="B764" s="164"/>
      <c r="C764" s="9"/>
      <c r="D764" s="9"/>
      <c r="E764" s="9"/>
      <c r="F764" s="9"/>
      <c r="G764" s="164"/>
      <c r="H764" s="164"/>
      <c r="I764" s="164"/>
      <c r="J764" s="652"/>
      <c r="K764" s="164"/>
      <c r="L764" s="164"/>
      <c r="M764" s="164"/>
      <c r="N764" s="164"/>
      <c r="O764" s="164"/>
      <c r="P764" s="164"/>
      <c r="Q764" s="164"/>
      <c r="R764" s="164"/>
      <c r="S764" s="164"/>
      <c r="T764" s="164"/>
      <c r="U764" s="164"/>
      <c r="V764" s="164"/>
      <c r="W764" s="164"/>
      <c r="X764" s="164"/>
      <c r="Y764" s="164"/>
      <c r="Z764" s="164"/>
      <c r="AA764" s="164"/>
      <c r="AB764" s="164"/>
    </row>
    <row r="765">
      <c r="A765" s="164"/>
      <c r="B765" s="164"/>
      <c r="C765" s="9"/>
      <c r="D765" s="9"/>
      <c r="E765" s="9"/>
      <c r="F765" s="9"/>
      <c r="G765" s="164"/>
      <c r="H765" s="164"/>
      <c r="I765" s="164"/>
      <c r="J765" s="652"/>
      <c r="K765" s="164"/>
      <c r="L765" s="164"/>
      <c r="M765" s="164"/>
      <c r="N765" s="164"/>
      <c r="O765" s="164"/>
      <c r="P765" s="164"/>
      <c r="Q765" s="164"/>
      <c r="R765" s="164"/>
      <c r="S765" s="164"/>
      <c r="T765" s="164"/>
      <c r="U765" s="164"/>
      <c r="V765" s="164"/>
      <c r="W765" s="164"/>
      <c r="X765" s="164"/>
      <c r="Y765" s="164"/>
      <c r="Z765" s="164"/>
      <c r="AA765" s="164"/>
      <c r="AB765" s="164"/>
    </row>
    <row r="766">
      <c r="A766" s="164"/>
      <c r="B766" s="164"/>
      <c r="C766" s="9"/>
      <c r="D766" s="9"/>
      <c r="E766" s="9"/>
      <c r="F766" s="9"/>
      <c r="G766" s="164"/>
      <c r="H766" s="164"/>
      <c r="I766" s="164"/>
      <c r="J766" s="652"/>
      <c r="K766" s="164"/>
      <c r="L766" s="164"/>
      <c r="M766" s="164"/>
      <c r="N766" s="164"/>
      <c r="O766" s="164"/>
      <c r="P766" s="164"/>
      <c r="Q766" s="164"/>
      <c r="R766" s="164"/>
      <c r="S766" s="164"/>
      <c r="T766" s="164"/>
      <c r="U766" s="164"/>
      <c r="V766" s="164"/>
      <c r="W766" s="164"/>
      <c r="X766" s="164"/>
      <c r="Y766" s="164"/>
      <c r="Z766" s="164"/>
      <c r="AA766" s="164"/>
      <c r="AB766" s="164"/>
    </row>
    <row r="767">
      <c r="A767" s="164"/>
      <c r="B767" s="164"/>
      <c r="C767" s="9"/>
      <c r="D767" s="9"/>
      <c r="E767" s="9"/>
      <c r="F767" s="9"/>
      <c r="G767" s="164"/>
      <c r="H767" s="164"/>
      <c r="I767" s="164"/>
      <c r="J767" s="652"/>
      <c r="K767" s="164"/>
      <c r="L767" s="164"/>
      <c r="M767" s="164"/>
      <c r="N767" s="164"/>
      <c r="O767" s="164"/>
      <c r="P767" s="164"/>
      <c r="Q767" s="164"/>
      <c r="R767" s="164"/>
      <c r="S767" s="164"/>
      <c r="T767" s="164"/>
      <c r="U767" s="164"/>
      <c r="V767" s="164"/>
      <c r="W767" s="164"/>
      <c r="X767" s="164"/>
      <c r="Y767" s="164"/>
      <c r="Z767" s="164"/>
      <c r="AA767" s="164"/>
      <c r="AB767" s="164"/>
    </row>
    <row r="768">
      <c r="A768" s="164"/>
      <c r="B768" s="164"/>
      <c r="C768" s="9"/>
      <c r="D768" s="9"/>
      <c r="E768" s="9"/>
      <c r="F768" s="9"/>
      <c r="G768" s="164"/>
      <c r="H768" s="164"/>
      <c r="I768" s="164"/>
      <c r="J768" s="652"/>
      <c r="K768" s="164"/>
      <c r="L768" s="164"/>
      <c r="M768" s="164"/>
      <c r="N768" s="164"/>
      <c r="O768" s="164"/>
      <c r="P768" s="164"/>
      <c r="Q768" s="164"/>
      <c r="R768" s="164"/>
      <c r="S768" s="164"/>
      <c r="T768" s="164"/>
      <c r="U768" s="164"/>
      <c r="V768" s="164"/>
      <c r="W768" s="164"/>
      <c r="X768" s="164"/>
      <c r="Y768" s="164"/>
      <c r="Z768" s="164"/>
      <c r="AA768" s="164"/>
      <c r="AB768" s="164"/>
    </row>
    <row r="769">
      <c r="A769" s="164"/>
      <c r="B769" s="164"/>
      <c r="C769" s="9"/>
      <c r="D769" s="9"/>
      <c r="E769" s="9"/>
      <c r="F769" s="9"/>
      <c r="G769" s="164"/>
      <c r="H769" s="164"/>
      <c r="I769" s="164"/>
      <c r="J769" s="652"/>
      <c r="K769" s="164"/>
      <c r="L769" s="164"/>
      <c r="M769" s="164"/>
      <c r="N769" s="164"/>
      <c r="O769" s="164"/>
      <c r="P769" s="164"/>
      <c r="Q769" s="164"/>
      <c r="R769" s="164"/>
      <c r="S769" s="164"/>
      <c r="T769" s="164"/>
      <c r="U769" s="164"/>
      <c r="V769" s="164"/>
      <c r="W769" s="164"/>
      <c r="X769" s="164"/>
      <c r="Y769" s="164"/>
      <c r="Z769" s="164"/>
      <c r="AA769" s="164"/>
      <c r="AB769" s="164"/>
    </row>
    <row r="770">
      <c r="A770" s="164"/>
      <c r="B770" s="164"/>
      <c r="C770" s="9"/>
      <c r="D770" s="9"/>
      <c r="E770" s="9"/>
      <c r="F770" s="9"/>
      <c r="G770" s="164"/>
      <c r="H770" s="164"/>
      <c r="I770" s="164"/>
      <c r="J770" s="652"/>
      <c r="K770" s="164"/>
      <c r="L770" s="164"/>
      <c r="M770" s="164"/>
      <c r="N770" s="164"/>
      <c r="O770" s="164"/>
      <c r="P770" s="164"/>
      <c r="Q770" s="164"/>
      <c r="R770" s="164"/>
      <c r="S770" s="164"/>
      <c r="T770" s="164"/>
      <c r="U770" s="164"/>
      <c r="V770" s="164"/>
      <c r="W770" s="164"/>
      <c r="X770" s="164"/>
      <c r="Y770" s="164"/>
      <c r="Z770" s="164"/>
      <c r="AA770" s="164"/>
      <c r="AB770" s="164"/>
    </row>
    <row r="771">
      <c r="A771" s="164"/>
      <c r="B771" s="164"/>
      <c r="C771" s="9"/>
      <c r="D771" s="9"/>
      <c r="E771" s="9"/>
      <c r="F771" s="9"/>
      <c r="G771" s="164"/>
      <c r="H771" s="164"/>
      <c r="I771" s="164"/>
      <c r="J771" s="652"/>
      <c r="K771" s="164"/>
      <c r="L771" s="164"/>
      <c r="M771" s="164"/>
      <c r="N771" s="164"/>
      <c r="O771" s="164"/>
      <c r="P771" s="164"/>
      <c r="Q771" s="164"/>
      <c r="R771" s="164"/>
      <c r="S771" s="164"/>
      <c r="T771" s="164"/>
      <c r="U771" s="164"/>
      <c r="V771" s="164"/>
      <c r="W771" s="164"/>
      <c r="X771" s="164"/>
      <c r="Y771" s="164"/>
      <c r="Z771" s="164"/>
      <c r="AA771" s="164"/>
      <c r="AB771" s="164"/>
    </row>
    <row r="772">
      <c r="A772" s="164"/>
      <c r="B772" s="164"/>
      <c r="C772" s="9"/>
      <c r="D772" s="9"/>
      <c r="E772" s="9"/>
      <c r="F772" s="9"/>
      <c r="G772" s="164"/>
      <c r="H772" s="164"/>
      <c r="I772" s="164"/>
      <c r="J772" s="652"/>
      <c r="K772" s="164"/>
      <c r="L772" s="164"/>
      <c r="M772" s="164"/>
      <c r="N772" s="164"/>
      <c r="O772" s="164"/>
      <c r="P772" s="164"/>
      <c r="Q772" s="164"/>
      <c r="R772" s="164"/>
      <c r="S772" s="164"/>
      <c r="T772" s="164"/>
      <c r="U772" s="164"/>
      <c r="V772" s="164"/>
      <c r="W772" s="164"/>
      <c r="X772" s="164"/>
      <c r="Y772" s="164"/>
      <c r="Z772" s="164"/>
      <c r="AA772" s="164"/>
      <c r="AB772" s="164"/>
    </row>
    <row r="773">
      <c r="A773" s="164"/>
      <c r="B773" s="164"/>
      <c r="C773" s="9"/>
      <c r="D773" s="9"/>
      <c r="E773" s="9"/>
      <c r="F773" s="9"/>
      <c r="G773" s="164"/>
      <c r="H773" s="164"/>
      <c r="I773" s="164"/>
      <c r="J773" s="652"/>
      <c r="K773" s="164"/>
      <c r="L773" s="164"/>
      <c r="M773" s="164"/>
      <c r="N773" s="164"/>
      <c r="O773" s="164"/>
      <c r="P773" s="164"/>
      <c r="Q773" s="164"/>
      <c r="R773" s="164"/>
      <c r="S773" s="164"/>
      <c r="T773" s="164"/>
      <c r="U773" s="164"/>
      <c r="V773" s="164"/>
      <c r="W773" s="164"/>
      <c r="X773" s="164"/>
      <c r="Y773" s="164"/>
      <c r="Z773" s="164"/>
      <c r="AA773" s="164"/>
      <c r="AB773" s="164"/>
    </row>
    <row r="774">
      <c r="A774" s="164"/>
      <c r="B774" s="164"/>
      <c r="C774" s="9"/>
      <c r="D774" s="9"/>
      <c r="E774" s="9"/>
      <c r="F774" s="9"/>
      <c r="G774" s="164"/>
      <c r="H774" s="164"/>
      <c r="I774" s="164"/>
      <c r="J774" s="652"/>
      <c r="K774" s="164"/>
      <c r="L774" s="164"/>
      <c r="M774" s="164"/>
      <c r="N774" s="164"/>
      <c r="O774" s="164"/>
      <c r="P774" s="164"/>
      <c r="Q774" s="164"/>
      <c r="R774" s="164"/>
      <c r="S774" s="164"/>
      <c r="T774" s="164"/>
      <c r="U774" s="164"/>
      <c r="V774" s="164"/>
      <c r="W774" s="164"/>
      <c r="X774" s="164"/>
      <c r="Y774" s="164"/>
      <c r="Z774" s="164"/>
      <c r="AA774" s="164"/>
      <c r="AB774" s="164"/>
    </row>
    <row r="775">
      <c r="A775" s="164"/>
      <c r="B775" s="164"/>
      <c r="C775" s="9"/>
      <c r="D775" s="9"/>
      <c r="E775" s="9"/>
      <c r="F775" s="9"/>
      <c r="G775" s="164"/>
      <c r="H775" s="164"/>
      <c r="I775" s="164"/>
      <c r="J775" s="652"/>
      <c r="K775" s="164"/>
      <c r="L775" s="164"/>
      <c r="M775" s="164"/>
      <c r="N775" s="164"/>
      <c r="O775" s="164"/>
      <c r="P775" s="164"/>
      <c r="Q775" s="164"/>
      <c r="R775" s="164"/>
      <c r="S775" s="164"/>
      <c r="T775" s="164"/>
      <c r="U775" s="164"/>
      <c r="V775" s="164"/>
      <c r="W775" s="164"/>
      <c r="X775" s="164"/>
      <c r="Y775" s="164"/>
      <c r="Z775" s="164"/>
      <c r="AA775" s="164"/>
      <c r="AB775" s="164"/>
    </row>
    <row r="776">
      <c r="A776" s="164"/>
      <c r="B776" s="164"/>
      <c r="C776" s="9"/>
      <c r="D776" s="9"/>
      <c r="E776" s="9"/>
      <c r="F776" s="9"/>
      <c r="G776" s="164"/>
      <c r="H776" s="164"/>
      <c r="I776" s="164"/>
      <c r="J776" s="652"/>
      <c r="K776" s="164"/>
      <c r="L776" s="164"/>
      <c r="M776" s="164"/>
      <c r="N776" s="164"/>
      <c r="O776" s="164"/>
      <c r="P776" s="164"/>
      <c r="Q776" s="164"/>
      <c r="R776" s="164"/>
      <c r="S776" s="164"/>
      <c r="T776" s="164"/>
      <c r="U776" s="164"/>
      <c r="V776" s="164"/>
      <c r="W776" s="164"/>
      <c r="X776" s="164"/>
      <c r="Y776" s="164"/>
      <c r="Z776" s="164"/>
      <c r="AA776" s="164"/>
      <c r="AB776" s="164"/>
    </row>
    <row r="777">
      <c r="A777" s="164"/>
      <c r="B777" s="164"/>
      <c r="C777" s="9"/>
      <c r="D777" s="9"/>
      <c r="E777" s="9"/>
      <c r="F777" s="9"/>
      <c r="G777" s="164"/>
      <c r="H777" s="164"/>
      <c r="I777" s="164"/>
      <c r="J777" s="652"/>
      <c r="K777" s="164"/>
      <c r="L777" s="164"/>
      <c r="M777" s="164"/>
      <c r="N777" s="164"/>
      <c r="O777" s="164"/>
      <c r="P777" s="164"/>
      <c r="Q777" s="164"/>
      <c r="R777" s="164"/>
      <c r="S777" s="164"/>
      <c r="T777" s="164"/>
      <c r="U777" s="164"/>
      <c r="V777" s="164"/>
      <c r="W777" s="164"/>
      <c r="X777" s="164"/>
      <c r="Y777" s="164"/>
      <c r="Z777" s="164"/>
      <c r="AA777" s="164"/>
      <c r="AB777" s="164"/>
    </row>
    <row r="778">
      <c r="A778" s="164"/>
      <c r="B778" s="164"/>
      <c r="C778" s="9"/>
      <c r="D778" s="9"/>
      <c r="E778" s="9"/>
      <c r="F778" s="9"/>
      <c r="G778" s="164"/>
      <c r="H778" s="164"/>
      <c r="I778" s="164"/>
      <c r="J778" s="652"/>
      <c r="K778" s="164"/>
      <c r="L778" s="164"/>
      <c r="M778" s="164"/>
      <c r="N778" s="164"/>
      <c r="O778" s="164"/>
      <c r="P778" s="164"/>
      <c r="Q778" s="164"/>
      <c r="R778" s="164"/>
      <c r="S778" s="164"/>
      <c r="T778" s="164"/>
      <c r="U778" s="164"/>
      <c r="V778" s="164"/>
      <c r="W778" s="164"/>
      <c r="X778" s="164"/>
      <c r="Y778" s="164"/>
      <c r="Z778" s="164"/>
      <c r="AA778" s="164"/>
      <c r="AB778" s="164"/>
    </row>
    <row r="779">
      <c r="A779" s="164"/>
      <c r="B779" s="164"/>
      <c r="C779" s="9"/>
      <c r="D779" s="9"/>
      <c r="E779" s="9"/>
      <c r="F779" s="9"/>
      <c r="G779" s="164"/>
      <c r="H779" s="164"/>
      <c r="I779" s="164"/>
      <c r="J779" s="652"/>
      <c r="K779" s="164"/>
      <c r="L779" s="164"/>
      <c r="M779" s="164"/>
      <c r="N779" s="164"/>
      <c r="O779" s="164"/>
      <c r="P779" s="164"/>
      <c r="Q779" s="164"/>
      <c r="R779" s="164"/>
      <c r="S779" s="164"/>
      <c r="T779" s="164"/>
      <c r="U779" s="164"/>
      <c r="V779" s="164"/>
      <c r="W779" s="164"/>
      <c r="X779" s="164"/>
      <c r="Y779" s="164"/>
      <c r="Z779" s="164"/>
      <c r="AA779" s="164"/>
      <c r="AB779" s="164"/>
    </row>
    <row r="780">
      <c r="A780" s="164"/>
      <c r="B780" s="164"/>
      <c r="C780" s="9"/>
      <c r="D780" s="9"/>
      <c r="E780" s="9"/>
      <c r="F780" s="9"/>
      <c r="G780" s="164"/>
      <c r="H780" s="164"/>
      <c r="I780" s="164"/>
      <c r="J780" s="652"/>
      <c r="K780" s="164"/>
      <c r="L780" s="164"/>
      <c r="M780" s="164"/>
      <c r="N780" s="164"/>
      <c r="O780" s="164"/>
      <c r="P780" s="164"/>
      <c r="Q780" s="164"/>
      <c r="R780" s="164"/>
      <c r="S780" s="164"/>
      <c r="T780" s="164"/>
      <c r="U780" s="164"/>
      <c r="V780" s="164"/>
      <c r="W780" s="164"/>
      <c r="X780" s="164"/>
      <c r="Y780" s="164"/>
      <c r="Z780" s="164"/>
      <c r="AA780" s="164"/>
      <c r="AB780" s="164"/>
    </row>
    <row r="781">
      <c r="A781" s="164"/>
      <c r="B781" s="164"/>
      <c r="C781" s="9"/>
      <c r="D781" s="9"/>
      <c r="E781" s="9"/>
      <c r="F781" s="9"/>
      <c r="G781" s="164"/>
      <c r="H781" s="164"/>
      <c r="I781" s="164"/>
      <c r="J781" s="652"/>
      <c r="K781" s="164"/>
      <c r="L781" s="164"/>
      <c r="M781" s="164"/>
      <c r="N781" s="164"/>
      <c r="O781" s="164"/>
      <c r="P781" s="164"/>
      <c r="Q781" s="164"/>
      <c r="R781" s="164"/>
      <c r="S781" s="164"/>
      <c r="T781" s="164"/>
      <c r="U781" s="164"/>
      <c r="V781" s="164"/>
      <c r="W781" s="164"/>
      <c r="X781" s="164"/>
      <c r="Y781" s="164"/>
      <c r="Z781" s="164"/>
      <c r="AA781" s="164"/>
      <c r="AB781" s="164"/>
    </row>
    <row r="782">
      <c r="A782" s="164"/>
      <c r="B782" s="164"/>
      <c r="C782" s="9"/>
      <c r="D782" s="9"/>
      <c r="E782" s="9"/>
      <c r="F782" s="9"/>
      <c r="G782" s="164"/>
      <c r="H782" s="164"/>
      <c r="I782" s="164"/>
      <c r="J782" s="652"/>
      <c r="K782" s="164"/>
      <c r="L782" s="164"/>
      <c r="M782" s="164"/>
      <c r="N782" s="164"/>
      <c r="O782" s="164"/>
      <c r="P782" s="164"/>
      <c r="Q782" s="164"/>
      <c r="R782" s="164"/>
      <c r="S782" s="164"/>
      <c r="T782" s="164"/>
      <c r="U782" s="164"/>
      <c r="V782" s="164"/>
      <c r="W782" s="164"/>
      <c r="X782" s="164"/>
      <c r="Y782" s="164"/>
      <c r="Z782" s="164"/>
      <c r="AA782" s="164"/>
      <c r="AB782" s="164"/>
    </row>
    <row r="783">
      <c r="A783" s="164"/>
      <c r="B783" s="164"/>
      <c r="C783" s="9"/>
      <c r="D783" s="9"/>
      <c r="E783" s="9"/>
      <c r="F783" s="9"/>
      <c r="G783" s="164"/>
      <c r="H783" s="164"/>
      <c r="I783" s="164"/>
      <c r="J783" s="652"/>
      <c r="K783" s="164"/>
      <c r="L783" s="164"/>
      <c r="M783" s="164"/>
      <c r="N783" s="164"/>
      <c r="O783" s="164"/>
      <c r="P783" s="164"/>
      <c r="Q783" s="164"/>
      <c r="R783" s="164"/>
      <c r="S783" s="164"/>
      <c r="T783" s="164"/>
      <c r="U783" s="164"/>
      <c r="V783" s="164"/>
      <c r="W783" s="164"/>
      <c r="X783" s="164"/>
      <c r="Y783" s="164"/>
      <c r="Z783" s="164"/>
      <c r="AA783" s="164"/>
      <c r="AB783" s="164"/>
    </row>
    <row r="784">
      <c r="A784" s="164"/>
      <c r="B784" s="164"/>
      <c r="C784" s="9"/>
      <c r="D784" s="9"/>
      <c r="E784" s="9"/>
      <c r="F784" s="9"/>
      <c r="G784" s="164"/>
      <c r="H784" s="164"/>
      <c r="I784" s="164"/>
      <c r="J784" s="652"/>
      <c r="K784" s="164"/>
      <c r="L784" s="164"/>
      <c r="M784" s="164"/>
      <c r="N784" s="164"/>
      <c r="O784" s="164"/>
      <c r="P784" s="164"/>
      <c r="Q784" s="164"/>
      <c r="R784" s="164"/>
      <c r="S784" s="164"/>
      <c r="T784" s="164"/>
      <c r="U784" s="164"/>
      <c r="V784" s="164"/>
      <c r="W784" s="164"/>
      <c r="X784" s="164"/>
      <c r="Y784" s="164"/>
      <c r="Z784" s="164"/>
      <c r="AA784" s="164"/>
      <c r="AB784" s="164"/>
    </row>
    <row r="785">
      <c r="A785" s="164"/>
      <c r="B785" s="164"/>
      <c r="C785" s="9"/>
      <c r="D785" s="9"/>
      <c r="E785" s="9"/>
      <c r="F785" s="9"/>
      <c r="G785" s="164"/>
      <c r="H785" s="164"/>
      <c r="I785" s="164"/>
      <c r="J785" s="652"/>
      <c r="K785" s="164"/>
      <c r="L785" s="164"/>
      <c r="M785" s="164"/>
      <c r="N785" s="164"/>
      <c r="O785" s="164"/>
      <c r="P785" s="164"/>
      <c r="Q785" s="164"/>
      <c r="R785" s="164"/>
      <c r="S785" s="164"/>
      <c r="T785" s="164"/>
      <c r="U785" s="164"/>
      <c r="V785" s="164"/>
      <c r="W785" s="164"/>
      <c r="X785" s="164"/>
      <c r="Y785" s="164"/>
      <c r="Z785" s="164"/>
      <c r="AA785" s="164"/>
      <c r="AB785" s="164"/>
    </row>
    <row r="786">
      <c r="A786" s="164"/>
      <c r="B786" s="164"/>
      <c r="C786" s="9"/>
      <c r="D786" s="9"/>
      <c r="E786" s="9"/>
      <c r="F786" s="9"/>
      <c r="G786" s="164"/>
      <c r="H786" s="164"/>
      <c r="I786" s="164"/>
      <c r="J786" s="652"/>
      <c r="K786" s="164"/>
      <c r="L786" s="164"/>
      <c r="M786" s="164"/>
      <c r="N786" s="164"/>
      <c r="O786" s="164"/>
      <c r="P786" s="164"/>
      <c r="Q786" s="164"/>
      <c r="R786" s="164"/>
      <c r="S786" s="164"/>
      <c r="T786" s="164"/>
      <c r="U786" s="164"/>
      <c r="V786" s="164"/>
      <c r="W786" s="164"/>
      <c r="X786" s="164"/>
      <c r="Y786" s="164"/>
      <c r="Z786" s="164"/>
      <c r="AA786" s="164"/>
      <c r="AB786" s="164"/>
    </row>
    <row r="787">
      <c r="A787" s="164"/>
      <c r="B787" s="164"/>
      <c r="C787" s="9"/>
      <c r="D787" s="9"/>
      <c r="E787" s="9"/>
      <c r="F787" s="9"/>
      <c r="G787" s="164"/>
      <c r="H787" s="164"/>
      <c r="I787" s="164"/>
      <c r="J787" s="652"/>
      <c r="K787" s="164"/>
      <c r="L787" s="164"/>
      <c r="M787" s="164"/>
      <c r="N787" s="164"/>
      <c r="O787" s="164"/>
      <c r="P787" s="164"/>
      <c r="Q787" s="164"/>
      <c r="R787" s="164"/>
      <c r="S787" s="164"/>
      <c r="T787" s="164"/>
      <c r="U787" s="164"/>
      <c r="V787" s="164"/>
      <c r="W787" s="164"/>
      <c r="X787" s="164"/>
      <c r="Y787" s="164"/>
      <c r="Z787" s="164"/>
      <c r="AA787" s="164"/>
      <c r="AB787" s="164"/>
    </row>
    <row r="788">
      <c r="A788" s="164"/>
      <c r="B788" s="164"/>
      <c r="C788" s="9"/>
      <c r="D788" s="9"/>
      <c r="E788" s="9"/>
      <c r="F788" s="9"/>
      <c r="G788" s="164"/>
      <c r="H788" s="164"/>
      <c r="I788" s="164"/>
      <c r="J788" s="652"/>
      <c r="K788" s="164"/>
      <c r="L788" s="164"/>
      <c r="M788" s="164"/>
      <c r="N788" s="164"/>
      <c r="O788" s="164"/>
      <c r="P788" s="164"/>
      <c r="Q788" s="164"/>
      <c r="R788" s="164"/>
      <c r="S788" s="164"/>
      <c r="T788" s="164"/>
      <c r="U788" s="164"/>
      <c r="V788" s="164"/>
      <c r="W788" s="164"/>
      <c r="X788" s="164"/>
      <c r="Y788" s="164"/>
      <c r="Z788" s="164"/>
      <c r="AA788" s="164"/>
      <c r="AB788" s="164"/>
    </row>
    <row r="789">
      <c r="A789" s="164"/>
      <c r="B789" s="164"/>
      <c r="C789" s="9"/>
      <c r="D789" s="9"/>
      <c r="E789" s="9"/>
      <c r="F789" s="9"/>
      <c r="G789" s="164"/>
      <c r="H789" s="164"/>
      <c r="I789" s="164"/>
      <c r="J789" s="652"/>
      <c r="K789" s="164"/>
      <c r="L789" s="164"/>
      <c r="M789" s="164"/>
      <c r="N789" s="164"/>
      <c r="O789" s="164"/>
      <c r="P789" s="164"/>
      <c r="Q789" s="164"/>
      <c r="R789" s="164"/>
      <c r="S789" s="164"/>
      <c r="T789" s="164"/>
      <c r="U789" s="164"/>
      <c r="V789" s="164"/>
      <c r="W789" s="164"/>
      <c r="X789" s="164"/>
      <c r="Y789" s="164"/>
      <c r="Z789" s="164"/>
      <c r="AA789" s="164"/>
      <c r="AB789" s="164"/>
    </row>
    <row r="790">
      <c r="A790" s="164"/>
      <c r="B790" s="164"/>
      <c r="C790" s="9"/>
      <c r="D790" s="9"/>
      <c r="E790" s="9"/>
      <c r="F790" s="9"/>
      <c r="G790" s="164"/>
      <c r="H790" s="164"/>
      <c r="I790" s="164"/>
      <c r="J790" s="652"/>
      <c r="K790" s="164"/>
      <c r="L790" s="164"/>
      <c r="M790" s="164"/>
      <c r="N790" s="164"/>
      <c r="O790" s="164"/>
      <c r="P790" s="164"/>
      <c r="Q790" s="164"/>
      <c r="R790" s="164"/>
      <c r="S790" s="164"/>
      <c r="T790" s="164"/>
      <c r="U790" s="164"/>
      <c r="V790" s="164"/>
      <c r="W790" s="164"/>
      <c r="X790" s="164"/>
      <c r="Y790" s="164"/>
      <c r="Z790" s="164"/>
      <c r="AA790" s="164"/>
      <c r="AB790" s="164"/>
    </row>
    <row r="791">
      <c r="A791" s="164"/>
      <c r="B791" s="164"/>
      <c r="C791" s="9"/>
      <c r="D791" s="9"/>
      <c r="E791" s="9"/>
      <c r="F791" s="9"/>
      <c r="G791" s="164"/>
      <c r="H791" s="164"/>
      <c r="I791" s="164"/>
      <c r="J791" s="652"/>
      <c r="K791" s="164"/>
      <c r="L791" s="164"/>
      <c r="M791" s="164"/>
      <c r="N791" s="164"/>
      <c r="O791" s="164"/>
      <c r="P791" s="164"/>
      <c r="Q791" s="164"/>
      <c r="R791" s="164"/>
      <c r="S791" s="164"/>
      <c r="T791" s="164"/>
      <c r="U791" s="164"/>
      <c r="V791" s="164"/>
      <c r="W791" s="164"/>
      <c r="X791" s="164"/>
      <c r="Y791" s="164"/>
      <c r="Z791" s="164"/>
      <c r="AA791" s="164"/>
      <c r="AB791" s="164"/>
    </row>
    <row r="792">
      <c r="A792" s="164"/>
      <c r="B792" s="164"/>
      <c r="C792" s="9"/>
      <c r="D792" s="9"/>
      <c r="E792" s="9"/>
      <c r="F792" s="9"/>
      <c r="G792" s="164"/>
      <c r="H792" s="164"/>
      <c r="I792" s="164"/>
      <c r="J792" s="652"/>
      <c r="K792" s="164"/>
      <c r="L792" s="164"/>
      <c r="M792" s="164"/>
      <c r="N792" s="164"/>
      <c r="O792" s="164"/>
      <c r="P792" s="164"/>
      <c r="Q792" s="164"/>
      <c r="R792" s="164"/>
      <c r="S792" s="164"/>
      <c r="T792" s="164"/>
      <c r="U792" s="164"/>
      <c r="V792" s="164"/>
      <c r="W792" s="164"/>
      <c r="X792" s="164"/>
      <c r="Y792" s="164"/>
      <c r="Z792" s="164"/>
      <c r="AA792" s="164"/>
      <c r="AB792" s="164"/>
    </row>
    <row r="793">
      <c r="A793" s="164"/>
      <c r="B793" s="164"/>
      <c r="C793" s="9"/>
      <c r="D793" s="9"/>
      <c r="E793" s="9"/>
      <c r="F793" s="9"/>
      <c r="G793" s="164"/>
      <c r="H793" s="164"/>
      <c r="I793" s="164"/>
      <c r="J793" s="652"/>
      <c r="K793" s="164"/>
      <c r="L793" s="164"/>
      <c r="M793" s="164"/>
      <c r="N793" s="164"/>
      <c r="O793" s="164"/>
      <c r="P793" s="164"/>
      <c r="Q793" s="164"/>
      <c r="R793" s="164"/>
      <c r="S793" s="164"/>
      <c r="T793" s="164"/>
      <c r="U793" s="164"/>
      <c r="V793" s="164"/>
      <c r="W793" s="164"/>
      <c r="X793" s="164"/>
      <c r="Y793" s="164"/>
      <c r="Z793" s="164"/>
      <c r="AA793" s="164"/>
      <c r="AB793" s="164"/>
    </row>
    <row r="794">
      <c r="A794" s="164"/>
      <c r="B794" s="164"/>
      <c r="C794" s="9"/>
      <c r="D794" s="9"/>
      <c r="E794" s="9"/>
      <c r="F794" s="9"/>
      <c r="G794" s="164"/>
      <c r="H794" s="164"/>
      <c r="I794" s="164"/>
      <c r="J794" s="652"/>
      <c r="K794" s="164"/>
      <c r="L794" s="164"/>
      <c r="M794" s="164"/>
      <c r="N794" s="164"/>
      <c r="O794" s="164"/>
      <c r="P794" s="164"/>
      <c r="Q794" s="164"/>
      <c r="R794" s="164"/>
      <c r="S794" s="164"/>
      <c r="T794" s="164"/>
      <c r="U794" s="164"/>
      <c r="V794" s="164"/>
      <c r="W794" s="164"/>
      <c r="X794" s="164"/>
      <c r="Y794" s="164"/>
      <c r="Z794" s="164"/>
      <c r="AA794" s="164"/>
      <c r="AB794" s="164"/>
    </row>
    <row r="795">
      <c r="A795" s="164"/>
      <c r="B795" s="164"/>
      <c r="C795" s="9"/>
      <c r="D795" s="9"/>
      <c r="E795" s="9"/>
      <c r="F795" s="9"/>
      <c r="G795" s="164"/>
      <c r="H795" s="164"/>
      <c r="I795" s="164"/>
      <c r="J795" s="652"/>
      <c r="K795" s="164"/>
      <c r="L795" s="164"/>
      <c r="M795" s="164"/>
      <c r="N795" s="164"/>
      <c r="O795" s="164"/>
      <c r="P795" s="164"/>
      <c r="Q795" s="164"/>
      <c r="R795" s="164"/>
      <c r="S795" s="164"/>
      <c r="T795" s="164"/>
      <c r="U795" s="164"/>
      <c r="V795" s="164"/>
      <c r="W795" s="164"/>
      <c r="X795" s="164"/>
      <c r="Y795" s="164"/>
      <c r="Z795" s="164"/>
      <c r="AA795" s="164"/>
      <c r="AB795" s="164"/>
    </row>
    <row r="796">
      <c r="A796" s="164"/>
      <c r="B796" s="164"/>
      <c r="C796" s="9"/>
      <c r="D796" s="9"/>
      <c r="E796" s="9"/>
      <c r="F796" s="9"/>
      <c r="G796" s="164"/>
      <c r="H796" s="164"/>
      <c r="I796" s="164"/>
      <c r="J796" s="652"/>
      <c r="K796" s="164"/>
      <c r="L796" s="164"/>
      <c r="M796" s="164"/>
      <c r="N796" s="164"/>
      <c r="O796" s="164"/>
      <c r="P796" s="164"/>
      <c r="Q796" s="164"/>
      <c r="R796" s="164"/>
      <c r="S796" s="164"/>
      <c r="T796" s="164"/>
      <c r="U796" s="164"/>
      <c r="V796" s="164"/>
      <c r="W796" s="164"/>
      <c r="X796" s="164"/>
      <c r="Y796" s="164"/>
      <c r="Z796" s="164"/>
      <c r="AA796" s="164"/>
      <c r="AB796" s="164"/>
    </row>
    <row r="797">
      <c r="A797" s="164"/>
      <c r="B797" s="164"/>
      <c r="C797" s="9"/>
      <c r="D797" s="9"/>
      <c r="E797" s="9"/>
      <c r="F797" s="9"/>
      <c r="G797" s="164"/>
      <c r="H797" s="164"/>
      <c r="I797" s="164"/>
      <c r="J797" s="652"/>
      <c r="K797" s="164"/>
      <c r="L797" s="164"/>
      <c r="M797" s="164"/>
      <c r="N797" s="164"/>
      <c r="O797" s="164"/>
      <c r="P797" s="164"/>
      <c r="Q797" s="164"/>
      <c r="R797" s="164"/>
      <c r="S797" s="164"/>
      <c r="T797" s="164"/>
      <c r="U797" s="164"/>
      <c r="V797" s="164"/>
      <c r="W797" s="164"/>
      <c r="X797" s="164"/>
      <c r="Y797" s="164"/>
      <c r="Z797" s="164"/>
      <c r="AA797" s="164"/>
      <c r="AB797" s="164"/>
    </row>
    <row r="798">
      <c r="A798" s="164"/>
      <c r="B798" s="164"/>
      <c r="C798" s="9"/>
      <c r="D798" s="9"/>
      <c r="E798" s="9"/>
      <c r="F798" s="9"/>
      <c r="G798" s="164"/>
      <c r="H798" s="164"/>
      <c r="I798" s="164"/>
      <c r="J798" s="652"/>
      <c r="K798" s="164"/>
      <c r="L798" s="164"/>
      <c r="M798" s="164"/>
      <c r="N798" s="164"/>
      <c r="O798" s="164"/>
      <c r="P798" s="164"/>
      <c r="Q798" s="164"/>
      <c r="R798" s="164"/>
      <c r="S798" s="164"/>
      <c r="T798" s="164"/>
      <c r="U798" s="164"/>
      <c r="V798" s="164"/>
      <c r="W798" s="164"/>
      <c r="X798" s="164"/>
      <c r="Y798" s="164"/>
      <c r="Z798" s="164"/>
      <c r="AA798" s="164"/>
      <c r="AB798" s="164"/>
    </row>
    <row r="799">
      <c r="A799" s="164"/>
      <c r="B799" s="164"/>
      <c r="C799" s="9"/>
      <c r="D799" s="9"/>
      <c r="E799" s="9"/>
      <c r="F799" s="9"/>
      <c r="G799" s="164"/>
      <c r="H799" s="164"/>
      <c r="I799" s="164"/>
      <c r="J799" s="652"/>
      <c r="K799" s="164"/>
      <c r="L799" s="164"/>
      <c r="M799" s="164"/>
      <c r="N799" s="164"/>
      <c r="O799" s="164"/>
      <c r="P799" s="164"/>
      <c r="Q799" s="164"/>
      <c r="R799" s="164"/>
      <c r="S799" s="164"/>
      <c r="T799" s="164"/>
      <c r="U799" s="164"/>
      <c r="V799" s="164"/>
      <c r="W799" s="164"/>
      <c r="X799" s="164"/>
      <c r="Y799" s="164"/>
      <c r="Z799" s="164"/>
      <c r="AA799" s="164"/>
      <c r="AB799" s="164"/>
    </row>
    <row r="800">
      <c r="A800" s="164"/>
      <c r="B800" s="164"/>
      <c r="C800" s="9"/>
      <c r="D800" s="9"/>
      <c r="E800" s="9"/>
      <c r="F800" s="9"/>
      <c r="G800" s="164"/>
      <c r="H800" s="164"/>
      <c r="I800" s="164"/>
      <c r="J800" s="652"/>
      <c r="K800" s="164"/>
      <c r="L800" s="164"/>
      <c r="M800" s="164"/>
      <c r="N800" s="164"/>
      <c r="O800" s="164"/>
      <c r="P800" s="164"/>
      <c r="Q800" s="164"/>
      <c r="R800" s="164"/>
      <c r="S800" s="164"/>
      <c r="T800" s="164"/>
      <c r="U800" s="164"/>
      <c r="V800" s="164"/>
      <c r="W800" s="164"/>
      <c r="X800" s="164"/>
      <c r="Y800" s="164"/>
      <c r="Z800" s="164"/>
      <c r="AA800" s="164"/>
      <c r="AB800" s="164"/>
    </row>
    <row r="801">
      <c r="A801" s="164"/>
      <c r="B801" s="164"/>
      <c r="C801" s="9"/>
      <c r="D801" s="9"/>
      <c r="E801" s="9"/>
      <c r="F801" s="9"/>
      <c r="G801" s="164"/>
      <c r="H801" s="164"/>
      <c r="I801" s="164"/>
      <c r="J801" s="652"/>
      <c r="K801" s="164"/>
      <c r="L801" s="164"/>
      <c r="M801" s="164"/>
      <c r="N801" s="164"/>
      <c r="O801" s="164"/>
      <c r="P801" s="164"/>
      <c r="Q801" s="164"/>
      <c r="R801" s="164"/>
      <c r="S801" s="164"/>
      <c r="T801" s="164"/>
      <c r="U801" s="164"/>
      <c r="V801" s="164"/>
      <c r="W801" s="164"/>
      <c r="X801" s="164"/>
      <c r="Y801" s="164"/>
      <c r="Z801" s="164"/>
      <c r="AA801" s="164"/>
      <c r="AB801" s="164"/>
    </row>
    <row r="802">
      <c r="A802" s="164"/>
      <c r="B802" s="164"/>
      <c r="C802" s="9"/>
      <c r="D802" s="9"/>
      <c r="E802" s="9"/>
      <c r="F802" s="9"/>
      <c r="G802" s="164"/>
      <c r="H802" s="164"/>
      <c r="I802" s="164"/>
      <c r="J802" s="652"/>
      <c r="K802" s="164"/>
      <c r="L802" s="164"/>
      <c r="M802" s="164"/>
      <c r="N802" s="164"/>
      <c r="O802" s="164"/>
      <c r="P802" s="164"/>
      <c r="Q802" s="164"/>
      <c r="R802" s="164"/>
      <c r="S802" s="164"/>
      <c r="T802" s="164"/>
      <c r="U802" s="164"/>
      <c r="V802" s="164"/>
      <c r="W802" s="164"/>
      <c r="X802" s="164"/>
      <c r="Y802" s="164"/>
      <c r="Z802" s="164"/>
      <c r="AA802" s="164"/>
      <c r="AB802" s="164"/>
    </row>
    <row r="803">
      <c r="A803" s="164"/>
      <c r="B803" s="164"/>
      <c r="C803" s="9"/>
      <c r="D803" s="9"/>
      <c r="E803" s="9"/>
      <c r="F803" s="9"/>
      <c r="G803" s="164"/>
      <c r="H803" s="164"/>
      <c r="I803" s="164"/>
      <c r="J803" s="652"/>
      <c r="K803" s="164"/>
      <c r="L803" s="164"/>
      <c r="M803" s="164"/>
      <c r="N803" s="164"/>
      <c r="O803" s="164"/>
      <c r="P803" s="164"/>
      <c r="Q803" s="164"/>
      <c r="R803" s="164"/>
      <c r="S803" s="164"/>
      <c r="T803" s="164"/>
      <c r="U803" s="164"/>
      <c r="V803" s="164"/>
      <c r="W803" s="164"/>
      <c r="X803" s="164"/>
      <c r="Y803" s="164"/>
      <c r="Z803" s="164"/>
      <c r="AA803" s="164"/>
      <c r="AB803" s="164"/>
    </row>
    <row r="804">
      <c r="A804" s="164"/>
      <c r="B804" s="164"/>
      <c r="C804" s="9"/>
      <c r="D804" s="9"/>
      <c r="E804" s="9"/>
      <c r="F804" s="9"/>
      <c r="G804" s="164"/>
      <c r="H804" s="164"/>
      <c r="I804" s="164"/>
      <c r="J804" s="652"/>
      <c r="K804" s="164"/>
      <c r="L804" s="164"/>
      <c r="M804" s="164"/>
      <c r="N804" s="164"/>
      <c r="O804" s="164"/>
      <c r="P804" s="164"/>
      <c r="Q804" s="164"/>
      <c r="R804" s="164"/>
      <c r="S804" s="164"/>
      <c r="T804" s="164"/>
      <c r="U804" s="164"/>
      <c r="V804" s="164"/>
      <c r="W804" s="164"/>
      <c r="X804" s="164"/>
      <c r="Y804" s="164"/>
      <c r="Z804" s="164"/>
      <c r="AA804" s="164"/>
      <c r="AB804" s="164"/>
    </row>
    <row r="805">
      <c r="A805" s="164"/>
      <c r="B805" s="164"/>
      <c r="C805" s="9"/>
      <c r="D805" s="9"/>
      <c r="E805" s="9"/>
      <c r="F805" s="9"/>
      <c r="G805" s="164"/>
      <c r="H805" s="164"/>
      <c r="I805" s="164"/>
      <c r="J805" s="652"/>
      <c r="K805" s="164"/>
      <c r="L805" s="164"/>
      <c r="M805" s="164"/>
      <c r="N805" s="164"/>
      <c r="O805" s="164"/>
      <c r="P805" s="164"/>
      <c r="Q805" s="164"/>
      <c r="R805" s="164"/>
      <c r="S805" s="164"/>
      <c r="T805" s="164"/>
      <c r="U805" s="164"/>
      <c r="V805" s="164"/>
      <c r="W805" s="164"/>
      <c r="X805" s="164"/>
      <c r="Y805" s="164"/>
      <c r="Z805" s="164"/>
      <c r="AA805" s="164"/>
      <c r="AB805" s="164"/>
    </row>
    <row r="806">
      <c r="A806" s="164"/>
      <c r="B806" s="164"/>
      <c r="C806" s="9"/>
      <c r="D806" s="9"/>
      <c r="E806" s="9"/>
      <c r="F806" s="9"/>
      <c r="G806" s="164"/>
      <c r="H806" s="164"/>
      <c r="I806" s="164"/>
      <c r="J806" s="652"/>
      <c r="K806" s="164"/>
      <c r="L806" s="164"/>
      <c r="M806" s="164"/>
      <c r="N806" s="164"/>
      <c r="O806" s="164"/>
      <c r="P806" s="164"/>
      <c r="Q806" s="164"/>
      <c r="R806" s="164"/>
      <c r="S806" s="164"/>
      <c r="T806" s="164"/>
      <c r="U806" s="164"/>
      <c r="V806" s="164"/>
      <c r="W806" s="164"/>
      <c r="X806" s="164"/>
      <c r="Y806" s="164"/>
      <c r="Z806" s="164"/>
      <c r="AA806" s="164"/>
      <c r="AB806" s="164"/>
    </row>
    <row r="807">
      <c r="A807" s="164"/>
      <c r="B807" s="164"/>
      <c r="C807" s="9"/>
      <c r="D807" s="9"/>
      <c r="E807" s="9"/>
      <c r="F807" s="9"/>
      <c r="G807" s="164"/>
      <c r="H807" s="164"/>
      <c r="I807" s="164"/>
      <c r="J807" s="652"/>
      <c r="K807" s="164"/>
      <c r="L807" s="164"/>
      <c r="M807" s="164"/>
      <c r="N807" s="164"/>
      <c r="O807" s="164"/>
      <c r="P807" s="164"/>
      <c r="Q807" s="164"/>
      <c r="R807" s="164"/>
      <c r="S807" s="164"/>
      <c r="T807" s="164"/>
      <c r="U807" s="164"/>
      <c r="V807" s="164"/>
      <c r="W807" s="164"/>
      <c r="X807" s="164"/>
      <c r="Y807" s="164"/>
      <c r="Z807" s="164"/>
      <c r="AA807" s="164"/>
      <c r="AB807" s="164"/>
    </row>
    <row r="808">
      <c r="A808" s="164"/>
      <c r="B808" s="164"/>
      <c r="C808" s="9"/>
      <c r="D808" s="9"/>
      <c r="E808" s="9"/>
      <c r="F808" s="9"/>
      <c r="G808" s="164"/>
      <c r="H808" s="164"/>
      <c r="I808" s="164"/>
      <c r="J808" s="652"/>
      <c r="K808" s="164"/>
      <c r="L808" s="164"/>
      <c r="M808" s="164"/>
      <c r="N808" s="164"/>
      <c r="O808" s="164"/>
      <c r="P808" s="164"/>
      <c r="Q808" s="164"/>
      <c r="R808" s="164"/>
      <c r="S808" s="164"/>
      <c r="T808" s="164"/>
      <c r="U808" s="164"/>
      <c r="V808" s="164"/>
      <c r="W808" s="164"/>
      <c r="X808" s="164"/>
      <c r="Y808" s="164"/>
      <c r="Z808" s="164"/>
      <c r="AA808" s="164"/>
      <c r="AB808" s="164"/>
    </row>
    <row r="809">
      <c r="A809" s="164"/>
      <c r="B809" s="164"/>
      <c r="C809" s="9"/>
      <c r="D809" s="9"/>
      <c r="E809" s="9"/>
      <c r="F809" s="9"/>
      <c r="G809" s="164"/>
      <c r="H809" s="164"/>
      <c r="I809" s="164"/>
      <c r="J809" s="652"/>
      <c r="K809" s="164"/>
      <c r="L809" s="164"/>
      <c r="M809" s="164"/>
      <c r="N809" s="164"/>
      <c r="O809" s="164"/>
      <c r="P809" s="164"/>
      <c r="Q809" s="164"/>
      <c r="R809" s="164"/>
      <c r="S809" s="164"/>
      <c r="T809" s="164"/>
      <c r="U809" s="164"/>
      <c r="V809" s="164"/>
      <c r="W809" s="164"/>
      <c r="X809" s="164"/>
      <c r="Y809" s="164"/>
      <c r="Z809" s="164"/>
      <c r="AA809" s="164"/>
      <c r="AB809" s="164"/>
    </row>
    <row r="810">
      <c r="A810" s="164"/>
      <c r="B810" s="164"/>
      <c r="C810" s="9"/>
      <c r="D810" s="9"/>
      <c r="E810" s="9"/>
      <c r="F810" s="9"/>
      <c r="G810" s="164"/>
      <c r="H810" s="164"/>
      <c r="I810" s="164"/>
      <c r="J810" s="652"/>
      <c r="K810" s="164"/>
      <c r="L810" s="164"/>
      <c r="M810" s="164"/>
      <c r="N810" s="164"/>
      <c r="O810" s="164"/>
      <c r="P810" s="164"/>
      <c r="Q810" s="164"/>
      <c r="R810" s="164"/>
      <c r="S810" s="164"/>
      <c r="T810" s="164"/>
      <c r="U810" s="164"/>
      <c r="V810" s="164"/>
      <c r="W810" s="164"/>
      <c r="X810" s="164"/>
      <c r="Y810" s="164"/>
      <c r="Z810" s="164"/>
      <c r="AA810" s="164"/>
      <c r="AB810" s="164"/>
    </row>
    <row r="811">
      <c r="A811" s="164"/>
      <c r="B811" s="164"/>
      <c r="C811" s="9"/>
      <c r="D811" s="9"/>
      <c r="E811" s="9"/>
      <c r="F811" s="9"/>
      <c r="G811" s="164"/>
      <c r="H811" s="164"/>
      <c r="I811" s="164"/>
      <c r="J811" s="652"/>
      <c r="K811" s="164"/>
      <c r="L811" s="164"/>
      <c r="M811" s="164"/>
      <c r="N811" s="164"/>
      <c r="O811" s="164"/>
      <c r="P811" s="164"/>
      <c r="Q811" s="164"/>
      <c r="R811" s="164"/>
      <c r="S811" s="164"/>
      <c r="T811" s="164"/>
      <c r="U811" s="164"/>
      <c r="V811" s="164"/>
      <c r="W811" s="164"/>
      <c r="X811" s="164"/>
      <c r="Y811" s="164"/>
      <c r="Z811" s="164"/>
      <c r="AA811" s="164"/>
      <c r="AB811" s="164"/>
    </row>
    <row r="812">
      <c r="A812" s="164"/>
      <c r="B812" s="164"/>
      <c r="C812" s="9"/>
      <c r="D812" s="9"/>
      <c r="E812" s="9"/>
      <c r="F812" s="9"/>
      <c r="G812" s="164"/>
      <c r="H812" s="164"/>
      <c r="I812" s="164"/>
      <c r="J812" s="652"/>
      <c r="K812" s="164"/>
      <c r="L812" s="164"/>
      <c r="M812" s="164"/>
      <c r="N812" s="164"/>
      <c r="O812" s="164"/>
      <c r="P812" s="164"/>
      <c r="Q812" s="164"/>
      <c r="R812" s="164"/>
      <c r="S812" s="164"/>
      <c r="T812" s="164"/>
      <c r="U812" s="164"/>
      <c r="V812" s="164"/>
      <c r="W812" s="164"/>
      <c r="X812" s="164"/>
      <c r="Y812" s="164"/>
      <c r="Z812" s="164"/>
      <c r="AA812" s="164"/>
      <c r="AB812" s="164"/>
    </row>
    <row r="813">
      <c r="A813" s="164"/>
      <c r="B813" s="164"/>
      <c r="C813" s="9"/>
      <c r="D813" s="9"/>
      <c r="E813" s="9"/>
      <c r="F813" s="9"/>
      <c r="G813" s="164"/>
      <c r="H813" s="164"/>
      <c r="I813" s="164"/>
      <c r="J813" s="652"/>
      <c r="K813" s="164"/>
      <c r="L813" s="164"/>
      <c r="M813" s="164"/>
      <c r="N813" s="164"/>
      <c r="O813" s="164"/>
      <c r="P813" s="164"/>
      <c r="Q813" s="164"/>
      <c r="R813" s="164"/>
      <c r="S813" s="164"/>
      <c r="T813" s="164"/>
      <c r="U813" s="164"/>
      <c r="V813" s="164"/>
      <c r="W813" s="164"/>
      <c r="X813" s="164"/>
      <c r="Y813" s="164"/>
      <c r="Z813" s="164"/>
      <c r="AA813" s="164"/>
      <c r="AB813" s="164"/>
    </row>
    <row r="814">
      <c r="A814" s="164"/>
      <c r="B814" s="164"/>
      <c r="C814" s="9"/>
      <c r="D814" s="9"/>
      <c r="E814" s="9"/>
      <c r="F814" s="9"/>
      <c r="G814" s="164"/>
      <c r="H814" s="164"/>
      <c r="I814" s="164"/>
      <c r="J814" s="652"/>
      <c r="K814" s="164"/>
      <c r="L814" s="164"/>
      <c r="M814" s="164"/>
      <c r="N814" s="164"/>
      <c r="O814" s="164"/>
      <c r="P814" s="164"/>
      <c r="Q814" s="164"/>
      <c r="R814" s="164"/>
      <c r="S814" s="164"/>
      <c r="T814" s="164"/>
      <c r="U814" s="164"/>
      <c r="V814" s="164"/>
      <c r="W814" s="164"/>
      <c r="X814" s="164"/>
      <c r="Y814" s="164"/>
      <c r="Z814" s="164"/>
      <c r="AA814" s="164"/>
      <c r="AB814" s="164"/>
    </row>
    <row r="815">
      <c r="A815" s="164"/>
      <c r="B815" s="164"/>
      <c r="C815" s="9"/>
      <c r="D815" s="9"/>
      <c r="E815" s="9"/>
      <c r="F815" s="9"/>
      <c r="G815" s="164"/>
      <c r="H815" s="164"/>
      <c r="I815" s="164"/>
      <c r="J815" s="652"/>
      <c r="K815" s="164"/>
      <c r="L815" s="164"/>
      <c r="M815" s="164"/>
      <c r="N815" s="164"/>
      <c r="O815" s="164"/>
      <c r="P815" s="164"/>
      <c r="Q815" s="164"/>
      <c r="R815" s="164"/>
      <c r="S815" s="164"/>
      <c r="T815" s="164"/>
      <c r="U815" s="164"/>
      <c r="V815" s="164"/>
      <c r="W815" s="164"/>
      <c r="X815" s="164"/>
      <c r="Y815" s="164"/>
      <c r="Z815" s="164"/>
      <c r="AA815" s="164"/>
      <c r="AB815" s="164"/>
    </row>
    <row r="816">
      <c r="A816" s="164"/>
      <c r="B816" s="164"/>
      <c r="C816" s="9"/>
      <c r="D816" s="9"/>
      <c r="E816" s="9"/>
      <c r="F816" s="9"/>
      <c r="G816" s="164"/>
      <c r="H816" s="164"/>
      <c r="I816" s="164"/>
      <c r="J816" s="652"/>
      <c r="K816" s="164"/>
      <c r="L816" s="164"/>
      <c r="M816" s="164"/>
      <c r="N816" s="164"/>
      <c r="O816" s="164"/>
      <c r="P816" s="164"/>
      <c r="Q816" s="164"/>
      <c r="R816" s="164"/>
      <c r="S816" s="164"/>
      <c r="T816" s="164"/>
      <c r="U816" s="164"/>
      <c r="V816" s="164"/>
      <c r="W816" s="164"/>
      <c r="X816" s="164"/>
      <c r="Y816" s="164"/>
      <c r="Z816" s="164"/>
      <c r="AA816" s="164"/>
      <c r="AB816" s="164"/>
    </row>
    <row r="817">
      <c r="A817" s="164"/>
      <c r="B817" s="164"/>
      <c r="C817" s="9"/>
      <c r="D817" s="9"/>
      <c r="E817" s="9"/>
      <c r="F817" s="9"/>
      <c r="G817" s="164"/>
      <c r="H817" s="164"/>
      <c r="I817" s="164"/>
      <c r="J817" s="652"/>
      <c r="K817" s="164"/>
      <c r="L817" s="164"/>
      <c r="M817" s="164"/>
      <c r="N817" s="164"/>
      <c r="O817" s="164"/>
      <c r="P817" s="164"/>
      <c r="Q817" s="164"/>
      <c r="R817" s="164"/>
      <c r="S817" s="164"/>
      <c r="T817" s="164"/>
      <c r="U817" s="164"/>
      <c r="V817" s="164"/>
      <c r="W817" s="164"/>
      <c r="X817" s="164"/>
      <c r="Y817" s="164"/>
      <c r="Z817" s="164"/>
      <c r="AA817" s="164"/>
      <c r="AB817" s="164"/>
    </row>
    <row r="818">
      <c r="A818" s="164"/>
      <c r="B818" s="164"/>
      <c r="C818" s="9"/>
      <c r="D818" s="9"/>
      <c r="E818" s="9"/>
      <c r="F818" s="9"/>
      <c r="G818" s="164"/>
      <c r="H818" s="164"/>
      <c r="I818" s="164"/>
      <c r="J818" s="652"/>
      <c r="K818" s="164"/>
      <c r="L818" s="164"/>
      <c r="M818" s="164"/>
      <c r="N818" s="164"/>
      <c r="O818" s="164"/>
      <c r="P818" s="164"/>
      <c r="Q818" s="164"/>
      <c r="R818" s="164"/>
      <c r="S818" s="164"/>
      <c r="T818" s="164"/>
      <c r="U818" s="164"/>
      <c r="V818" s="164"/>
      <c r="W818" s="164"/>
      <c r="X818" s="164"/>
      <c r="Y818" s="164"/>
      <c r="Z818" s="164"/>
      <c r="AA818" s="164"/>
      <c r="AB818" s="164"/>
    </row>
    <row r="819">
      <c r="A819" s="164"/>
      <c r="B819" s="164"/>
      <c r="C819" s="9"/>
      <c r="D819" s="9"/>
      <c r="E819" s="9"/>
      <c r="F819" s="9"/>
      <c r="G819" s="164"/>
      <c r="H819" s="164"/>
      <c r="I819" s="164"/>
      <c r="J819" s="652"/>
      <c r="K819" s="164"/>
      <c r="L819" s="164"/>
      <c r="M819" s="164"/>
      <c r="N819" s="164"/>
      <c r="O819" s="164"/>
      <c r="P819" s="164"/>
      <c r="Q819" s="164"/>
      <c r="R819" s="164"/>
      <c r="S819" s="164"/>
      <c r="T819" s="164"/>
      <c r="U819" s="164"/>
      <c r="V819" s="164"/>
      <c r="W819" s="164"/>
      <c r="X819" s="164"/>
      <c r="Y819" s="164"/>
      <c r="Z819" s="164"/>
      <c r="AA819" s="164"/>
      <c r="AB819" s="164"/>
    </row>
    <row r="820">
      <c r="A820" s="164"/>
      <c r="B820" s="164"/>
      <c r="C820" s="9"/>
      <c r="D820" s="9"/>
      <c r="E820" s="9"/>
      <c r="F820" s="9"/>
      <c r="G820" s="164"/>
      <c r="H820" s="164"/>
      <c r="I820" s="164"/>
      <c r="J820" s="652"/>
      <c r="K820" s="164"/>
      <c r="L820" s="164"/>
      <c r="M820" s="164"/>
      <c r="N820" s="164"/>
      <c r="O820" s="164"/>
      <c r="P820" s="164"/>
      <c r="Q820" s="164"/>
      <c r="R820" s="164"/>
      <c r="S820" s="164"/>
      <c r="T820" s="164"/>
      <c r="U820" s="164"/>
      <c r="V820" s="164"/>
      <c r="W820" s="164"/>
      <c r="X820" s="164"/>
      <c r="Y820" s="164"/>
      <c r="Z820" s="164"/>
      <c r="AA820" s="164"/>
      <c r="AB820" s="164"/>
    </row>
    <row r="821">
      <c r="A821" s="164"/>
      <c r="B821" s="164"/>
      <c r="C821" s="9"/>
      <c r="D821" s="9"/>
      <c r="E821" s="9"/>
      <c r="F821" s="9"/>
      <c r="G821" s="164"/>
      <c r="H821" s="164"/>
      <c r="I821" s="164"/>
      <c r="J821" s="652"/>
      <c r="K821" s="164"/>
      <c r="L821" s="164"/>
      <c r="M821" s="164"/>
      <c r="N821" s="164"/>
      <c r="O821" s="164"/>
      <c r="P821" s="164"/>
      <c r="Q821" s="164"/>
      <c r="R821" s="164"/>
      <c r="S821" s="164"/>
      <c r="T821" s="164"/>
      <c r="U821" s="164"/>
      <c r="V821" s="164"/>
      <c r="W821" s="164"/>
      <c r="X821" s="164"/>
      <c r="Y821" s="164"/>
      <c r="Z821" s="164"/>
      <c r="AA821" s="164"/>
      <c r="AB821" s="164"/>
    </row>
    <row r="822">
      <c r="A822" s="164"/>
      <c r="B822" s="164"/>
      <c r="C822" s="9"/>
      <c r="D822" s="9"/>
      <c r="E822" s="9"/>
      <c r="F822" s="9"/>
      <c r="G822" s="164"/>
      <c r="H822" s="164"/>
      <c r="I822" s="164"/>
      <c r="J822" s="652"/>
      <c r="K822" s="164"/>
      <c r="L822" s="164"/>
      <c r="M822" s="164"/>
      <c r="N822" s="164"/>
      <c r="O822" s="164"/>
      <c r="P822" s="164"/>
      <c r="Q822" s="164"/>
      <c r="R822" s="164"/>
      <c r="S822" s="164"/>
      <c r="T822" s="164"/>
      <c r="U822" s="164"/>
      <c r="V822" s="164"/>
      <c r="W822" s="164"/>
      <c r="X822" s="164"/>
      <c r="Y822" s="164"/>
      <c r="Z822" s="164"/>
      <c r="AA822" s="164"/>
      <c r="AB822" s="164"/>
    </row>
    <row r="823">
      <c r="A823" s="164"/>
      <c r="B823" s="164"/>
      <c r="C823" s="9"/>
      <c r="D823" s="9"/>
      <c r="E823" s="9"/>
      <c r="F823" s="9"/>
      <c r="G823" s="164"/>
      <c r="H823" s="164"/>
      <c r="I823" s="164"/>
      <c r="J823" s="652"/>
      <c r="K823" s="164"/>
      <c r="L823" s="164"/>
      <c r="M823" s="164"/>
      <c r="N823" s="164"/>
      <c r="O823" s="164"/>
      <c r="P823" s="164"/>
      <c r="Q823" s="164"/>
      <c r="R823" s="164"/>
      <c r="S823" s="164"/>
      <c r="T823" s="164"/>
      <c r="U823" s="164"/>
      <c r="V823" s="164"/>
      <c r="W823" s="164"/>
      <c r="X823" s="164"/>
      <c r="Y823" s="164"/>
      <c r="Z823" s="164"/>
      <c r="AA823" s="164"/>
      <c r="AB823" s="164"/>
    </row>
    <row r="824">
      <c r="A824" s="164"/>
      <c r="B824" s="164"/>
      <c r="C824" s="9"/>
      <c r="D824" s="9"/>
      <c r="E824" s="9"/>
      <c r="F824" s="9"/>
      <c r="G824" s="164"/>
      <c r="H824" s="164"/>
      <c r="I824" s="164"/>
      <c r="J824" s="652"/>
      <c r="K824" s="164"/>
      <c r="L824" s="164"/>
      <c r="M824" s="164"/>
      <c r="N824" s="164"/>
      <c r="O824" s="164"/>
      <c r="P824" s="164"/>
      <c r="Q824" s="164"/>
      <c r="R824" s="164"/>
      <c r="S824" s="164"/>
      <c r="T824" s="164"/>
      <c r="U824" s="164"/>
      <c r="V824" s="164"/>
      <c r="W824" s="164"/>
      <c r="X824" s="164"/>
      <c r="Y824" s="164"/>
      <c r="Z824" s="164"/>
      <c r="AA824" s="164"/>
      <c r="AB824" s="164"/>
    </row>
    <row r="825">
      <c r="A825" s="164"/>
      <c r="B825" s="164"/>
      <c r="C825" s="9"/>
      <c r="D825" s="9"/>
      <c r="E825" s="9"/>
      <c r="F825" s="9"/>
      <c r="G825" s="164"/>
      <c r="H825" s="164"/>
      <c r="I825" s="164"/>
      <c r="J825" s="652"/>
      <c r="K825" s="164"/>
      <c r="L825" s="164"/>
      <c r="M825" s="164"/>
      <c r="N825" s="164"/>
      <c r="O825" s="164"/>
      <c r="P825" s="164"/>
      <c r="Q825" s="164"/>
      <c r="R825" s="164"/>
      <c r="S825" s="164"/>
      <c r="T825" s="164"/>
      <c r="U825" s="164"/>
      <c r="V825" s="164"/>
      <c r="W825" s="164"/>
      <c r="X825" s="164"/>
      <c r="Y825" s="164"/>
      <c r="Z825" s="164"/>
      <c r="AA825" s="164"/>
      <c r="AB825" s="164"/>
    </row>
    <row r="826">
      <c r="A826" s="164"/>
      <c r="B826" s="164"/>
      <c r="C826" s="9"/>
      <c r="D826" s="9"/>
      <c r="E826" s="9"/>
      <c r="F826" s="9"/>
      <c r="G826" s="164"/>
      <c r="H826" s="164"/>
      <c r="I826" s="164"/>
      <c r="J826" s="652"/>
      <c r="K826" s="164"/>
      <c r="L826" s="164"/>
      <c r="M826" s="164"/>
      <c r="N826" s="164"/>
      <c r="O826" s="164"/>
      <c r="P826" s="164"/>
      <c r="Q826" s="164"/>
      <c r="R826" s="164"/>
      <c r="S826" s="164"/>
      <c r="T826" s="164"/>
      <c r="U826" s="164"/>
      <c r="V826" s="164"/>
      <c r="W826" s="164"/>
      <c r="X826" s="164"/>
      <c r="Y826" s="164"/>
      <c r="Z826" s="164"/>
      <c r="AA826" s="164"/>
      <c r="AB826" s="164"/>
    </row>
    <row r="827">
      <c r="A827" s="164"/>
      <c r="B827" s="164"/>
      <c r="C827" s="9"/>
      <c r="D827" s="9"/>
      <c r="E827" s="9"/>
      <c r="F827" s="9"/>
      <c r="G827" s="164"/>
      <c r="H827" s="164"/>
      <c r="I827" s="164"/>
      <c r="J827" s="652"/>
      <c r="K827" s="164"/>
      <c r="L827" s="164"/>
      <c r="M827" s="164"/>
      <c r="N827" s="164"/>
      <c r="O827" s="164"/>
      <c r="P827" s="164"/>
      <c r="Q827" s="164"/>
      <c r="R827" s="164"/>
      <c r="S827" s="164"/>
      <c r="T827" s="164"/>
      <c r="U827" s="164"/>
      <c r="V827" s="164"/>
      <c r="W827" s="164"/>
      <c r="X827" s="164"/>
      <c r="Y827" s="164"/>
      <c r="Z827" s="164"/>
      <c r="AA827" s="164"/>
      <c r="AB827" s="164"/>
    </row>
    <row r="828">
      <c r="A828" s="164"/>
      <c r="B828" s="164"/>
      <c r="C828" s="9"/>
      <c r="D828" s="9"/>
      <c r="E828" s="9"/>
      <c r="F828" s="9"/>
      <c r="G828" s="164"/>
      <c r="H828" s="164"/>
      <c r="I828" s="164"/>
      <c r="J828" s="652"/>
      <c r="K828" s="164"/>
      <c r="L828" s="164"/>
      <c r="M828" s="164"/>
      <c r="N828" s="164"/>
      <c r="O828" s="164"/>
      <c r="P828" s="164"/>
      <c r="Q828" s="164"/>
      <c r="R828" s="164"/>
      <c r="S828" s="164"/>
      <c r="T828" s="164"/>
      <c r="U828" s="164"/>
      <c r="V828" s="164"/>
      <c r="W828" s="164"/>
      <c r="X828" s="164"/>
      <c r="Y828" s="164"/>
      <c r="Z828" s="164"/>
      <c r="AA828" s="164"/>
      <c r="AB828" s="164"/>
    </row>
    <row r="829">
      <c r="A829" s="164"/>
      <c r="B829" s="164"/>
      <c r="C829" s="9"/>
      <c r="D829" s="9"/>
      <c r="E829" s="9"/>
      <c r="F829" s="9"/>
      <c r="G829" s="164"/>
      <c r="H829" s="164"/>
      <c r="I829" s="164"/>
      <c r="J829" s="652"/>
      <c r="K829" s="164"/>
      <c r="L829" s="164"/>
      <c r="M829" s="164"/>
      <c r="N829" s="164"/>
      <c r="O829" s="164"/>
      <c r="P829" s="164"/>
      <c r="Q829" s="164"/>
      <c r="R829" s="164"/>
      <c r="S829" s="164"/>
      <c r="T829" s="164"/>
      <c r="U829" s="164"/>
      <c r="V829" s="164"/>
      <c r="W829" s="164"/>
      <c r="X829" s="164"/>
      <c r="Y829" s="164"/>
      <c r="Z829" s="164"/>
      <c r="AA829" s="164"/>
      <c r="AB829" s="164"/>
    </row>
    <row r="830">
      <c r="A830" s="164"/>
      <c r="B830" s="164"/>
      <c r="C830" s="9"/>
      <c r="D830" s="9"/>
      <c r="E830" s="9"/>
      <c r="F830" s="9"/>
      <c r="G830" s="164"/>
      <c r="H830" s="164"/>
      <c r="I830" s="164"/>
      <c r="J830" s="652"/>
      <c r="K830" s="164"/>
      <c r="L830" s="164"/>
      <c r="M830" s="164"/>
      <c r="N830" s="164"/>
      <c r="O830" s="164"/>
      <c r="P830" s="164"/>
      <c r="Q830" s="164"/>
      <c r="R830" s="164"/>
      <c r="S830" s="164"/>
      <c r="T830" s="164"/>
      <c r="U830" s="164"/>
      <c r="V830" s="164"/>
      <c r="W830" s="164"/>
      <c r="X830" s="164"/>
      <c r="Y830" s="164"/>
      <c r="Z830" s="164"/>
      <c r="AA830" s="164"/>
      <c r="AB830" s="164"/>
    </row>
    <row r="831">
      <c r="A831" s="164"/>
      <c r="B831" s="164"/>
      <c r="C831" s="9"/>
      <c r="D831" s="9"/>
      <c r="E831" s="9"/>
      <c r="F831" s="9"/>
      <c r="G831" s="164"/>
      <c r="H831" s="164"/>
      <c r="I831" s="164"/>
      <c r="J831" s="652"/>
      <c r="K831" s="164"/>
      <c r="L831" s="164"/>
      <c r="M831" s="164"/>
      <c r="N831" s="164"/>
      <c r="O831" s="164"/>
      <c r="P831" s="164"/>
      <c r="Q831" s="164"/>
      <c r="R831" s="164"/>
      <c r="S831" s="164"/>
      <c r="T831" s="164"/>
      <c r="U831" s="164"/>
      <c r="V831" s="164"/>
      <c r="W831" s="164"/>
      <c r="X831" s="164"/>
      <c r="Y831" s="164"/>
      <c r="Z831" s="164"/>
      <c r="AA831" s="164"/>
      <c r="AB831" s="164"/>
    </row>
    <row r="832">
      <c r="A832" s="164"/>
      <c r="B832" s="164"/>
      <c r="C832" s="9"/>
      <c r="D832" s="9"/>
      <c r="E832" s="9"/>
      <c r="F832" s="9"/>
      <c r="G832" s="164"/>
      <c r="H832" s="164"/>
      <c r="I832" s="164"/>
      <c r="J832" s="652"/>
      <c r="K832" s="164"/>
      <c r="L832" s="164"/>
      <c r="M832" s="164"/>
      <c r="N832" s="164"/>
      <c r="O832" s="164"/>
      <c r="P832" s="164"/>
      <c r="Q832" s="164"/>
      <c r="R832" s="164"/>
      <c r="S832" s="164"/>
      <c r="T832" s="164"/>
      <c r="U832" s="164"/>
      <c r="V832" s="164"/>
      <c r="W832" s="164"/>
      <c r="X832" s="164"/>
      <c r="Y832" s="164"/>
      <c r="Z832" s="164"/>
      <c r="AA832" s="164"/>
      <c r="AB832" s="164"/>
    </row>
    <row r="833">
      <c r="A833" s="164"/>
      <c r="B833" s="164"/>
      <c r="C833" s="9"/>
      <c r="D833" s="9"/>
      <c r="E833" s="9"/>
      <c r="F833" s="9"/>
      <c r="G833" s="164"/>
      <c r="H833" s="164"/>
      <c r="I833" s="164"/>
      <c r="J833" s="652"/>
      <c r="K833" s="164"/>
      <c r="L833" s="164"/>
      <c r="M833" s="164"/>
      <c r="N833" s="164"/>
      <c r="O833" s="164"/>
      <c r="P833" s="164"/>
      <c r="Q833" s="164"/>
      <c r="R833" s="164"/>
      <c r="S833" s="164"/>
      <c r="T833" s="164"/>
      <c r="U833" s="164"/>
      <c r="V833" s="164"/>
      <c r="W833" s="164"/>
      <c r="X833" s="164"/>
      <c r="Y833" s="164"/>
      <c r="Z833" s="164"/>
      <c r="AA833" s="164"/>
      <c r="AB833" s="164"/>
    </row>
    <row r="834">
      <c r="A834" s="164"/>
      <c r="B834" s="164"/>
      <c r="C834" s="9"/>
      <c r="D834" s="9"/>
      <c r="E834" s="9"/>
      <c r="F834" s="9"/>
      <c r="G834" s="164"/>
      <c r="H834" s="164"/>
      <c r="I834" s="164"/>
      <c r="J834" s="652"/>
      <c r="K834" s="164"/>
      <c r="L834" s="164"/>
      <c r="M834" s="164"/>
      <c r="N834" s="164"/>
      <c r="O834" s="164"/>
      <c r="P834" s="164"/>
      <c r="Q834" s="164"/>
      <c r="R834" s="164"/>
      <c r="S834" s="164"/>
      <c r="T834" s="164"/>
      <c r="U834" s="164"/>
      <c r="V834" s="164"/>
      <c r="W834" s="164"/>
      <c r="X834" s="164"/>
      <c r="Y834" s="164"/>
      <c r="Z834" s="164"/>
      <c r="AA834" s="164"/>
      <c r="AB834" s="164"/>
    </row>
    <row r="835">
      <c r="A835" s="164"/>
      <c r="B835" s="164"/>
      <c r="C835" s="9"/>
      <c r="D835" s="9"/>
      <c r="E835" s="9"/>
      <c r="F835" s="9"/>
      <c r="G835" s="164"/>
      <c r="H835" s="164"/>
      <c r="I835" s="164"/>
      <c r="J835" s="652"/>
      <c r="K835" s="164"/>
      <c r="L835" s="164"/>
      <c r="M835" s="164"/>
      <c r="N835" s="164"/>
      <c r="O835" s="164"/>
      <c r="P835" s="164"/>
      <c r="Q835" s="164"/>
      <c r="R835" s="164"/>
      <c r="S835" s="164"/>
      <c r="T835" s="164"/>
      <c r="U835" s="164"/>
      <c r="V835" s="164"/>
      <c r="W835" s="164"/>
      <c r="X835" s="164"/>
      <c r="Y835" s="164"/>
      <c r="Z835" s="164"/>
      <c r="AA835" s="164"/>
      <c r="AB835" s="164"/>
    </row>
    <row r="836">
      <c r="A836" s="164"/>
      <c r="B836" s="164"/>
      <c r="C836" s="9"/>
      <c r="D836" s="9"/>
      <c r="E836" s="9"/>
      <c r="F836" s="9"/>
      <c r="G836" s="164"/>
      <c r="H836" s="164"/>
      <c r="I836" s="164"/>
      <c r="J836" s="652"/>
      <c r="K836" s="164"/>
      <c r="L836" s="164"/>
      <c r="M836" s="164"/>
      <c r="N836" s="164"/>
      <c r="O836" s="164"/>
      <c r="P836" s="164"/>
      <c r="Q836" s="164"/>
      <c r="R836" s="164"/>
      <c r="S836" s="164"/>
      <c r="T836" s="164"/>
      <c r="U836" s="164"/>
      <c r="V836" s="164"/>
      <c r="W836" s="164"/>
      <c r="X836" s="164"/>
      <c r="Y836" s="164"/>
      <c r="Z836" s="164"/>
      <c r="AA836" s="164"/>
      <c r="AB836" s="164"/>
    </row>
    <row r="837">
      <c r="A837" s="164"/>
      <c r="B837" s="164"/>
      <c r="C837" s="9"/>
      <c r="D837" s="9"/>
      <c r="E837" s="9"/>
      <c r="F837" s="9"/>
      <c r="G837" s="164"/>
      <c r="H837" s="164"/>
      <c r="I837" s="164"/>
      <c r="J837" s="652"/>
      <c r="K837" s="164"/>
      <c r="L837" s="164"/>
      <c r="M837" s="164"/>
      <c r="N837" s="164"/>
      <c r="O837" s="164"/>
      <c r="P837" s="164"/>
      <c r="Q837" s="164"/>
      <c r="R837" s="164"/>
      <c r="S837" s="164"/>
      <c r="T837" s="164"/>
      <c r="U837" s="164"/>
      <c r="V837" s="164"/>
      <c r="W837" s="164"/>
      <c r="X837" s="164"/>
      <c r="Y837" s="164"/>
      <c r="Z837" s="164"/>
      <c r="AA837" s="164"/>
      <c r="AB837" s="164"/>
    </row>
    <row r="838">
      <c r="A838" s="164"/>
      <c r="B838" s="164"/>
      <c r="C838" s="9"/>
      <c r="D838" s="9"/>
      <c r="E838" s="9"/>
      <c r="F838" s="9"/>
      <c r="G838" s="164"/>
      <c r="H838" s="164"/>
      <c r="I838" s="164"/>
      <c r="J838" s="652"/>
      <c r="K838" s="164"/>
      <c r="L838" s="164"/>
      <c r="M838" s="164"/>
      <c r="N838" s="164"/>
      <c r="O838" s="164"/>
      <c r="P838" s="164"/>
      <c r="Q838" s="164"/>
      <c r="R838" s="164"/>
      <c r="S838" s="164"/>
      <c r="T838" s="164"/>
      <c r="U838" s="164"/>
      <c r="V838" s="164"/>
      <c r="W838" s="164"/>
      <c r="X838" s="164"/>
      <c r="Y838" s="164"/>
      <c r="Z838" s="164"/>
      <c r="AA838" s="164"/>
      <c r="AB838" s="164"/>
    </row>
    <row r="839">
      <c r="A839" s="164"/>
      <c r="B839" s="164"/>
      <c r="C839" s="9"/>
      <c r="D839" s="9"/>
      <c r="E839" s="9"/>
      <c r="F839" s="9"/>
      <c r="G839" s="164"/>
      <c r="H839" s="164"/>
      <c r="I839" s="164"/>
      <c r="J839" s="652"/>
      <c r="K839" s="164"/>
      <c r="L839" s="164"/>
      <c r="M839" s="164"/>
      <c r="N839" s="164"/>
      <c r="O839" s="164"/>
      <c r="P839" s="164"/>
      <c r="Q839" s="164"/>
      <c r="R839" s="164"/>
      <c r="S839" s="164"/>
      <c r="T839" s="164"/>
      <c r="U839" s="164"/>
      <c r="V839" s="164"/>
      <c r="W839" s="164"/>
      <c r="X839" s="164"/>
      <c r="Y839" s="164"/>
      <c r="Z839" s="164"/>
      <c r="AA839" s="164"/>
      <c r="AB839" s="164"/>
    </row>
    <row r="840">
      <c r="A840" s="164"/>
      <c r="B840" s="164"/>
      <c r="C840" s="9"/>
      <c r="D840" s="9"/>
      <c r="E840" s="9"/>
      <c r="F840" s="9"/>
      <c r="G840" s="164"/>
      <c r="H840" s="164"/>
      <c r="I840" s="164"/>
      <c r="J840" s="652"/>
      <c r="K840" s="164"/>
      <c r="L840" s="164"/>
      <c r="M840" s="164"/>
      <c r="N840" s="164"/>
      <c r="O840" s="164"/>
      <c r="P840" s="164"/>
      <c r="Q840" s="164"/>
      <c r="R840" s="164"/>
      <c r="S840" s="164"/>
      <c r="T840" s="164"/>
      <c r="U840" s="164"/>
      <c r="V840" s="164"/>
      <c r="W840" s="164"/>
      <c r="X840" s="164"/>
      <c r="Y840" s="164"/>
      <c r="Z840" s="164"/>
      <c r="AA840" s="164"/>
      <c r="AB840" s="164"/>
    </row>
    <row r="841">
      <c r="A841" s="164"/>
      <c r="B841" s="164"/>
      <c r="C841" s="9"/>
      <c r="D841" s="9"/>
      <c r="E841" s="9"/>
      <c r="F841" s="9"/>
      <c r="G841" s="164"/>
      <c r="H841" s="164"/>
      <c r="I841" s="164"/>
      <c r="J841" s="652"/>
      <c r="K841" s="164"/>
      <c r="L841" s="164"/>
      <c r="M841" s="164"/>
      <c r="N841" s="164"/>
      <c r="O841" s="164"/>
      <c r="P841" s="164"/>
      <c r="Q841" s="164"/>
      <c r="R841" s="164"/>
      <c r="S841" s="164"/>
      <c r="T841" s="164"/>
      <c r="U841" s="164"/>
      <c r="V841" s="164"/>
      <c r="W841" s="164"/>
      <c r="X841" s="164"/>
      <c r="Y841" s="164"/>
      <c r="Z841" s="164"/>
      <c r="AA841" s="164"/>
      <c r="AB841" s="164"/>
    </row>
    <row r="842">
      <c r="A842" s="164"/>
      <c r="B842" s="164"/>
      <c r="C842" s="9"/>
      <c r="D842" s="9"/>
      <c r="E842" s="9"/>
      <c r="F842" s="9"/>
      <c r="G842" s="164"/>
      <c r="H842" s="164"/>
      <c r="I842" s="164"/>
      <c r="J842" s="652"/>
      <c r="K842" s="164"/>
      <c r="L842" s="164"/>
      <c r="M842" s="164"/>
      <c r="N842" s="164"/>
      <c r="O842" s="164"/>
      <c r="P842" s="164"/>
      <c r="Q842" s="164"/>
      <c r="R842" s="164"/>
      <c r="S842" s="164"/>
      <c r="T842" s="164"/>
      <c r="U842" s="164"/>
      <c r="V842" s="164"/>
      <c r="W842" s="164"/>
      <c r="X842" s="164"/>
      <c r="Y842" s="164"/>
      <c r="Z842" s="164"/>
      <c r="AA842" s="164"/>
      <c r="AB842" s="164"/>
    </row>
    <row r="843">
      <c r="A843" s="164"/>
      <c r="B843" s="164"/>
      <c r="C843" s="9"/>
      <c r="D843" s="9"/>
      <c r="E843" s="9"/>
      <c r="F843" s="9"/>
      <c r="G843" s="164"/>
      <c r="H843" s="164"/>
      <c r="I843" s="164"/>
      <c r="J843" s="652"/>
      <c r="K843" s="164"/>
      <c r="L843" s="164"/>
      <c r="M843" s="164"/>
      <c r="N843" s="164"/>
      <c r="O843" s="164"/>
      <c r="P843" s="164"/>
      <c r="Q843" s="164"/>
      <c r="R843" s="164"/>
      <c r="S843" s="164"/>
      <c r="T843" s="164"/>
      <c r="U843" s="164"/>
      <c r="V843" s="164"/>
      <c r="W843" s="164"/>
      <c r="X843" s="164"/>
      <c r="Y843" s="164"/>
      <c r="Z843" s="164"/>
      <c r="AA843" s="164"/>
      <c r="AB843" s="164"/>
    </row>
    <row r="844">
      <c r="A844" s="164"/>
      <c r="B844" s="164"/>
      <c r="C844" s="9"/>
      <c r="D844" s="9"/>
      <c r="E844" s="9"/>
      <c r="F844" s="9"/>
      <c r="G844" s="164"/>
      <c r="H844" s="164"/>
      <c r="I844" s="164"/>
      <c r="J844" s="652"/>
      <c r="K844" s="164"/>
      <c r="L844" s="164"/>
      <c r="M844" s="164"/>
      <c r="N844" s="164"/>
      <c r="O844" s="164"/>
      <c r="P844" s="164"/>
      <c r="Q844" s="164"/>
      <c r="R844" s="164"/>
      <c r="S844" s="164"/>
      <c r="T844" s="164"/>
      <c r="U844" s="164"/>
      <c r="V844" s="164"/>
      <c r="W844" s="164"/>
      <c r="X844" s="164"/>
      <c r="Y844" s="164"/>
      <c r="Z844" s="164"/>
      <c r="AA844" s="164"/>
      <c r="AB844" s="164"/>
    </row>
    <row r="845">
      <c r="A845" s="164"/>
      <c r="B845" s="164"/>
      <c r="C845" s="9"/>
      <c r="D845" s="9"/>
      <c r="E845" s="9"/>
      <c r="F845" s="9"/>
      <c r="G845" s="164"/>
      <c r="H845" s="164"/>
      <c r="I845" s="164"/>
      <c r="J845" s="652"/>
      <c r="K845" s="164"/>
      <c r="L845" s="164"/>
      <c r="M845" s="164"/>
      <c r="N845" s="164"/>
      <c r="O845" s="164"/>
      <c r="P845" s="164"/>
      <c r="Q845" s="164"/>
      <c r="R845" s="164"/>
      <c r="S845" s="164"/>
      <c r="T845" s="164"/>
      <c r="U845" s="164"/>
      <c r="V845" s="164"/>
      <c r="W845" s="164"/>
      <c r="X845" s="164"/>
      <c r="Y845" s="164"/>
      <c r="Z845" s="164"/>
      <c r="AA845" s="164"/>
      <c r="AB845" s="164"/>
    </row>
    <row r="846">
      <c r="A846" s="164"/>
      <c r="B846" s="164"/>
      <c r="C846" s="9"/>
      <c r="D846" s="9"/>
      <c r="E846" s="9"/>
      <c r="F846" s="9"/>
      <c r="G846" s="164"/>
      <c r="H846" s="164"/>
      <c r="I846" s="164"/>
      <c r="J846" s="652"/>
      <c r="K846" s="164"/>
      <c r="L846" s="164"/>
      <c r="M846" s="164"/>
      <c r="N846" s="164"/>
      <c r="O846" s="164"/>
      <c r="P846" s="164"/>
      <c r="Q846" s="164"/>
      <c r="R846" s="164"/>
      <c r="S846" s="164"/>
      <c r="T846" s="164"/>
      <c r="U846" s="164"/>
      <c r="V846" s="164"/>
      <c r="W846" s="164"/>
      <c r="X846" s="164"/>
      <c r="Y846" s="164"/>
      <c r="Z846" s="164"/>
      <c r="AA846" s="164"/>
      <c r="AB846" s="164"/>
    </row>
    <row r="847">
      <c r="A847" s="164"/>
      <c r="B847" s="164"/>
      <c r="C847" s="9"/>
      <c r="D847" s="9"/>
      <c r="E847" s="9"/>
      <c r="F847" s="9"/>
      <c r="G847" s="164"/>
      <c r="H847" s="164"/>
      <c r="I847" s="164"/>
      <c r="J847" s="652"/>
      <c r="K847" s="164"/>
      <c r="L847" s="164"/>
      <c r="M847" s="164"/>
      <c r="N847" s="164"/>
      <c r="O847" s="164"/>
      <c r="P847" s="164"/>
      <c r="Q847" s="164"/>
      <c r="R847" s="164"/>
      <c r="S847" s="164"/>
      <c r="T847" s="164"/>
      <c r="U847" s="164"/>
      <c r="V847" s="164"/>
      <c r="W847" s="164"/>
      <c r="X847" s="164"/>
      <c r="Y847" s="164"/>
      <c r="Z847" s="164"/>
      <c r="AA847" s="164"/>
      <c r="AB847" s="164"/>
    </row>
    <row r="848">
      <c r="A848" s="164"/>
      <c r="B848" s="164"/>
      <c r="C848" s="9"/>
      <c r="D848" s="9"/>
      <c r="E848" s="9"/>
      <c r="F848" s="9"/>
      <c r="G848" s="164"/>
      <c r="H848" s="164"/>
      <c r="I848" s="164"/>
      <c r="J848" s="652"/>
      <c r="K848" s="164"/>
      <c r="L848" s="164"/>
      <c r="M848" s="164"/>
      <c r="N848" s="164"/>
      <c r="O848" s="164"/>
      <c r="P848" s="164"/>
      <c r="Q848" s="164"/>
      <c r="R848" s="164"/>
      <c r="S848" s="164"/>
      <c r="T848" s="164"/>
      <c r="U848" s="164"/>
      <c r="V848" s="164"/>
      <c r="W848" s="164"/>
      <c r="X848" s="164"/>
      <c r="Y848" s="164"/>
      <c r="Z848" s="164"/>
      <c r="AA848" s="164"/>
      <c r="AB848" s="164"/>
    </row>
    <row r="849">
      <c r="A849" s="164"/>
      <c r="B849" s="164"/>
      <c r="C849" s="9"/>
      <c r="D849" s="9"/>
      <c r="E849" s="9"/>
      <c r="F849" s="9"/>
      <c r="G849" s="164"/>
      <c r="H849" s="164"/>
      <c r="I849" s="164"/>
      <c r="J849" s="652"/>
      <c r="K849" s="164"/>
      <c r="L849" s="164"/>
      <c r="M849" s="164"/>
      <c r="N849" s="164"/>
      <c r="O849" s="164"/>
      <c r="P849" s="164"/>
      <c r="Q849" s="164"/>
      <c r="R849" s="164"/>
      <c r="S849" s="164"/>
      <c r="T849" s="164"/>
      <c r="U849" s="164"/>
      <c r="V849" s="164"/>
      <c r="W849" s="164"/>
      <c r="X849" s="164"/>
      <c r="Y849" s="164"/>
      <c r="Z849" s="164"/>
      <c r="AA849" s="164"/>
      <c r="AB849" s="164"/>
    </row>
    <row r="850">
      <c r="A850" s="164"/>
      <c r="B850" s="164"/>
      <c r="C850" s="9"/>
      <c r="D850" s="9"/>
      <c r="E850" s="9"/>
      <c r="F850" s="9"/>
      <c r="G850" s="164"/>
      <c r="H850" s="164"/>
      <c r="I850" s="164"/>
      <c r="J850" s="652"/>
      <c r="K850" s="164"/>
      <c r="L850" s="164"/>
      <c r="M850" s="164"/>
      <c r="N850" s="164"/>
      <c r="O850" s="164"/>
      <c r="P850" s="164"/>
      <c r="Q850" s="164"/>
      <c r="R850" s="164"/>
      <c r="S850" s="164"/>
      <c r="T850" s="164"/>
      <c r="U850" s="164"/>
      <c r="V850" s="164"/>
      <c r="W850" s="164"/>
      <c r="X850" s="164"/>
      <c r="Y850" s="164"/>
      <c r="Z850" s="164"/>
      <c r="AA850" s="164"/>
      <c r="AB850" s="164"/>
    </row>
    <row r="851">
      <c r="A851" s="164"/>
      <c r="B851" s="164"/>
      <c r="C851" s="9"/>
      <c r="D851" s="9"/>
      <c r="E851" s="9"/>
      <c r="F851" s="9"/>
      <c r="G851" s="164"/>
      <c r="H851" s="164"/>
      <c r="I851" s="164"/>
      <c r="J851" s="652"/>
      <c r="K851" s="164"/>
      <c r="L851" s="164"/>
      <c r="M851" s="164"/>
      <c r="N851" s="164"/>
      <c r="O851" s="164"/>
      <c r="P851" s="164"/>
      <c r="Q851" s="164"/>
      <c r="R851" s="164"/>
      <c r="S851" s="164"/>
      <c r="T851" s="164"/>
      <c r="U851" s="164"/>
      <c r="V851" s="164"/>
      <c r="W851" s="164"/>
      <c r="X851" s="164"/>
      <c r="Y851" s="164"/>
      <c r="Z851" s="164"/>
      <c r="AA851" s="164"/>
      <c r="AB851" s="164"/>
    </row>
    <row r="852">
      <c r="A852" s="164"/>
      <c r="B852" s="164"/>
      <c r="C852" s="9"/>
      <c r="D852" s="9"/>
      <c r="E852" s="9"/>
      <c r="F852" s="9"/>
      <c r="G852" s="164"/>
      <c r="H852" s="164"/>
      <c r="I852" s="164"/>
      <c r="J852" s="652"/>
      <c r="K852" s="164"/>
      <c r="L852" s="164"/>
      <c r="M852" s="164"/>
      <c r="N852" s="164"/>
      <c r="O852" s="164"/>
      <c r="P852" s="164"/>
      <c r="Q852" s="164"/>
      <c r="R852" s="164"/>
      <c r="S852" s="164"/>
      <c r="T852" s="164"/>
      <c r="U852" s="164"/>
      <c r="V852" s="164"/>
      <c r="W852" s="164"/>
      <c r="X852" s="164"/>
      <c r="Y852" s="164"/>
      <c r="Z852" s="164"/>
      <c r="AA852" s="164"/>
      <c r="AB852" s="164"/>
    </row>
    <row r="853">
      <c r="A853" s="164"/>
      <c r="B853" s="164"/>
      <c r="C853" s="9"/>
      <c r="D853" s="9"/>
      <c r="E853" s="9"/>
      <c r="F853" s="9"/>
      <c r="G853" s="164"/>
      <c r="H853" s="164"/>
      <c r="I853" s="164"/>
      <c r="J853" s="652"/>
      <c r="K853" s="164"/>
      <c r="L853" s="164"/>
      <c r="M853" s="164"/>
      <c r="N853" s="164"/>
      <c r="O853" s="164"/>
      <c r="P853" s="164"/>
      <c r="Q853" s="164"/>
      <c r="R853" s="164"/>
      <c r="S853" s="164"/>
      <c r="T853" s="164"/>
      <c r="U853" s="164"/>
      <c r="V853" s="164"/>
      <c r="W853" s="164"/>
      <c r="X853" s="164"/>
      <c r="Y853" s="164"/>
      <c r="Z853" s="164"/>
      <c r="AA853" s="164"/>
      <c r="AB853" s="164"/>
    </row>
    <row r="854">
      <c r="A854" s="164"/>
      <c r="B854" s="164"/>
      <c r="C854" s="9"/>
      <c r="D854" s="9"/>
      <c r="E854" s="9"/>
      <c r="F854" s="9"/>
      <c r="G854" s="164"/>
      <c r="H854" s="164"/>
      <c r="I854" s="164"/>
      <c r="J854" s="652"/>
      <c r="K854" s="164"/>
      <c r="L854" s="164"/>
      <c r="M854" s="164"/>
      <c r="N854" s="164"/>
      <c r="O854" s="164"/>
      <c r="P854" s="164"/>
      <c r="Q854" s="164"/>
      <c r="R854" s="164"/>
      <c r="S854" s="164"/>
      <c r="T854" s="164"/>
      <c r="U854" s="164"/>
      <c r="V854" s="164"/>
      <c r="W854" s="164"/>
      <c r="X854" s="164"/>
      <c r="Y854" s="164"/>
      <c r="Z854" s="164"/>
      <c r="AA854" s="164"/>
      <c r="AB854" s="164"/>
    </row>
    <row r="855">
      <c r="A855" s="164"/>
      <c r="B855" s="164"/>
      <c r="C855" s="9"/>
      <c r="D855" s="9"/>
      <c r="E855" s="9"/>
      <c r="F855" s="9"/>
      <c r="G855" s="164"/>
      <c r="H855" s="164"/>
      <c r="I855" s="164"/>
      <c r="J855" s="652"/>
      <c r="K855" s="164"/>
      <c r="L855" s="164"/>
      <c r="M855" s="164"/>
      <c r="N855" s="164"/>
      <c r="O855" s="164"/>
      <c r="P855" s="164"/>
      <c r="Q855" s="164"/>
      <c r="R855" s="164"/>
      <c r="S855" s="164"/>
      <c r="T855" s="164"/>
      <c r="U855" s="164"/>
      <c r="V855" s="164"/>
      <c r="W855" s="164"/>
      <c r="X855" s="164"/>
      <c r="Y855" s="164"/>
      <c r="Z855" s="164"/>
      <c r="AA855" s="164"/>
      <c r="AB855" s="164"/>
    </row>
    <row r="856">
      <c r="A856" s="164"/>
      <c r="B856" s="164"/>
      <c r="C856" s="9"/>
      <c r="D856" s="9"/>
      <c r="E856" s="9"/>
      <c r="F856" s="9"/>
      <c r="G856" s="164"/>
      <c r="H856" s="164"/>
      <c r="I856" s="164"/>
      <c r="J856" s="652"/>
      <c r="K856" s="164"/>
      <c r="L856" s="164"/>
      <c r="M856" s="164"/>
      <c r="N856" s="164"/>
      <c r="O856" s="164"/>
      <c r="P856" s="164"/>
      <c r="Q856" s="164"/>
      <c r="R856" s="164"/>
      <c r="S856" s="164"/>
      <c r="T856" s="164"/>
      <c r="U856" s="164"/>
      <c r="V856" s="164"/>
      <c r="W856" s="164"/>
      <c r="X856" s="164"/>
      <c r="Y856" s="164"/>
      <c r="Z856" s="164"/>
      <c r="AA856" s="164"/>
      <c r="AB856" s="164"/>
    </row>
    <row r="857">
      <c r="A857" s="164"/>
      <c r="B857" s="164"/>
      <c r="C857" s="9"/>
      <c r="D857" s="9"/>
      <c r="E857" s="9"/>
      <c r="F857" s="9"/>
      <c r="G857" s="164"/>
      <c r="H857" s="164"/>
      <c r="I857" s="164"/>
      <c r="J857" s="652"/>
      <c r="K857" s="164"/>
      <c r="L857" s="164"/>
      <c r="M857" s="164"/>
      <c r="N857" s="164"/>
      <c r="O857" s="164"/>
      <c r="P857" s="164"/>
      <c r="Q857" s="164"/>
      <c r="R857" s="164"/>
      <c r="S857" s="164"/>
      <c r="T857" s="164"/>
      <c r="U857" s="164"/>
      <c r="V857" s="164"/>
      <c r="W857" s="164"/>
      <c r="X857" s="164"/>
      <c r="Y857" s="164"/>
      <c r="Z857" s="164"/>
      <c r="AA857" s="164"/>
      <c r="AB857" s="164"/>
    </row>
    <row r="858">
      <c r="A858" s="164"/>
      <c r="B858" s="164"/>
      <c r="C858" s="9"/>
      <c r="D858" s="9"/>
      <c r="E858" s="9"/>
      <c r="F858" s="9"/>
      <c r="G858" s="164"/>
      <c r="H858" s="164"/>
      <c r="I858" s="164"/>
      <c r="J858" s="652"/>
      <c r="K858" s="164"/>
      <c r="L858" s="164"/>
      <c r="M858" s="164"/>
      <c r="N858" s="164"/>
      <c r="O858" s="164"/>
      <c r="P858" s="164"/>
      <c r="Q858" s="164"/>
      <c r="R858" s="164"/>
      <c r="S858" s="164"/>
      <c r="T858" s="164"/>
      <c r="U858" s="164"/>
      <c r="V858" s="164"/>
      <c r="W858" s="164"/>
      <c r="X858" s="164"/>
      <c r="Y858" s="164"/>
      <c r="Z858" s="164"/>
      <c r="AA858" s="164"/>
      <c r="AB858" s="164"/>
    </row>
    <row r="859">
      <c r="A859" s="164"/>
      <c r="B859" s="164"/>
      <c r="C859" s="9"/>
      <c r="D859" s="9"/>
      <c r="E859" s="9"/>
      <c r="F859" s="9"/>
      <c r="G859" s="164"/>
      <c r="H859" s="164"/>
      <c r="I859" s="164"/>
      <c r="J859" s="652"/>
      <c r="K859" s="164"/>
      <c r="L859" s="164"/>
      <c r="M859" s="164"/>
      <c r="N859" s="164"/>
      <c r="O859" s="164"/>
      <c r="P859" s="164"/>
      <c r="Q859" s="164"/>
      <c r="R859" s="164"/>
      <c r="S859" s="164"/>
      <c r="T859" s="164"/>
      <c r="U859" s="164"/>
      <c r="V859" s="164"/>
      <c r="W859" s="164"/>
      <c r="X859" s="164"/>
      <c r="Y859" s="164"/>
      <c r="Z859" s="164"/>
      <c r="AA859" s="164"/>
      <c r="AB859" s="164"/>
    </row>
    <row r="860">
      <c r="A860" s="164"/>
      <c r="B860" s="164"/>
      <c r="C860" s="9"/>
      <c r="D860" s="9"/>
      <c r="E860" s="9"/>
      <c r="F860" s="9"/>
      <c r="G860" s="164"/>
      <c r="H860" s="164"/>
      <c r="I860" s="164"/>
      <c r="J860" s="652"/>
      <c r="K860" s="164"/>
      <c r="L860" s="164"/>
      <c r="M860" s="164"/>
      <c r="N860" s="164"/>
      <c r="O860" s="164"/>
      <c r="P860" s="164"/>
      <c r="Q860" s="164"/>
      <c r="R860" s="164"/>
      <c r="S860" s="164"/>
      <c r="T860" s="164"/>
      <c r="U860" s="164"/>
      <c r="V860" s="164"/>
      <c r="W860" s="164"/>
      <c r="X860" s="164"/>
      <c r="Y860" s="164"/>
      <c r="Z860" s="164"/>
      <c r="AA860" s="164"/>
      <c r="AB860" s="164"/>
    </row>
    <row r="861">
      <c r="A861" s="164"/>
      <c r="B861" s="164"/>
      <c r="C861" s="9"/>
      <c r="D861" s="9"/>
      <c r="E861" s="9"/>
      <c r="F861" s="9"/>
      <c r="G861" s="164"/>
      <c r="H861" s="164"/>
      <c r="I861" s="164"/>
      <c r="J861" s="652"/>
      <c r="K861" s="164"/>
      <c r="L861" s="164"/>
      <c r="M861" s="164"/>
      <c r="N861" s="164"/>
      <c r="O861" s="164"/>
      <c r="P861" s="164"/>
      <c r="Q861" s="164"/>
      <c r="R861" s="164"/>
      <c r="S861" s="164"/>
      <c r="T861" s="164"/>
      <c r="U861" s="164"/>
      <c r="V861" s="164"/>
      <c r="W861" s="164"/>
      <c r="X861" s="164"/>
      <c r="Y861" s="164"/>
      <c r="Z861" s="164"/>
      <c r="AA861" s="164"/>
      <c r="AB861" s="164"/>
    </row>
    <row r="862">
      <c r="A862" s="164"/>
      <c r="B862" s="164"/>
      <c r="C862" s="9"/>
      <c r="D862" s="9"/>
      <c r="E862" s="9"/>
      <c r="F862" s="9"/>
      <c r="G862" s="164"/>
      <c r="H862" s="164"/>
      <c r="I862" s="164"/>
      <c r="J862" s="652"/>
      <c r="K862" s="164"/>
      <c r="L862" s="164"/>
      <c r="M862" s="164"/>
      <c r="N862" s="164"/>
      <c r="O862" s="164"/>
      <c r="P862" s="164"/>
      <c r="Q862" s="164"/>
      <c r="R862" s="164"/>
      <c r="S862" s="164"/>
      <c r="T862" s="164"/>
      <c r="U862" s="164"/>
      <c r="V862" s="164"/>
      <c r="W862" s="164"/>
      <c r="X862" s="164"/>
      <c r="Y862" s="164"/>
      <c r="Z862" s="164"/>
      <c r="AA862" s="164"/>
      <c r="AB862" s="164"/>
    </row>
    <row r="863">
      <c r="A863" s="164"/>
      <c r="B863" s="164"/>
      <c r="C863" s="9"/>
      <c r="D863" s="9"/>
      <c r="E863" s="9"/>
      <c r="F863" s="9"/>
      <c r="G863" s="164"/>
      <c r="H863" s="164"/>
      <c r="I863" s="164"/>
      <c r="J863" s="652"/>
      <c r="K863" s="164"/>
      <c r="L863" s="164"/>
      <c r="M863" s="164"/>
      <c r="N863" s="164"/>
      <c r="O863" s="164"/>
      <c r="P863" s="164"/>
      <c r="Q863" s="164"/>
      <c r="R863" s="164"/>
      <c r="S863" s="164"/>
      <c r="T863" s="164"/>
      <c r="U863" s="164"/>
      <c r="V863" s="164"/>
      <c r="W863" s="164"/>
      <c r="X863" s="164"/>
      <c r="Y863" s="164"/>
      <c r="Z863" s="164"/>
      <c r="AA863" s="164"/>
      <c r="AB863" s="164"/>
    </row>
    <row r="864">
      <c r="A864" s="164"/>
      <c r="B864" s="164"/>
      <c r="C864" s="9"/>
      <c r="D864" s="9"/>
      <c r="E864" s="9"/>
      <c r="F864" s="9"/>
      <c r="G864" s="164"/>
      <c r="H864" s="164"/>
      <c r="I864" s="164"/>
      <c r="J864" s="652"/>
      <c r="K864" s="164"/>
      <c r="L864" s="164"/>
      <c r="M864" s="164"/>
      <c r="N864" s="164"/>
      <c r="O864" s="164"/>
      <c r="P864" s="164"/>
      <c r="Q864" s="164"/>
      <c r="R864" s="164"/>
      <c r="S864" s="164"/>
      <c r="T864" s="164"/>
      <c r="U864" s="164"/>
      <c r="V864" s="164"/>
      <c r="W864" s="164"/>
      <c r="X864" s="164"/>
      <c r="Y864" s="164"/>
      <c r="Z864" s="164"/>
      <c r="AA864" s="164"/>
      <c r="AB864" s="164"/>
    </row>
    <row r="865">
      <c r="A865" s="164"/>
      <c r="B865" s="164"/>
      <c r="C865" s="9"/>
      <c r="D865" s="9"/>
      <c r="E865" s="9"/>
      <c r="F865" s="9"/>
      <c r="G865" s="164"/>
      <c r="H865" s="164"/>
      <c r="I865" s="164"/>
      <c r="J865" s="652"/>
      <c r="K865" s="164"/>
      <c r="L865" s="164"/>
      <c r="M865" s="164"/>
      <c r="N865" s="164"/>
      <c r="O865" s="164"/>
      <c r="P865" s="164"/>
      <c r="Q865" s="164"/>
      <c r="R865" s="164"/>
      <c r="S865" s="164"/>
      <c r="T865" s="164"/>
      <c r="U865" s="164"/>
      <c r="V865" s="164"/>
      <c r="W865" s="164"/>
      <c r="X865" s="164"/>
      <c r="Y865" s="164"/>
      <c r="Z865" s="164"/>
      <c r="AA865" s="164"/>
      <c r="AB865" s="164"/>
    </row>
    <row r="866">
      <c r="A866" s="164"/>
      <c r="B866" s="164"/>
      <c r="C866" s="9"/>
      <c r="D866" s="9"/>
      <c r="E866" s="9"/>
      <c r="F866" s="9"/>
      <c r="G866" s="164"/>
      <c r="H866" s="164"/>
      <c r="I866" s="164"/>
      <c r="J866" s="652"/>
      <c r="K866" s="164"/>
      <c r="L866" s="164"/>
      <c r="M866" s="164"/>
      <c r="N866" s="164"/>
      <c r="O866" s="164"/>
      <c r="P866" s="164"/>
      <c r="Q866" s="164"/>
      <c r="R866" s="164"/>
      <c r="S866" s="164"/>
      <c r="T866" s="164"/>
      <c r="U866" s="164"/>
      <c r="V866" s="164"/>
      <c r="W866" s="164"/>
      <c r="X866" s="164"/>
      <c r="Y866" s="164"/>
      <c r="Z866" s="164"/>
      <c r="AA866" s="164"/>
      <c r="AB866" s="164"/>
    </row>
    <row r="867">
      <c r="A867" s="164"/>
      <c r="B867" s="164"/>
      <c r="C867" s="9"/>
      <c r="D867" s="9"/>
      <c r="E867" s="9"/>
      <c r="F867" s="9"/>
      <c r="G867" s="164"/>
      <c r="H867" s="164"/>
      <c r="I867" s="164"/>
      <c r="J867" s="652"/>
      <c r="K867" s="164"/>
      <c r="L867" s="164"/>
      <c r="M867" s="164"/>
      <c r="N867" s="164"/>
      <c r="O867" s="164"/>
      <c r="P867" s="164"/>
      <c r="Q867" s="164"/>
      <c r="R867" s="164"/>
      <c r="S867" s="164"/>
      <c r="T867" s="164"/>
      <c r="U867" s="164"/>
      <c r="V867" s="164"/>
      <c r="W867" s="164"/>
      <c r="X867" s="164"/>
      <c r="Y867" s="164"/>
      <c r="Z867" s="164"/>
      <c r="AA867" s="164"/>
      <c r="AB867" s="164"/>
    </row>
    <row r="868">
      <c r="A868" s="164"/>
      <c r="B868" s="164"/>
      <c r="C868" s="9"/>
      <c r="D868" s="9"/>
      <c r="E868" s="9"/>
      <c r="F868" s="9"/>
      <c r="G868" s="164"/>
      <c r="H868" s="164"/>
      <c r="I868" s="164"/>
      <c r="J868" s="652"/>
      <c r="K868" s="164"/>
      <c r="L868" s="164"/>
      <c r="M868" s="164"/>
      <c r="N868" s="164"/>
      <c r="O868" s="164"/>
      <c r="P868" s="164"/>
      <c r="Q868" s="164"/>
      <c r="R868" s="164"/>
      <c r="S868" s="164"/>
      <c r="T868" s="164"/>
      <c r="U868" s="164"/>
      <c r="V868" s="164"/>
      <c r="W868" s="164"/>
      <c r="X868" s="164"/>
      <c r="Y868" s="164"/>
      <c r="Z868" s="164"/>
      <c r="AA868" s="164"/>
      <c r="AB868" s="164"/>
    </row>
    <row r="869">
      <c r="A869" s="164"/>
      <c r="B869" s="164"/>
      <c r="C869" s="9"/>
      <c r="D869" s="9"/>
      <c r="E869" s="9"/>
      <c r="F869" s="9"/>
      <c r="G869" s="164"/>
      <c r="H869" s="164"/>
      <c r="I869" s="164"/>
      <c r="J869" s="652"/>
      <c r="K869" s="164"/>
      <c r="L869" s="164"/>
      <c r="M869" s="164"/>
      <c r="N869" s="164"/>
      <c r="O869" s="164"/>
      <c r="P869" s="164"/>
      <c r="Q869" s="164"/>
      <c r="R869" s="164"/>
      <c r="S869" s="164"/>
      <c r="T869" s="164"/>
      <c r="U869" s="164"/>
      <c r="V869" s="164"/>
      <c r="W869" s="164"/>
      <c r="X869" s="164"/>
      <c r="Y869" s="164"/>
      <c r="Z869" s="164"/>
      <c r="AA869" s="164"/>
      <c r="AB869" s="164"/>
    </row>
    <row r="870">
      <c r="A870" s="164"/>
      <c r="B870" s="164"/>
      <c r="C870" s="9"/>
      <c r="D870" s="9"/>
      <c r="E870" s="9"/>
      <c r="F870" s="9"/>
      <c r="G870" s="164"/>
      <c r="H870" s="164"/>
      <c r="I870" s="164"/>
      <c r="J870" s="652"/>
      <c r="K870" s="164"/>
      <c r="L870" s="164"/>
      <c r="M870" s="164"/>
      <c r="N870" s="164"/>
      <c r="O870" s="164"/>
      <c r="P870" s="164"/>
      <c r="Q870" s="164"/>
      <c r="R870" s="164"/>
      <c r="S870" s="164"/>
      <c r="T870" s="164"/>
      <c r="U870" s="164"/>
      <c r="V870" s="164"/>
      <c r="W870" s="164"/>
      <c r="X870" s="164"/>
      <c r="Y870" s="164"/>
      <c r="Z870" s="164"/>
      <c r="AA870" s="164"/>
      <c r="AB870" s="164"/>
    </row>
    <row r="871">
      <c r="A871" s="164"/>
      <c r="B871" s="164"/>
      <c r="C871" s="9"/>
      <c r="D871" s="9"/>
      <c r="E871" s="9"/>
      <c r="F871" s="9"/>
      <c r="G871" s="164"/>
      <c r="H871" s="164"/>
      <c r="I871" s="164"/>
      <c r="J871" s="652"/>
      <c r="K871" s="164"/>
      <c r="L871" s="164"/>
      <c r="M871" s="164"/>
      <c r="N871" s="164"/>
      <c r="O871" s="164"/>
      <c r="P871" s="164"/>
      <c r="Q871" s="164"/>
      <c r="R871" s="164"/>
      <c r="S871" s="164"/>
      <c r="T871" s="164"/>
      <c r="U871" s="164"/>
      <c r="V871" s="164"/>
      <c r="W871" s="164"/>
      <c r="X871" s="164"/>
      <c r="Y871" s="164"/>
      <c r="Z871" s="164"/>
      <c r="AA871" s="164"/>
      <c r="AB871" s="164"/>
    </row>
    <row r="872">
      <c r="A872" s="164"/>
      <c r="B872" s="164"/>
      <c r="C872" s="9"/>
      <c r="D872" s="9"/>
      <c r="E872" s="9"/>
      <c r="F872" s="9"/>
      <c r="G872" s="164"/>
      <c r="H872" s="164"/>
      <c r="I872" s="164"/>
      <c r="J872" s="652"/>
      <c r="K872" s="164"/>
      <c r="L872" s="164"/>
      <c r="M872" s="164"/>
      <c r="N872" s="164"/>
      <c r="O872" s="164"/>
      <c r="P872" s="164"/>
      <c r="Q872" s="164"/>
      <c r="R872" s="164"/>
      <c r="S872" s="164"/>
      <c r="T872" s="164"/>
      <c r="U872" s="164"/>
      <c r="V872" s="164"/>
      <c r="W872" s="164"/>
      <c r="X872" s="164"/>
      <c r="Y872" s="164"/>
      <c r="Z872" s="164"/>
      <c r="AA872" s="164"/>
      <c r="AB872" s="164"/>
    </row>
    <row r="873">
      <c r="A873" s="164"/>
      <c r="B873" s="164"/>
      <c r="C873" s="9"/>
      <c r="D873" s="9"/>
      <c r="E873" s="9"/>
      <c r="F873" s="9"/>
      <c r="G873" s="164"/>
      <c r="H873" s="164"/>
      <c r="I873" s="164"/>
      <c r="J873" s="652"/>
      <c r="K873" s="164"/>
      <c r="L873" s="164"/>
      <c r="M873" s="164"/>
      <c r="N873" s="164"/>
      <c r="O873" s="164"/>
      <c r="P873" s="164"/>
      <c r="Q873" s="164"/>
      <c r="R873" s="164"/>
      <c r="S873" s="164"/>
      <c r="T873" s="164"/>
      <c r="U873" s="164"/>
      <c r="V873" s="164"/>
      <c r="W873" s="164"/>
      <c r="X873" s="164"/>
      <c r="Y873" s="164"/>
      <c r="Z873" s="164"/>
      <c r="AA873" s="164"/>
      <c r="AB873" s="164"/>
    </row>
    <row r="874">
      <c r="A874" s="164"/>
      <c r="B874" s="164"/>
      <c r="C874" s="9"/>
      <c r="D874" s="9"/>
      <c r="E874" s="9"/>
      <c r="F874" s="9"/>
      <c r="G874" s="164"/>
      <c r="H874" s="164"/>
      <c r="I874" s="164"/>
      <c r="J874" s="652"/>
      <c r="K874" s="164"/>
      <c r="L874" s="164"/>
      <c r="M874" s="164"/>
      <c r="N874" s="164"/>
      <c r="O874" s="164"/>
      <c r="P874" s="164"/>
      <c r="Q874" s="164"/>
      <c r="R874" s="164"/>
      <c r="S874" s="164"/>
      <c r="T874" s="164"/>
      <c r="U874" s="164"/>
      <c r="V874" s="164"/>
      <c r="W874" s="164"/>
      <c r="X874" s="164"/>
      <c r="Y874" s="164"/>
      <c r="Z874" s="164"/>
      <c r="AA874" s="164"/>
      <c r="AB874" s="164"/>
    </row>
    <row r="875">
      <c r="A875" s="164"/>
      <c r="B875" s="164"/>
      <c r="C875" s="9"/>
      <c r="D875" s="9"/>
      <c r="E875" s="9"/>
      <c r="F875" s="9"/>
      <c r="G875" s="164"/>
      <c r="H875" s="164"/>
      <c r="I875" s="164"/>
      <c r="J875" s="652"/>
      <c r="K875" s="164"/>
      <c r="L875" s="164"/>
      <c r="M875" s="164"/>
      <c r="N875" s="164"/>
      <c r="O875" s="164"/>
      <c r="P875" s="164"/>
      <c r="Q875" s="164"/>
      <c r="R875" s="164"/>
      <c r="S875" s="164"/>
      <c r="T875" s="164"/>
      <c r="U875" s="164"/>
      <c r="V875" s="164"/>
      <c r="W875" s="164"/>
      <c r="X875" s="164"/>
      <c r="Y875" s="164"/>
      <c r="Z875" s="164"/>
      <c r="AA875" s="164"/>
      <c r="AB875" s="164"/>
    </row>
    <row r="876">
      <c r="A876" s="164"/>
      <c r="B876" s="164"/>
      <c r="C876" s="9"/>
      <c r="D876" s="9"/>
      <c r="E876" s="9"/>
      <c r="F876" s="9"/>
      <c r="G876" s="164"/>
      <c r="H876" s="164"/>
      <c r="I876" s="164"/>
      <c r="J876" s="652"/>
      <c r="K876" s="164"/>
      <c r="L876" s="164"/>
      <c r="M876" s="164"/>
      <c r="N876" s="164"/>
      <c r="O876" s="164"/>
      <c r="P876" s="164"/>
      <c r="Q876" s="164"/>
      <c r="R876" s="164"/>
      <c r="S876" s="164"/>
      <c r="T876" s="164"/>
      <c r="U876" s="164"/>
      <c r="V876" s="164"/>
      <c r="W876" s="164"/>
      <c r="X876" s="164"/>
      <c r="Y876" s="164"/>
      <c r="Z876" s="164"/>
      <c r="AA876" s="164"/>
      <c r="AB876" s="164"/>
    </row>
    <row r="877">
      <c r="A877" s="164"/>
      <c r="B877" s="164"/>
      <c r="C877" s="9"/>
      <c r="D877" s="9"/>
      <c r="E877" s="9"/>
      <c r="F877" s="9"/>
      <c r="G877" s="164"/>
      <c r="H877" s="164"/>
      <c r="I877" s="164"/>
      <c r="J877" s="652"/>
      <c r="K877" s="164"/>
      <c r="L877" s="164"/>
      <c r="M877" s="164"/>
      <c r="N877" s="164"/>
      <c r="O877" s="164"/>
      <c r="P877" s="164"/>
      <c r="Q877" s="164"/>
      <c r="R877" s="164"/>
      <c r="S877" s="164"/>
      <c r="T877" s="164"/>
      <c r="U877" s="164"/>
      <c r="V877" s="164"/>
      <c r="W877" s="164"/>
      <c r="X877" s="164"/>
      <c r="Y877" s="164"/>
      <c r="Z877" s="164"/>
      <c r="AA877" s="164"/>
      <c r="AB877" s="164"/>
    </row>
    <row r="878">
      <c r="A878" s="164"/>
      <c r="B878" s="164"/>
      <c r="C878" s="9"/>
      <c r="D878" s="9"/>
      <c r="E878" s="9"/>
      <c r="F878" s="9"/>
      <c r="G878" s="164"/>
      <c r="H878" s="164"/>
      <c r="I878" s="164"/>
      <c r="J878" s="652"/>
      <c r="K878" s="164"/>
      <c r="L878" s="164"/>
      <c r="M878" s="164"/>
      <c r="N878" s="164"/>
      <c r="O878" s="164"/>
      <c r="P878" s="164"/>
      <c r="Q878" s="164"/>
      <c r="R878" s="164"/>
      <c r="S878" s="164"/>
      <c r="T878" s="164"/>
      <c r="U878" s="164"/>
      <c r="V878" s="164"/>
      <c r="W878" s="164"/>
      <c r="X878" s="164"/>
      <c r="Y878" s="164"/>
      <c r="Z878" s="164"/>
      <c r="AA878" s="164"/>
      <c r="AB878" s="164"/>
    </row>
    <row r="879">
      <c r="A879" s="164"/>
      <c r="B879" s="164"/>
      <c r="C879" s="9"/>
      <c r="D879" s="9"/>
      <c r="E879" s="9"/>
      <c r="F879" s="9"/>
      <c r="G879" s="164"/>
      <c r="H879" s="164"/>
      <c r="I879" s="164"/>
      <c r="J879" s="652"/>
      <c r="K879" s="164"/>
      <c r="L879" s="164"/>
      <c r="M879" s="164"/>
      <c r="N879" s="164"/>
      <c r="O879" s="164"/>
      <c r="P879" s="164"/>
      <c r="Q879" s="164"/>
      <c r="R879" s="164"/>
      <c r="S879" s="164"/>
      <c r="T879" s="164"/>
      <c r="U879" s="164"/>
      <c r="V879" s="164"/>
      <c r="W879" s="164"/>
      <c r="X879" s="164"/>
      <c r="Y879" s="164"/>
      <c r="Z879" s="164"/>
      <c r="AA879" s="164"/>
      <c r="AB879" s="164"/>
    </row>
    <row r="880">
      <c r="A880" s="164"/>
      <c r="B880" s="164"/>
      <c r="C880" s="9"/>
      <c r="D880" s="9"/>
      <c r="E880" s="9"/>
      <c r="F880" s="9"/>
      <c r="G880" s="164"/>
      <c r="H880" s="164"/>
      <c r="I880" s="164"/>
      <c r="J880" s="652"/>
      <c r="K880" s="164"/>
      <c r="L880" s="164"/>
      <c r="M880" s="164"/>
      <c r="N880" s="164"/>
      <c r="O880" s="164"/>
      <c r="P880" s="164"/>
      <c r="Q880" s="164"/>
      <c r="R880" s="164"/>
      <c r="S880" s="164"/>
      <c r="T880" s="164"/>
      <c r="U880" s="164"/>
      <c r="V880" s="164"/>
      <c r="W880" s="164"/>
      <c r="X880" s="164"/>
      <c r="Y880" s="164"/>
      <c r="Z880" s="164"/>
      <c r="AA880" s="164"/>
      <c r="AB880" s="164"/>
    </row>
    <row r="881">
      <c r="A881" s="164"/>
      <c r="B881" s="164"/>
      <c r="C881" s="9"/>
      <c r="D881" s="9"/>
      <c r="E881" s="9"/>
      <c r="F881" s="9"/>
      <c r="G881" s="164"/>
      <c r="H881" s="164"/>
      <c r="I881" s="164"/>
      <c r="J881" s="652"/>
      <c r="K881" s="164"/>
      <c r="L881" s="164"/>
      <c r="M881" s="164"/>
      <c r="N881" s="164"/>
      <c r="O881" s="164"/>
      <c r="P881" s="164"/>
      <c r="Q881" s="164"/>
      <c r="R881" s="164"/>
      <c r="S881" s="164"/>
      <c r="T881" s="164"/>
      <c r="U881" s="164"/>
      <c r="V881" s="164"/>
      <c r="W881" s="164"/>
      <c r="X881" s="164"/>
      <c r="Y881" s="164"/>
      <c r="Z881" s="164"/>
      <c r="AA881" s="164"/>
      <c r="AB881" s="164"/>
    </row>
    <row r="882">
      <c r="A882" s="164"/>
      <c r="B882" s="164"/>
      <c r="C882" s="9"/>
      <c r="D882" s="9"/>
      <c r="E882" s="9"/>
      <c r="F882" s="9"/>
      <c r="G882" s="164"/>
      <c r="H882" s="164"/>
      <c r="I882" s="164"/>
      <c r="J882" s="652"/>
      <c r="K882" s="164"/>
      <c r="L882" s="164"/>
      <c r="M882" s="164"/>
      <c r="N882" s="164"/>
      <c r="O882" s="164"/>
      <c r="P882" s="164"/>
      <c r="Q882" s="164"/>
      <c r="R882" s="164"/>
      <c r="S882" s="164"/>
      <c r="T882" s="164"/>
      <c r="U882" s="164"/>
      <c r="V882" s="164"/>
      <c r="W882" s="164"/>
      <c r="X882" s="164"/>
      <c r="Y882" s="164"/>
      <c r="Z882" s="164"/>
      <c r="AA882" s="164"/>
      <c r="AB882" s="164"/>
    </row>
    <row r="883">
      <c r="A883" s="164"/>
      <c r="B883" s="164"/>
      <c r="C883" s="9"/>
      <c r="D883" s="9"/>
      <c r="E883" s="9"/>
      <c r="F883" s="9"/>
      <c r="G883" s="164"/>
      <c r="H883" s="164"/>
      <c r="I883" s="164"/>
      <c r="J883" s="652"/>
      <c r="K883" s="164"/>
      <c r="L883" s="164"/>
      <c r="M883" s="164"/>
      <c r="N883" s="164"/>
      <c r="O883" s="164"/>
      <c r="P883" s="164"/>
      <c r="Q883" s="164"/>
      <c r="R883" s="164"/>
      <c r="S883" s="164"/>
      <c r="T883" s="164"/>
      <c r="U883" s="164"/>
      <c r="V883" s="164"/>
      <c r="W883" s="164"/>
      <c r="X883" s="164"/>
      <c r="Y883" s="164"/>
      <c r="Z883" s="164"/>
      <c r="AA883" s="164"/>
      <c r="AB883" s="164"/>
    </row>
    <row r="884">
      <c r="A884" s="164"/>
      <c r="B884" s="164"/>
      <c r="C884" s="9"/>
      <c r="D884" s="9"/>
      <c r="E884" s="9"/>
      <c r="F884" s="9"/>
      <c r="G884" s="164"/>
      <c r="H884" s="164"/>
      <c r="I884" s="164"/>
      <c r="J884" s="652"/>
      <c r="K884" s="164"/>
      <c r="L884" s="164"/>
      <c r="M884" s="164"/>
      <c r="N884" s="164"/>
      <c r="O884" s="164"/>
      <c r="P884" s="164"/>
      <c r="Q884" s="164"/>
      <c r="R884" s="164"/>
      <c r="S884" s="164"/>
      <c r="T884" s="164"/>
      <c r="U884" s="164"/>
      <c r="V884" s="164"/>
      <c r="W884" s="164"/>
      <c r="X884" s="164"/>
      <c r="Y884" s="164"/>
      <c r="Z884" s="164"/>
      <c r="AA884" s="164"/>
      <c r="AB884" s="164"/>
    </row>
    <row r="885">
      <c r="A885" s="164"/>
      <c r="B885" s="164"/>
      <c r="C885" s="9"/>
      <c r="D885" s="9"/>
      <c r="E885" s="9"/>
      <c r="F885" s="9"/>
      <c r="G885" s="164"/>
      <c r="H885" s="164"/>
      <c r="I885" s="164"/>
      <c r="J885" s="652"/>
      <c r="K885" s="164"/>
      <c r="L885" s="164"/>
      <c r="M885" s="164"/>
      <c r="N885" s="164"/>
      <c r="O885" s="164"/>
      <c r="P885" s="164"/>
      <c r="Q885" s="164"/>
      <c r="R885" s="164"/>
      <c r="S885" s="164"/>
      <c r="T885" s="164"/>
      <c r="U885" s="164"/>
      <c r="V885" s="164"/>
      <c r="W885" s="164"/>
      <c r="X885" s="164"/>
      <c r="Y885" s="164"/>
      <c r="Z885" s="164"/>
      <c r="AA885" s="164"/>
      <c r="AB885" s="164"/>
    </row>
    <row r="886">
      <c r="A886" s="164"/>
      <c r="B886" s="164"/>
      <c r="C886" s="9"/>
      <c r="D886" s="9"/>
      <c r="E886" s="9"/>
      <c r="F886" s="9"/>
      <c r="G886" s="164"/>
      <c r="H886" s="164"/>
      <c r="I886" s="164"/>
      <c r="J886" s="652"/>
      <c r="K886" s="164"/>
      <c r="L886" s="164"/>
      <c r="M886" s="164"/>
      <c r="N886" s="164"/>
      <c r="O886" s="164"/>
      <c r="P886" s="164"/>
      <c r="Q886" s="164"/>
      <c r="R886" s="164"/>
      <c r="S886" s="164"/>
      <c r="T886" s="164"/>
      <c r="U886" s="164"/>
      <c r="V886" s="164"/>
      <c r="W886" s="164"/>
      <c r="X886" s="164"/>
      <c r="Y886" s="164"/>
      <c r="Z886" s="164"/>
      <c r="AA886" s="164"/>
      <c r="AB886" s="164"/>
    </row>
    <row r="887">
      <c r="A887" s="164"/>
      <c r="B887" s="164"/>
      <c r="C887" s="9"/>
      <c r="D887" s="9"/>
      <c r="E887" s="9"/>
      <c r="F887" s="9"/>
      <c r="G887" s="164"/>
      <c r="H887" s="164"/>
      <c r="I887" s="164"/>
      <c r="J887" s="652"/>
      <c r="K887" s="164"/>
      <c r="L887" s="164"/>
      <c r="M887" s="164"/>
      <c r="N887" s="164"/>
      <c r="O887" s="164"/>
      <c r="P887" s="164"/>
      <c r="Q887" s="164"/>
      <c r="R887" s="164"/>
      <c r="S887" s="164"/>
      <c r="T887" s="164"/>
      <c r="U887" s="164"/>
      <c r="V887" s="164"/>
      <c r="W887" s="164"/>
      <c r="X887" s="164"/>
      <c r="Y887" s="164"/>
      <c r="Z887" s="164"/>
      <c r="AA887" s="164"/>
      <c r="AB887" s="164"/>
    </row>
    <row r="888">
      <c r="A888" s="164"/>
      <c r="B888" s="164"/>
      <c r="C888" s="9"/>
      <c r="D888" s="9"/>
      <c r="E888" s="9"/>
      <c r="F888" s="9"/>
      <c r="G888" s="164"/>
      <c r="H888" s="164"/>
      <c r="I888" s="164"/>
      <c r="J888" s="652"/>
      <c r="K888" s="164"/>
      <c r="L888" s="164"/>
      <c r="M888" s="164"/>
      <c r="N888" s="164"/>
      <c r="O888" s="164"/>
      <c r="P888" s="164"/>
      <c r="Q888" s="164"/>
      <c r="R888" s="164"/>
      <c r="S888" s="164"/>
      <c r="T888" s="164"/>
      <c r="U888" s="164"/>
      <c r="V888" s="164"/>
      <c r="W888" s="164"/>
      <c r="X888" s="164"/>
      <c r="Y888" s="164"/>
      <c r="Z888" s="164"/>
      <c r="AA888" s="164"/>
      <c r="AB888" s="164"/>
    </row>
    <row r="889">
      <c r="A889" s="164"/>
      <c r="B889" s="164"/>
      <c r="C889" s="9"/>
      <c r="D889" s="9"/>
      <c r="E889" s="9"/>
      <c r="F889" s="9"/>
      <c r="G889" s="164"/>
      <c r="H889" s="164"/>
      <c r="I889" s="164"/>
      <c r="J889" s="652"/>
      <c r="K889" s="164"/>
      <c r="L889" s="164"/>
      <c r="M889" s="164"/>
      <c r="N889" s="164"/>
      <c r="O889" s="164"/>
      <c r="P889" s="164"/>
      <c r="Q889" s="164"/>
      <c r="R889" s="164"/>
      <c r="S889" s="164"/>
      <c r="T889" s="164"/>
      <c r="U889" s="164"/>
      <c r="V889" s="164"/>
      <c r="W889" s="164"/>
      <c r="X889" s="164"/>
      <c r="Y889" s="164"/>
      <c r="Z889" s="164"/>
      <c r="AA889" s="164"/>
      <c r="AB889" s="164"/>
    </row>
    <row r="890">
      <c r="A890" s="164"/>
      <c r="B890" s="164"/>
      <c r="C890" s="9"/>
      <c r="D890" s="9"/>
      <c r="E890" s="9"/>
      <c r="F890" s="9"/>
      <c r="G890" s="164"/>
      <c r="H890" s="164"/>
      <c r="I890" s="164"/>
      <c r="J890" s="652"/>
      <c r="K890" s="164"/>
      <c r="L890" s="164"/>
      <c r="M890" s="164"/>
      <c r="N890" s="164"/>
      <c r="O890" s="164"/>
      <c r="P890" s="164"/>
      <c r="Q890" s="164"/>
      <c r="R890" s="164"/>
      <c r="S890" s="164"/>
      <c r="T890" s="164"/>
      <c r="U890" s="164"/>
      <c r="V890" s="164"/>
      <c r="W890" s="164"/>
      <c r="X890" s="164"/>
      <c r="Y890" s="164"/>
      <c r="Z890" s="164"/>
      <c r="AA890" s="164"/>
      <c r="AB890" s="164"/>
    </row>
    <row r="891">
      <c r="A891" s="164"/>
      <c r="B891" s="164"/>
      <c r="C891" s="9"/>
      <c r="D891" s="9"/>
      <c r="E891" s="9"/>
      <c r="F891" s="9"/>
      <c r="G891" s="164"/>
      <c r="H891" s="164"/>
      <c r="I891" s="164"/>
      <c r="J891" s="652"/>
      <c r="K891" s="164"/>
      <c r="L891" s="164"/>
      <c r="M891" s="164"/>
      <c r="N891" s="164"/>
      <c r="O891" s="164"/>
      <c r="P891" s="164"/>
      <c r="Q891" s="164"/>
      <c r="R891" s="164"/>
      <c r="S891" s="164"/>
      <c r="T891" s="164"/>
      <c r="U891" s="164"/>
      <c r="V891" s="164"/>
      <c r="W891" s="164"/>
      <c r="X891" s="164"/>
      <c r="Y891" s="164"/>
      <c r="Z891" s="164"/>
      <c r="AA891" s="164"/>
      <c r="AB891" s="164"/>
    </row>
    <row r="892">
      <c r="A892" s="164"/>
      <c r="B892" s="164"/>
      <c r="C892" s="9"/>
      <c r="D892" s="9"/>
      <c r="E892" s="9"/>
      <c r="F892" s="9"/>
      <c r="G892" s="164"/>
      <c r="H892" s="164"/>
      <c r="I892" s="164"/>
      <c r="J892" s="652"/>
      <c r="K892" s="164"/>
      <c r="L892" s="164"/>
      <c r="M892" s="164"/>
      <c r="N892" s="164"/>
      <c r="O892" s="164"/>
      <c r="P892" s="164"/>
      <c r="Q892" s="164"/>
      <c r="R892" s="164"/>
      <c r="S892" s="164"/>
      <c r="T892" s="164"/>
      <c r="U892" s="164"/>
      <c r="V892" s="164"/>
      <c r="W892" s="164"/>
      <c r="X892" s="164"/>
      <c r="Y892" s="164"/>
      <c r="Z892" s="164"/>
      <c r="AA892" s="164"/>
      <c r="AB892" s="164"/>
    </row>
    <row r="893">
      <c r="A893" s="164"/>
      <c r="B893" s="164"/>
      <c r="C893" s="9"/>
      <c r="D893" s="9"/>
      <c r="E893" s="9"/>
      <c r="F893" s="9"/>
      <c r="G893" s="164"/>
      <c r="H893" s="164"/>
      <c r="I893" s="164"/>
      <c r="J893" s="652"/>
      <c r="K893" s="164"/>
      <c r="L893" s="164"/>
      <c r="M893" s="164"/>
      <c r="N893" s="164"/>
      <c r="O893" s="164"/>
      <c r="P893" s="164"/>
      <c r="Q893" s="164"/>
      <c r="R893" s="164"/>
      <c r="S893" s="164"/>
      <c r="T893" s="164"/>
      <c r="U893" s="164"/>
      <c r="V893" s="164"/>
      <c r="W893" s="164"/>
      <c r="X893" s="164"/>
      <c r="Y893" s="164"/>
      <c r="Z893" s="164"/>
      <c r="AA893" s="164"/>
      <c r="AB893" s="164"/>
    </row>
    <row r="894">
      <c r="A894" s="164"/>
      <c r="B894" s="164"/>
      <c r="C894" s="9"/>
      <c r="D894" s="9"/>
      <c r="E894" s="9"/>
      <c r="F894" s="9"/>
      <c r="G894" s="164"/>
      <c r="H894" s="164"/>
      <c r="I894" s="164"/>
      <c r="J894" s="652"/>
      <c r="K894" s="164"/>
      <c r="L894" s="164"/>
      <c r="M894" s="164"/>
      <c r="N894" s="164"/>
      <c r="O894" s="164"/>
      <c r="P894" s="164"/>
      <c r="Q894" s="164"/>
      <c r="R894" s="164"/>
      <c r="S894" s="164"/>
      <c r="T894" s="164"/>
      <c r="U894" s="164"/>
      <c r="V894" s="164"/>
      <c r="W894" s="164"/>
      <c r="X894" s="164"/>
      <c r="Y894" s="164"/>
      <c r="Z894" s="164"/>
      <c r="AA894" s="164"/>
      <c r="AB894" s="164"/>
    </row>
    <row r="895">
      <c r="A895" s="164"/>
      <c r="B895" s="164"/>
      <c r="C895" s="9"/>
      <c r="D895" s="9"/>
      <c r="E895" s="9"/>
      <c r="F895" s="9"/>
      <c r="G895" s="164"/>
      <c r="H895" s="164"/>
      <c r="I895" s="164"/>
      <c r="J895" s="652"/>
      <c r="K895" s="164"/>
      <c r="L895" s="164"/>
      <c r="M895" s="164"/>
      <c r="N895" s="164"/>
      <c r="O895" s="164"/>
      <c r="P895" s="164"/>
      <c r="Q895" s="164"/>
      <c r="R895" s="164"/>
      <c r="S895" s="164"/>
      <c r="T895" s="164"/>
      <c r="U895" s="164"/>
      <c r="V895" s="164"/>
      <c r="W895" s="164"/>
      <c r="X895" s="164"/>
      <c r="Y895" s="164"/>
      <c r="Z895" s="164"/>
      <c r="AA895" s="164"/>
      <c r="AB895" s="164"/>
    </row>
    <row r="896">
      <c r="A896" s="164"/>
      <c r="B896" s="164"/>
      <c r="C896" s="9"/>
      <c r="D896" s="9"/>
      <c r="E896" s="9"/>
      <c r="F896" s="9"/>
      <c r="G896" s="164"/>
      <c r="H896" s="164"/>
      <c r="I896" s="164"/>
      <c r="J896" s="652"/>
      <c r="K896" s="164"/>
      <c r="L896" s="164"/>
      <c r="M896" s="164"/>
      <c r="N896" s="164"/>
      <c r="O896" s="164"/>
      <c r="P896" s="164"/>
      <c r="Q896" s="164"/>
      <c r="R896" s="164"/>
      <c r="S896" s="164"/>
      <c r="T896" s="164"/>
      <c r="U896" s="164"/>
      <c r="V896" s="164"/>
      <c r="W896" s="164"/>
      <c r="X896" s="164"/>
      <c r="Y896" s="164"/>
      <c r="Z896" s="164"/>
      <c r="AA896" s="164"/>
      <c r="AB896" s="164"/>
    </row>
    <row r="897">
      <c r="A897" s="164"/>
      <c r="B897" s="164"/>
      <c r="C897" s="9"/>
      <c r="D897" s="9"/>
      <c r="E897" s="9"/>
      <c r="F897" s="9"/>
      <c r="G897" s="164"/>
      <c r="H897" s="164"/>
      <c r="I897" s="164"/>
      <c r="J897" s="652"/>
      <c r="K897" s="164"/>
      <c r="L897" s="164"/>
      <c r="M897" s="164"/>
      <c r="N897" s="164"/>
      <c r="O897" s="164"/>
      <c r="P897" s="164"/>
      <c r="Q897" s="164"/>
      <c r="R897" s="164"/>
      <c r="S897" s="164"/>
      <c r="T897" s="164"/>
      <c r="U897" s="164"/>
      <c r="V897" s="164"/>
      <c r="W897" s="164"/>
      <c r="X897" s="164"/>
      <c r="Y897" s="164"/>
      <c r="Z897" s="164"/>
      <c r="AA897" s="164"/>
      <c r="AB897" s="164"/>
    </row>
    <row r="898">
      <c r="A898" s="164"/>
      <c r="B898" s="164"/>
      <c r="C898" s="9"/>
      <c r="D898" s="9"/>
      <c r="E898" s="9"/>
      <c r="F898" s="9"/>
      <c r="G898" s="164"/>
      <c r="H898" s="164"/>
      <c r="I898" s="164"/>
      <c r="J898" s="652"/>
      <c r="K898" s="164"/>
      <c r="L898" s="164"/>
      <c r="M898" s="164"/>
      <c r="N898" s="164"/>
      <c r="O898" s="164"/>
      <c r="P898" s="164"/>
      <c r="Q898" s="164"/>
      <c r="R898" s="164"/>
      <c r="S898" s="164"/>
      <c r="T898" s="164"/>
      <c r="U898" s="164"/>
      <c r="V898" s="164"/>
      <c r="W898" s="164"/>
      <c r="X898" s="164"/>
      <c r="Y898" s="164"/>
      <c r="Z898" s="164"/>
      <c r="AA898" s="164"/>
      <c r="AB898" s="164"/>
    </row>
    <row r="899">
      <c r="A899" s="164"/>
      <c r="B899" s="164"/>
      <c r="C899" s="9"/>
      <c r="D899" s="9"/>
      <c r="E899" s="9"/>
      <c r="F899" s="9"/>
      <c r="G899" s="164"/>
      <c r="H899" s="164"/>
      <c r="I899" s="164"/>
      <c r="J899" s="652"/>
      <c r="K899" s="164"/>
      <c r="L899" s="164"/>
      <c r="M899" s="164"/>
      <c r="N899" s="164"/>
      <c r="O899" s="164"/>
      <c r="P899" s="164"/>
      <c r="Q899" s="164"/>
      <c r="R899" s="164"/>
      <c r="S899" s="164"/>
      <c r="T899" s="164"/>
      <c r="U899" s="164"/>
      <c r="V899" s="164"/>
      <c r="W899" s="164"/>
      <c r="X899" s="164"/>
      <c r="Y899" s="164"/>
      <c r="Z899" s="164"/>
      <c r="AA899" s="164"/>
      <c r="AB899" s="164"/>
    </row>
    <row r="900">
      <c r="A900" s="164"/>
      <c r="B900" s="164"/>
      <c r="C900" s="9"/>
      <c r="D900" s="9"/>
      <c r="E900" s="9"/>
      <c r="F900" s="9"/>
      <c r="G900" s="164"/>
      <c r="H900" s="164"/>
      <c r="I900" s="164"/>
      <c r="J900" s="652"/>
      <c r="K900" s="164"/>
      <c r="L900" s="164"/>
      <c r="M900" s="164"/>
      <c r="N900" s="164"/>
      <c r="O900" s="164"/>
      <c r="P900" s="164"/>
      <c r="Q900" s="164"/>
      <c r="R900" s="164"/>
      <c r="S900" s="164"/>
      <c r="T900" s="164"/>
      <c r="U900" s="164"/>
      <c r="V900" s="164"/>
      <c r="W900" s="164"/>
      <c r="X900" s="164"/>
      <c r="Y900" s="164"/>
      <c r="Z900" s="164"/>
      <c r="AA900" s="164"/>
      <c r="AB900" s="164"/>
    </row>
    <row r="901">
      <c r="A901" s="164"/>
      <c r="B901" s="164"/>
      <c r="C901" s="9"/>
      <c r="D901" s="9"/>
      <c r="E901" s="9"/>
      <c r="F901" s="9"/>
      <c r="G901" s="164"/>
      <c r="H901" s="164"/>
      <c r="I901" s="164"/>
      <c r="J901" s="652"/>
      <c r="K901" s="164"/>
      <c r="L901" s="164"/>
      <c r="M901" s="164"/>
      <c r="N901" s="164"/>
      <c r="O901" s="164"/>
      <c r="P901" s="164"/>
      <c r="Q901" s="164"/>
      <c r="R901" s="164"/>
      <c r="S901" s="164"/>
      <c r="T901" s="164"/>
      <c r="U901" s="164"/>
      <c r="V901" s="164"/>
      <c r="W901" s="164"/>
      <c r="X901" s="164"/>
      <c r="Y901" s="164"/>
      <c r="Z901" s="164"/>
      <c r="AA901" s="164"/>
      <c r="AB901" s="164"/>
    </row>
    <row r="902">
      <c r="A902" s="164"/>
      <c r="B902" s="164"/>
      <c r="C902" s="9"/>
      <c r="D902" s="9"/>
      <c r="E902" s="9"/>
      <c r="F902" s="9"/>
      <c r="G902" s="164"/>
      <c r="H902" s="164"/>
      <c r="I902" s="164"/>
      <c r="J902" s="652"/>
      <c r="K902" s="164"/>
      <c r="L902" s="164"/>
      <c r="M902" s="164"/>
      <c r="N902" s="164"/>
      <c r="O902" s="164"/>
      <c r="P902" s="164"/>
      <c r="Q902" s="164"/>
      <c r="R902" s="164"/>
      <c r="S902" s="164"/>
      <c r="T902" s="164"/>
      <c r="U902" s="164"/>
      <c r="V902" s="164"/>
      <c r="W902" s="164"/>
      <c r="X902" s="164"/>
      <c r="Y902" s="164"/>
      <c r="Z902" s="164"/>
      <c r="AA902" s="164"/>
      <c r="AB902" s="164"/>
    </row>
    <row r="903">
      <c r="A903" s="164"/>
      <c r="B903" s="164"/>
      <c r="C903" s="9"/>
      <c r="D903" s="9"/>
      <c r="E903" s="9"/>
      <c r="F903" s="9"/>
      <c r="G903" s="164"/>
      <c r="H903" s="164"/>
      <c r="I903" s="164"/>
      <c r="J903" s="652"/>
      <c r="K903" s="164"/>
      <c r="L903" s="164"/>
      <c r="M903" s="164"/>
      <c r="N903" s="164"/>
      <c r="O903" s="164"/>
      <c r="P903" s="164"/>
      <c r="Q903" s="164"/>
      <c r="R903" s="164"/>
      <c r="S903" s="164"/>
      <c r="T903" s="164"/>
      <c r="U903" s="164"/>
      <c r="V903" s="164"/>
      <c r="W903" s="164"/>
      <c r="X903" s="164"/>
      <c r="Y903" s="164"/>
      <c r="Z903" s="164"/>
      <c r="AA903" s="164"/>
      <c r="AB903" s="164"/>
    </row>
    <row r="904">
      <c r="A904" s="164"/>
      <c r="B904" s="164"/>
      <c r="C904" s="9"/>
      <c r="D904" s="9"/>
      <c r="E904" s="9"/>
      <c r="F904" s="9"/>
      <c r="G904" s="164"/>
      <c r="H904" s="164"/>
      <c r="I904" s="164"/>
      <c r="J904" s="652"/>
      <c r="K904" s="164"/>
      <c r="L904" s="164"/>
      <c r="M904" s="164"/>
      <c r="N904" s="164"/>
      <c r="O904" s="164"/>
      <c r="P904" s="164"/>
      <c r="Q904" s="164"/>
      <c r="R904" s="164"/>
      <c r="S904" s="164"/>
      <c r="T904" s="164"/>
      <c r="U904" s="164"/>
      <c r="V904" s="164"/>
      <c r="W904" s="164"/>
      <c r="X904" s="164"/>
      <c r="Y904" s="164"/>
      <c r="Z904" s="164"/>
      <c r="AA904" s="164"/>
      <c r="AB904" s="164"/>
    </row>
    <row r="905">
      <c r="A905" s="164"/>
      <c r="B905" s="164"/>
      <c r="C905" s="9"/>
      <c r="D905" s="9"/>
      <c r="E905" s="9"/>
      <c r="F905" s="9"/>
      <c r="G905" s="164"/>
      <c r="H905" s="164"/>
      <c r="I905" s="164"/>
      <c r="J905" s="652"/>
      <c r="K905" s="164"/>
      <c r="L905" s="164"/>
      <c r="M905" s="164"/>
      <c r="N905" s="164"/>
      <c r="O905" s="164"/>
      <c r="P905" s="164"/>
      <c r="Q905" s="164"/>
      <c r="R905" s="164"/>
      <c r="S905" s="164"/>
      <c r="T905" s="164"/>
      <c r="U905" s="164"/>
      <c r="V905" s="164"/>
      <c r="W905" s="164"/>
      <c r="X905" s="164"/>
      <c r="Y905" s="164"/>
      <c r="Z905" s="164"/>
      <c r="AA905" s="164"/>
      <c r="AB905" s="164"/>
    </row>
    <row r="906">
      <c r="A906" s="164"/>
      <c r="B906" s="164"/>
      <c r="C906" s="9"/>
      <c r="D906" s="9"/>
      <c r="E906" s="9"/>
      <c r="F906" s="9"/>
      <c r="G906" s="164"/>
      <c r="H906" s="164"/>
      <c r="I906" s="164"/>
      <c r="J906" s="652"/>
      <c r="K906" s="164"/>
      <c r="L906" s="164"/>
      <c r="M906" s="164"/>
      <c r="N906" s="164"/>
      <c r="O906" s="164"/>
      <c r="P906" s="164"/>
      <c r="Q906" s="164"/>
      <c r="R906" s="164"/>
      <c r="S906" s="164"/>
      <c r="T906" s="164"/>
      <c r="U906" s="164"/>
      <c r="V906" s="164"/>
      <c r="W906" s="164"/>
      <c r="X906" s="164"/>
      <c r="Y906" s="164"/>
      <c r="Z906" s="164"/>
      <c r="AA906" s="164"/>
      <c r="AB906" s="164"/>
    </row>
    <row r="907">
      <c r="A907" s="164"/>
      <c r="B907" s="164"/>
      <c r="C907" s="9"/>
      <c r="D907" s="9"/>
      <c r="E907" s="9"/>
      <c r="F907" s="9"/>
      <c r="G907" s="164"/>
      <c r="H907" s="164"/>
      <c r="I907" s="164"/>
      <c r="J907" s="652"/>
      <c r="K907" s="164"/>
      <c r="L907" s="164"/>
      <c r="M907" s="164"/>
      <c r="N907" s="164"/>
      <c r="O907" s="164"/>
      <c r="P907" s="164"/>
      <c r="Q907" s="164"/>
      <c r="R907" s="164"/>
      <c r="S907" s="164"/>
      <c r="T907" s="164"/>
      <c r="U907" s="164"/>
      <c r="V907" s="164"/>
      <c r="W907" s="164"/>
      <c r="X907" s="164"/>
      <c r="Y907" s="164"/>
      <c r="Z907" s="164"/>
      <c r="AA907" s="164"/>
      <c r="AB907" s="164"/>
    </row>
    <row r="908">
      <c r="A908" s="164"/>
      <c r="B908" s="164"/>
      <c r="C908" s="9"/>
      <c r="D908" s="9"/>
      <c r="E908" s="9"/>
      <c r="F908" s="9"/>
      <c r="G908" s="164"/>
      <c r="H908" s="164"/>
      <c r="I908" s="164"/>
      <c r="J908" s="652"/>
      <c r="K908" s="164"/>
      <c r="L908" s="164"/>
      <c r="M908" s="164"/>
      <c r="N908" s="164"/>
      <c r="O908" s="164"/>
      <c r="P908" s="164"/>
      <c r="Q908" s="164"/>
      <c r="R908" s="164"/>
      <c r="S908" s="164"/>
      <c r="T908" s="164"/>
      <c r="U908" s="164"/>
      <c r="V908" s="164"/>
      <c r="W908" s="164"/>
      <c r="X908" s="164"/>
      <c r="Y908" s="164"/>
      <c r="Z908" s="164"/>
      <c r="AA908" s="164"/>
      <c r="AB908" s="164"/>
    </row>
    <row r="909">
      <c r="A909" s="164"/>
      <c r="B909" s="164"/>
      <c r="C909" s="9"/>
      <c r="D909" s="9"/>
      <c r="E909" s="9"/>
      <c r="F909" s="9"/>
      <c r="G909" s="164"/>
      <c r="H909" s="164"/>
      <c r="I909" s="164"/>
      <c r="J909" s="652"/>
      <c r="K909" s="164"/>
      <c r="L909" s="164"/>
      <c r="M909" s="164"/>
      <c r="N909" s="164"/>
      <c r="O909" s="164"/>
      <c r="P909" s="164"/>
      <c r="Q909" s="164"/>
      <c r="R909" s="164"/>
      <c r="S909" s="164"/>
      <c r="T909" s="164"/>
      <c r="U909" s="164"/>
      <c r="V909" s="164"/>
      <c r="W909" s="164"/>
      <c r="X909" s="164"/>
      <c r="Y909" s="164"/>
      <c r="Z909" s="164"/>
      <c r="AA909" s="164"/>
      <c r="AB909" s="164"/>
    </row>
    <row r="910">
      <c r="A910" s="164"/>
      <c r="B910" s="164"/>
      <c r="C910" s="9"/>
      <c r="D910" s="9"/>
      <c r="E910" s="9"/>
      <c r="F910" s="9"/>
      <c r="G910" s="164"/>
      <c r="H910" s="164"/>
      <c r="I910" s="164"/>
      <c r="J910" s="652"/>
      <c r="K910" s="164"/>
      <c r="L910" s="164"/>
      <c r="M910" s="164"/>
      <c r="N910" s="164"/>
      <c r="O910" s="164"/>
      <c r="P910" s="164"/>
      <c r="Q910" s="164"/>
      <c r="R910" s="164"/>
      <c r="S910" s="164"/>
      <c r="T910" s="164"/>
      <c r="U910" s="164"/>
      <c r="V910" s="164"/>
      <c r="W910" s="164"/>
      <c r="X910" s="164"/>
      <c r="Y910" s="164"/>
      <c r="Z910" s="164"/>
      <c r="AA910" s="164"/>
      <c r="AB910" s="164"/>
    </row>
    <row r="911">
      <c r="A911" s="164"/>
      <c r="B911" s="164"/>
      <c r="C911" s="9"/>
      <c r="D911" s="9"/>
      <c r="E911" s="9"/>
      <c r="F911" s="9"/>
      <c r="G911" s="164"/>
      <c r="H911" s="164"/>
      <c r="I911" s="164"/>
      <c r="J911" s="652"/>
      <c r="K911" s="164"/>
      <c r="L911" s="164"/>
      <c r="M911" s="164"/>
      <c r="N911" s="164"/>
      <c r="O911" s="164"/>
      <c r="P911" s="164"/>
      <c r="Q911" s="164"/>
      <c r="R911" s="164"/>
      <c r="S911" s="164"/>
      <c r="T911" s="164"/>
      <c r="U911" s="164"/>
      <c r="V911" s="164"/>
      <c r="W911" s="164"/>
      <c r="X911" s="164"/>
      <c r="Y911" s="164"/>
      <c r="Z911" s="164"/>
      <c r="AA911" s="164"/>
      <c r="AB911" s="164"/>
    </row>
    <row r="912">
      <c r="A912" s="164"/>
      <c r="B912" s="164"/>
      <c r="C912" s="9"/>
      <c r="D912" s="9"/>
      <c r="E912" s="9"/>
      <c r="F912" s="9"/>
      <c r="G912" s="164"/>
      <c r="H912" s="164"/>
      <c r="I912" s="164"/>
      <c r="J912" s="652"/>
      <c r="K912" s="164"/>
      <c r="L912" s="164"/>
      <c r="M912" s="164"/>
      <c r="N912" s="164"/>
      <c r="O912" s="164"/>
      <c r="P912" s="164"/>
      <c r="Q912" s="164"/>
      <c r="R912" s="164"/>
      <c r="S912" s="164"/>
      <c r="T912" s="164"/>
      <c r="U912" s="164"/>
      <c r="V912" s="164"/>
      <c r="W912" s="164"/>
      <c r="X912" s="164"/>
      <c r="Y912" s="164"/>
      <c r="Z912" s="164"/>
      <c r="AA912" s="164"/>
      <c r="AB912" s="164"/>
    </row>
    <row r="913">
      <c r="A913" s="164"/>
      <c r="B913" s="164"/>
      <c r="C913" s="9"/>
      <c r="D913" s="9"/>
      <c r="E913" s="9"/>
      <c r="F913" s="9"/>
      <c r="G913" s="164"/>
      <c r="H913" s="164"/>
      <c r="I913" s="164"/>
      <c r="J913" s="652"/>
      <c r="K913" s="164"/>
      <c r="L913" s="164"/>
      <c r="M913" s="164"/>
      <c r="N913" s="164"/>
      <c r="O913" s="164"/>
      <c r="P913" s="164"/>
      <c r="Q913" s="164"/>
      <c r="R913" s="164"/>
      <c r="S913" s="164"/>
      <c r="T913" s="164"/>
      <c r="U913" s="164"/>
      <c r="V913" s="164"/>
      <c r="W913" s="164"/>
      <c r="X913" s="164"/>
      <c r="Y913" s="164"/>
      <c r="Z913" s="164"/>
      <c r="AA913" s="164"/>
      <c r="AB913" s="164"/>
    </row>
    <row r="914">
      <c r="A914" s="164"/>
      <c r="B914" s="164"/>
      <c r="C914" s="9"/>
      <c r="D914" s="9"/>
      <c r="E914" s="9"/>
      <c r="F914" s="9"/>
      <c r="G914" s="164"/>
      <c r="H914" s="164"/>
      <c r="I914" s="164"/>
      <c r="J914" s="652"/>
      <c r="K914" s="164"/>
      <c r="L914" s="164"/>
      <c r="M914" s="164"/>
      <c r="N914" s="164"/>
      <c r="O914" s="164"/>
      <c r="P914" s="164"/>
      <c r="Q914" s="164"/>
      <c r="R914" s="164"/>
      <c r="S914" s="164"/>
      <c r="T914" s="164"/>
      <c r="U914" s="164"/>
      <c r="V914" s="164"/>
      <c r="W914" s="164"/>
      <c r="X914" s="164"/>
      <c r="Y914" s="164"/>
      <c r="Z914" s="164"/>
      <c r="AA914" s="164"/>
      <c r="AB914" s="164"/>
    </row>
    <row r="915">
      <c r="A915" s="164"/>
      <c r="B915" s="164"/>
      <c r="C915" s="9"/>
      <c r="D915" s="9"/>
      <c r="E915" s="9"/>
      <c r="F915" s="9"/>
      <c r="G915" s="164"/>
      <c r="H915" s="164"/>
      <c r="I915" s="164"/>
      <c r="J915" s="652"/>
      <c r="K915" s="164"/>
      <c r="L915" s="164"/>
      <c r="M915" s="164"/>
      <c r="N915" s="164"/>
      <c r="O915" s="164"/>
      <c r="P915" s="164"/>
      <c r="Q915" s="164"/>
      <c r="R915" s="164"/>
      <c r="S915" s="164"/>
      <c r="T915" s="164"/>
      <c r="U915" s="164"/>
      <c r="V915" s="164"/>
      <c r="W915" s="164"/>
      <c r="X915" s="164"/>
      <c r="Y915" s="164"/>
      <c r="Z915" s="164"/>
      <c r="AA915" s="164"/>
      <c r="AB915" s="164"/>
    </row>
    <row r="916">
      <c r="A916" s="164"/>
      <c r="B916" s="164"/>
      <c r="C916" s="9"/>
      <c r="D916" s="9"/>
      <c r="E916" s="9"/>
      <c r="F916" s="9"/>
      <c r="G916" s="164"/>
      <c r="H916" s="164"/>
      <c r="I916" s="164"/>
      <c r="J916" s="652"/>
      <c r="K916" s="164"/>
      <c r="L916" s="164"/>
      <c r="M916" s="164"/>
      <c r="N916" s="164"/>
      <c r="O916" s="164"/>
      <c r="P916" s="164"/>
      <c r="Q916" s="164"/>
      <c r="R916" s="164"/>
      <c r="S916" s="164"/>
      <c r="T916" s="164"/>
      <c r="U916" s="164"/>
      <c r="V916" s="164"/>
      <c r="W916" s="164"/>
      <c r="X916" s="164"/>
      <c r="Y916" s="164"/>
      <c r="Z916" s="164"/>
      <c r="AA916" s="164"/>
      <c r="AB916" s="164"/>
    </row>
    <row r="917">
      <c r="A917" s="164"/>
      <c r="B917" s="164"/>
      <c r="C917" s="9"/>
      <c r="D917" s="9"/>
      <c r="E917" s="9"/>
      <c r="F917" s="9"/>
      <c r="G917" s="164"/>
      <c r="H917" s="164"/>
      <c r="I917" s="164"/>
      <c r="J917" s="652"/>
      <c r="K917" s="164"/>
      <c r="L917" s="164"/>
      <c r="M917" s="164"/>
      <c r="N917" s="164"/>
      <c r="O917" s="164"/>
      <c r="P917" s="164"/>
      <c r="Q917" s="164"/>
      <c r="R917" s="164"/>
      <c r="S917" s="164"/>
      <c r="T917" s="164"/>
      <c r="U917" s="164"/>
      <c r="V917" s="164"/>
      <c r="W917" s="164"/>
      <c r="X917" s="164"/>
      <c r="Y917" s="164"/>
      <c r="Z917" s="164"/>
      <c r="AA917" s="164"/>
      <c r="AB917" s="164"/>
    </row>
    <row r="918">
      <c r="A918" s="164"/>
      <c r="B918" s="164"/>
      <c r="C918" s="9"/>
      <c r="D918" s="9"/>
      <c r="E918" s="9"/>
      <c r="F918" s="9"/>
      <c r="G918" s="164"/>
      <c r="H918" s="164"/>
      <c r="I918" s="164"/>
      <c r="J918" s="652"/>
      <c r="K918" s="164"/>
      <c r="L918" s="164"/>
      <c r="M918" s="164"/>
      <c r="N918" s="164"/>
      <c r="O918" s="164"/>
      <c r="P918" s="164"/>
      <c r="Q918" s="164"/>
      <c r="R918" s="164"/>
      <c r="S918" s="164"/>
      <c r="T918" s="164"/>
      <c r="U918" s="164"/>
      <c r="V918" s="164"/>
      <c r="W918" s="164"/>
      <c r="X918" s="164"/>
      <c r="Y918" s="164"/>
      <c r="Z918" s="164"/>
      <c r="AA918" s="164"/>
      <c r="AB918" s="164"/>
    </row>
    <row r="919">
      <c r="A919" s="164"/>
      <c r="B919" s="164"/>
      <c r="C919" s="9"/>
      <c r="D919" s="9"/>
      <c r="E919" s="9"/>
      <c r="F919" s="9"/>
      <c r="G919" s="164"/>
      <c r="H919" s="164"/>
      <c r="I919" s="164"/>
      <c r="J919" s="652"/>
      <c r="K919" s="164"/>
      <c r="L919" s="164"/>
      <c r="M919" s="164"/>
      <c r="N919" s="164"/>
      <c r="O919" s="164"/>
      <c r="P919" s="164"/>
      <c r="Q919" s="164"/>
      <c r="R919" s="164"/>
      <c r="S919" s="164"/>
      <c r="T919" s="164"/>
      <c r="U919" s="164"/>
      <c r="V919" s="164"/>
      <c r="W919" s="164"/>
      <c r="X919" s="164"/>
      <c r="Y919" s="164"/>
      <c r="Z919" s="164"/>
      <c r="AA919" s="164"/>
      <c r="AB919" s="164"/>
    </row>
    <row r="920">
      <c r="A920" s="164"/>
      <c r="B920" s="164"/>
      <c r="C920" s="9"/>
      <c r="D920" s="9"/>
      <c r="E920" s="9"/>
      <c r="F920" s="9"/>
      <c r="G920" s="164"/>
      <c r="H920" s="164"/>
      <c r="I920" s="164"/>
      <c r="J920" s="652"/>
      <c r="K920" s="164"/>
      <c r="L920" s="164"/>
      <c r="M920" s="164"/>
      <c r="N920" s="164"/>
      <c r="O920" s="164"/>
      <c r="P920" s="164"/>
      <c r="Q920" s="164"/>
      <c r="R920" s="164"/>
      <c r="S920" s="164"/>
      <c r="T920" s="164"/>
      <c r="U920" s="164"/>
      <c r="V920" s="164"/>
      <c r="W920" s="164"/>
      <c r="X920" s="164"/>
      <c r="Y920" s="164"/>
      <c r="Z920" s="164"/>
      <c r="AA920" s="164"/>
      <c r="AB920" s="164"/>
    </row>
    <row r="921">
      <c r="A921" s="164"/>
      <c r="B921" s="164"/>
      <c r="C921" s="9"/>
      <c r="D921" s="9"/>
      <c r="E921" s="9"/>
      <c r="F921" s="9"/>
      <c r="G921" s="164"/>
      <c r="H921" s="164"/>
      <c r="I921" s="164"/>
      <c r="J921" s="652"/>
      <c r="K921" s="164"/>
      <c r="L921" s="164"/>
      <c r="M921" s="164"/>
      <c r="N921" s="164"/>
      <c r="O921" s="164"/>
      <c r="P921" s="164"/>
      <c r="Q921" s="164"/>
      <c r="R921" s="164"/>
      <c r="S921" s="164"/>
      <c r="T921" s="164"/>
      <c r="U921" s="164"/>
      <c r="V921" s="164"/>
      <c r="W921" s="164"/>
      <c r="X921" s="164"/>
      <c r="Y921" s="164"/>
      <c r="Z921" s="164"/>
      <c r="AA921" s="164"/>
      <c r="AB921" s="164"/>
    </row>
    <row r="922">
      <c r="A922" s="164"/>
      <c r="B922" s="164"/>
      <c r="C922" s="9"/>
      <c r="D922" s="9"/>
      <c r="E922" s="9"/>
      <c r="F922" s="9"/>
      <c r="G922" s="164"/>
      <c r="H922" s="164"/>
      <c r="I922" s="164"/>
      <c r="J922" s="652"/>
      <c r="K922" s="164"/>
      <c r="L922" s="164"/>
      <c r="M922" s="164"/>
      <c r="N922" s="164"/>
      <c r="O922" s="164"/>
      <c r="P922" s="164"/>
      <c r="Q922" s="164"/>
      <c r="R922" s="164"/>
      <c r="S922" s="164"/>
      <c r="T922" s="164"/>
      <c r="U922" s="164"/>
      <c r="V922" s="164"/>
      <c r="W922" s="164"/>
      <c r="X922" s="164"/>
      <c r="Y922" s="164"/>
      <c r="Z922" s="164"/>
      <c r="AA922" s="164"/>
      <c r="AB922" s="164"/>
    </row>
    <row r="923">
      <c r="A923" s="164"/>
      <c r="B923" s="164"/>
      <c r="C923" s="9"/>
      <c r="D923" s="9"/>
      <c r="E923" s="9"/>
      <c r="F923" s="9"/>
      <c r="G923" s="164"/>
      <c r="H923" s="164"/>
      <c r="I923" s="164"/>
      <c r="J923" s="652"/>
      <c r="K923" s="164"/>
      <c r="L923" s="164"/>
      <c r="M923" s="164"/>
      <c r="N923" s="164"/>
      <c r="O923" s="164"/>
      <c r="P923" s="164"/>
      <c r="Q923" s="164"/>
      <c r="R923" s="164"/>
      <c r="S923" s="164"/>
      <c r="T923" s="164"/>
      <c r="U923" s="164"/>
      <c r="V923" s="164"/>
      <c r="W923" s="164"/>
      <c r="X923" s="164"/>
      <c r="Y923" s="164"/>
      <c r="Z923" s="164"/>
      <c r="AA923" s="164"/>
      <c r="AB923" s="164"/>
    </row>
    <row r="924">
      <c r="A924" s="164"/>
      <c r="B924" s="164"/>
      <c r="C924" s="9"/>
      <c r="D924" s="9"/>
      <c r="E924" s="9"/>
      <c r="F924" s="9"/>
      <c r="G924" s="164"/>
      <c r="H924" s="164"/>
      <c r="I924" s="164"/>
      <c r="J924" s="652"/>
      <c r="K924" s="164"/>
      <c r="L924" s="164"/>
      <c r="M924" s="164"/>
      <c r="N924" s="164"/>
      <c r="O924" s="164"/>
      <c r="P924" s="164"/>
      <c r="Q924" s="164"/>
      <c r="R924" s="164"/>
      <c r="S924" s="164"/>
      <c r="T924" s="164"/>
      <c r="U924" s="164"/>
      <c r="V924" s="164"/>
      <c r="W924" s="164"/>
      <c r="X924" s="164"/>
      <c r="Y924" s="164"/>
      <c r="Z924" s="164"/>
      <c r="AA924" s="164"/>
      <c r="AB924" s="164"/>
    </row>
    <row r="925">
      <c r="A925" s="164"/>
      <c r="B925" s="164"/>
      <c r="C925" s="9"/>
      <c r="D925" s="9"/>
      <c r="E925" s="9"/>
      <c r="F925" s="9"/>
      <c r="G925" s="164"/>
      <c r="H925" s="164"/>
      <c r="I925" s="164"/>
      <c r="J925" s="652"/>
      <c r="K925" s="164"/>
      <c r="L925" s="164"/>
      <c r="M925" s="164"/>
      <c r="N925" s="164"/>
      <c r="O925" s="164"/>
      <c r="P925" s="164"/>
      <c r="Q925" s="164"/>
      <c r="R925" s="164"/>
      <c r="S925" s="164"/>
      <c r="T925" s="164"/>
      <c r="U925" s="164"/>
      <c r="V925" s="164"/>
      <c r="W925" s="164"/>
      <c r="X925" s="164"/>
      <c r="Y925" s="164"/>
      <c r="Z925" s="164"/>
      <c r="AA925" s="164"/>
      <c r="AB925" s="164"/>
    </row>
    <row r="926">
      <c r="A926" s="164"/>
      <c r="B926" s="164"/>
      <c r="C926" s="9"/>
      <c r="D926" s="9"/>
      <c r="E926" s="9"/>
      <c r="F926" s="9"/>
      <c r="G926" s="164"/>
      <c r="H926" s="164"/>
      <c r="I926" s="164"/>
      <c r="J926" s="652"/>
      <c r="K926" s="164"/>
      <c r="L926" s="164"/>
      <c r="M926" s="164"/>
      <c r="N926" s="164"/>
      <c r="O926" s="164"/>
      <c r="P926" s="164"/>
      <c r="Q926" s="164"/>
      <c r="R926" s="164"/>
      <c r="S926" s="164"/>
      <c r="T926" s="164"/>
      <c r="U926" s="164"/>
      <c r="V926" s="164"/>
      <c r="W926" s="164"/>
      <c r="X926" s="164"/>
      <c r="Y926" s="164"/>
      <c r="Z926" s="164"/>
      <c r="AA926" s="164"/>
      <c r="AB926" s="164"/>
    </row>
    <row r="927">
      <c r="A927" s="164"/>
      <c r="B927" s="164"/>
      <c r="C927" s="9"/>
      <c r="D927" s="9"/>
      <c r="E927" s="9"/>
      <c r="F927" s="9"/>
      <c r="G927" s="164"/>
      <c r="H927" s="164"/>
      <c r="I927" s="164"/>
      <c r="J927" s="652"/>
      <c r="K927" s="164"/>
      <c r="L927" s="164"/>
      <c r="M927" s="164"/>
      <c r="N927" s="164"/>
      <c r="O927" s="164"/>
      <c r="P927" s="164"/>
      <c r="Q927" s="164"/>
      <c r="R927" s="164"/>
      <c r="S927" s="164"/>
      <c r="T927" s="164"/>
      <c r="U927" s="164"/>
      <c r="V927" s="164"/>
      <c r="W927" s="164"/>
      <c r="X927" s="164"/>
      <c r="Y927" s="164"/>
      <c r="Z927" s="164"/>
      <c r="AA927" s="164"/>
      <c r="AB927" s="164"/>
    </row>
    <row r="928">
      <c r="A928" s="164"/>
      <c r="B928" s="164"/>
      <c r="C928" s="9"/>
      <c r="D928" s="9"/>
      <c r="E928" s="9"/>
      <c r="F928" s="9"/>
      <c r="G928" s="164"/>
      <c r="H928" s="164"/>
      <c r="I928" s="164"/>
      <c r="J928" s="652"/>
      <c r="K928" s="164"/>
      <c r="L928" s="164"/>
      <c r="M928" s="164"/>
      <c r="N928" s="164"/>
      <c r="O928" s="164"/>
      <c r="P928" s="164"/>
      <c r="Q928" s="164"/>
      <c r="R928" s="164"/>
      <c r="S928" s="164"/>
      <c r="T928" s="164"/>
      <c r="U928" s="164"/>
      <c r="V928" s="164"/>
      <c r="W928" s="164"/>
      <c r="X928" s="164"/>
      <c r="Y928" s="164"/>
      <c r="Z928" s="164"/>
      <c r="AA928" s="164"/>
      <c r="AB928" s="164"/>
    </row>
    <row r="929">
      <c r="A929" s="164"/>
      <c r="B929" s="164"/>
      <c r="C929" s="9"/>
      <c r="D929" s="9"/>
      <c r="E929" s="9"/>
      <c r="F929" s="9"/>
      <c r="G929" s="164"/>
      <c r="H929" s="164"/>
      <c r="I929" s="164"/>
      <c r="J929" s="652"/>
      <c r="K929" s="164"/>
      <c r="L929" s="164"/>
      <c r="M929" s="164"/>
      <c r="N929" s="164"/>
      <c r="O929" s="164"/>
      <c r="P929" s="164"/>
      <c r="Q929" s="164"/>
      <c r="R929" s="164"/>
      <c r="S929" s="164"/>
      <c r="T929" s="164"/>
      <c r="U929" s="164"/>
      <c r="V929" s="164"/>
      <c r="W929" s="164"/>
      <c r="X929" s="164"/>
      <c r="Y929" s="164"/>
      <c r="Z929" s="164"/>
      <c r="AA929" s="164"/>
      <c r="AB929" s="164"/>
    </row>
    <row r="930">
      <c r="A930" s="164"/>
      <c r="B930" s="164"/>
      <c r="C930" s="9"/>
      <c r="D930" s="9"/>
      <c r="E930" s="9"/>
      <c r="F930" s="9"/>
      <c r="G930" s="164"/>
      <c r="H930" s="164"/>
      <c r="I930" s="164"/>
      <c r="J930" s="652"/>
      <c r="K930" s="164"/>
      <c r="L930" s="164"/>
      <c r="M930" s="164"/>
      <c r="N930" s="164"/>
      <c r="O930" s="164"/>
      <c r="P930" s="164"/>
      <c r="Q930" s="164"/>
      <c r="R930" s="164"/>
      <c r="S930" s="164"/>
      <c r="T930" s="164"/>
      <c r="U930" s="164"/>
      <c r="V930" s="164"/>
      <c r="W930" s="164"/>
      <c r="X930" s="164"/>
      <c r="Y930" s="164"/>
      <c r="Z930" s="164"/>
      <c r="AA930" s="164"/>
      <c r="AB930" s="164"/>
    </row>
    <row r="931">
      <c r="A931" s="164"/>
      <c r="B931" s="164"/>
      <c r="C931" s="9"/>
      <c r="D931" s="9"/>
      <c r="E931" s="9"/>
      <c r="F931" s="9"/>
      <c r="G931" s="164"/>
      <c r="H931" s="164"/>
      <c r="I931" s="164"/>
      <c r="J931" s="652"/>
      <c r="K931" s="164"/>
      <c r="L931" s="164"/>
      <c r="M931" s="164"/>
      <c r="N931" s="164"/>
      <c r="O931" s="164"/>
      <c r="P931" s="164"/>
      <c r="Q931" s="164"/>
      <c r="R931" s="164"/>
      <c r="S931" s="164"/>
      <c r="T931" s="164"/>
      <c r="U931" s="164"/>
      <c r="V931" s="164"/>
      <c r="W931" s="164"/>
      <c r="X931" s="164"/>
      <c r="Y931" s="164"/>
      <c r="Z931" s="164"/>
      <c r="AA931" s="164"/>
      <c r="AB931" s="164"/>
    </row>
    <row r="932">
      <c r="A932" s="164"/>
      <c r="B932" s="164"/>
      <c r="C932" s="9"/>
      <c r="D932" s="9"/>
      <c r="E932" s="9"/>
      <c r="F932" s="9"/>
      <c r="G932" s="164"/>
      <c r="H932" s="164"/>
      <c r="I932" s="164"/>
      <c r="J932" s="652"/>
      <c r="K932" s="164"/>
      <c r="L932" s="164"/>
      <c r="M932" s="164"/>
      <c r="N932" s="164"/>
      <c r="O932" s="164"/>
      <c r="P932" s="164"/>
      <c r="Q932" s="164"/>
      <c r="R932" s="164"/>
      <c r="S932" s="164"/>
      <c r="T932" s="164"/>
      <c r="U932" s="164"/>
      <c r="V932" s="164"/>
      <c r="W932" s="164"/>
      <c r="X932" s="164"/>
      <c r="Y932" s="164"/>
      <c r="Z932" s="164"/>
      <c r="AA932" s="164"/>
      <c r="AB932" s="164"/>
    </row>
    <row r="933">
      <c r="A933" s="164"/>
      <c r="B933" s="164"/>
      <c r="C933" s="9"/>
      <c r="D933" s="9"/>
      <c r="E933" s="9"/>
      <c r="F933" s="9"/>
      <c r="G933" s="164"/>
      <c r="H933" s="164"/>
      <c r="I933" s="164"/>
      <c r="J933" s="652"/>
      <c r="K933" s="164"/>
      <c r="L933" s="164"/>
      <c r="M933" s="164"/>
      <c r="N933" s="164"/>
      <c r="O933" s="164"/>
      <c r="P933" s="164"/>
      <c r="Q933" s="164"/>
      <c r="R933" s="164"/>
      <c r="S933" s="164"/>
      <c r="T933" s="164"/>
      <c r="U933" s="164"/>
      <c r="V933" s="164"/>
      <c r="W933" s="164"/>
      <c r="X933" s="164"/>
      <c r="Y933" s="164"/>
      <c r="Z933" s="164"/>
      <c r="AA933" s="164"/>
      <c r="AB933" s="164"/>
    </row>
    <row r="934">
      <c r="A934" s="164"/>
      <c r="B934" s="164"/>
      <c r="C934" s="9"/>
      <c r="D934" s="9"/>
      <c r="E934" s="9"/>
      <c r="F934" s="9"/>
      <c r="G934" s="164"/>
      <c r="H934" s="164"/>
      <c r="I934" s="164"/>
      <c r="J934" s="652"/>
      <c r="K934" s="164"/>
      <c r="L934" s="164"/>
      <c r="M934" s="164"/>
      <c r="N934" s="164"/>
      <c r="O934" s="164"/>
      <c r="P934" s="164"/>
      <c r="Q934" s="164"/>
      <c r="R934" s="164"/>
      <c r="S934" s="164"/>
      <c r="T934" s="164"/>
      <c r="U934" s="164"/>
      <c r="V934" s="164"/>
      <c r="W934" s="164"/>
      <c r="X934" s="164"/>
      <c r="Y934" s="164"/>
      <c r="Z934" s="164"/>
      <c r="AA934" s="164"/>
      <c r="AB934" s="164"/>
    </row>
    <row r="935">
      <c r="A935" s="164"/>
      <c r="B935" s="164"/>
      <c r="C935" s="9"/>
      <c r="D935" s="9"/>
      <c r="E935" s="9"/>
      <c r="F935" s="9"/>
      <c r="G935" s="164"/>
      <c r="H935" s="164"/>
      <c r="I935" s="164"/>
      <c r="J935" s="652"/>
      <c r="K935" s="164"/>
      <c r="L935" s="164"/>
      <c r="M935" s="164"/>
      <c r="N935" s="164"/>
      <c r="O935" s="164"/>
      <c r="P935" s="164"/>
      <c r="Q935" s="164"/>
      <c r="R935" s="164"/>
      <c r="S935" s="164"/>
      <c r="T935" s="164"/>
      <c r="U935" s="164"/>
      <c r="V935" s="164"/>
      <c r="W935" s="164"/>
      <c r="X935" s="164"/>
      <c r="Y935" s="164"/>
      <c r="Z935" s="164"/>
      <c r="AA935" s="164"/>
      <c r="AB935" s="164"/>
    </row>
    <row r="936">
      <c r="A936" s="164"/>
      <c r="B936" s="164"/>
      <c r="C936" s="9"/>
      <c r="D936" s="9"/>
      <c r="E936" s="9"/>
      <c r="F936" s="9"/>
      <c r="G936" s="164"/>
      <c r="H936" s="164"/>
      <c r="I936" s="164"/>
      <c r="J936" s="652"/>
      <c r="K936" s="164"/>
      <c r="L936" s="164"/>
      <c r="M936" s="164"/>
      <c r="N936" s="164"/>
      <c r="O936" s="164"/>
      <c r="P936" s="164"/>
      <c r="Q936" s="164"/>
      <c r="R936" s="164"/>
      <c r="S936" s="164"/>
      <c r="T936" s="164"/>
      <c r="U936" s="164"/>
      <c r="V936" s="164"/>
      <c r="W936" s="164"/>
      <c r="X936" s="164"/>
      <c r="Y936" s="164"/>
      <c r="Z936" s="164"/>
      <c r="AA936" s="164"/>
      <c r="AB936" s="164"/>
    </row>
    <row r="937">
      <c r="A937" s="164"/>
      <c r="B937" s="164"/>
      <c r="C937" s="9"/>
      <c r="D937" s="9"/>
      <c r="E937" s="9"/>
      <c r="F937" s="9"/>
      <c r="G937" s="164"/>
      <c r="H937" s="164"/>
      <c r="I937" s="164"/>
      <c r="J937" s="652"/>
      <c r="K937" s="164"/>
      <c r="L937" s="164"/>
      <c r="M937" s="164"/>
      <c r="N937" s="164"/>
      <c r="O937" s="164"/>
      <c r="P937" s="164"/>
      <c r="Q937" s="164"/>
      <c r="R937" s="164"/>
      <c r="S937" s="164"/>
      <c r="T937" s="164"/>
      <c r="U937" s="164"/>
      <c r="V937" s="164"/>
      <c r="W937" s="164"/>
      <c r="X937" s="164"/>
      <c r="Y937" s="164"/>
      <c r="Z937" s="164"/>
      <c r="AA937" s="164"/>
      <c r="AB937" s="164"/>
    </row>
    <row r="938">
      <c r="A938" s="164"/>
      <c r="B938" s="164"/>
      <c r="C938" s="9"/>
      <c r="D938" s="9"/>
      <c r="E938" s="9"/>
      <c r="F938" s="9"/>
      <c r="G938" s="164"/>
      <c r="H938" s="164"/>
      <c r="I938" s="164"/>
      <c r="J938" s="652"/>
      <c r="K938" s="164"/>
      <c r="L938" s="164"/>
      <c r="M938" s="164"/>
      <c r="N938" s="164"/>
      <c r="O938" s="164"/>
      <c r="P938" s="164"/>
      <c r="Q938" s="164"/>
      <c r="R938" s="164"/>
      <c r="S938" s="164"/>
      <c r="T938" s="164"/>
      <c r="U938" s="164"/>
      <c r="V938" s="164"/>
      <c r="W938" s="164"/>
      <c r="X938" s="164"/>
      <c r="Y938" s="164"/>
      <c r="Z938" s="164"/>
      <c r="AA938" s="164"/>
      <c r="AB938" s="164"/>
    </row>
    <row r="939">
      <c r="A939" s="164"/>
      <c r="B939" s="164"/>
      <c r="C939" s="9"/>
      <c r="D939" s="9"/>
      <c r="E939" s="9"/>
      <c r="F939" s="9"/>
      <c r="G939" s="164"/>
      <c r="H939" s="164"/>
      <c r="I939" s="164"/>
      <c r="J939" s="652"/>
      <c r="K939" s="164"/>
      <c r="L939" s="164"/>
      <c r="M939" s="164"/>
      <c r="N939" s="164"/>
      <c r="O939" s="164"/>
      <c r="P939" s="164"/>
      <c r="Q939" s="164"/>
      <c r="R939" s="164"/>
      <c r="S939" s="164"/>
      <c r="T939" s="164"/>
      <c r="U939" s="164"/>
      <c r="V939" s="164"/>
      <c r="W939" s="164"/>
      <c r="X939" s="164"/>
      <c r="Y939" s="164"/>
      <c r="Z939" s="164"/>
      <c r="AA939" s="164"/>
      <c r="AB939" s="164"/>
    </row>
    <row r="940">
      <c r="A940" s="164"/>
      <c r="B940" s="164"/>
      <c r="C940" s="9"/>
      <c r="D940" s="9"/>
      <c r="E940" s="9"/>
      <c r="F940" s="9"/>
      <c r="G940" s="164"/>
      <c r="H940" s="164"/>
      <c r="I940" s="164"/>
      <c r="J940" s="652"/>
      <c r="K940" s="164"/>
      <c r="L940" s="164"/>
      <c r="M940" s="164"/>
      <c r="N940" s="164"/>
      <c r="O940" s="164"/>
      <c r="P940" s="164"/>
      <c r="Q940" s="164"/>
      <c r="R940" s="164"/>
      <c r="S940" s="164"/>
      <c r="T940" s="164"/>
      <c r="U940" s="164"/>
      <c r="V940" s="164"/>
      <c r="W940" s="164"/>
      <c r="X940" s="164"/>
      <c r="Y940" s="164"/>
      <c r="Z940" s="164"/>
      <c r="AA940" s="164"/>
      <c r="AB940" s="164"/>
    </row>
    <row r="941">
      <c r="A941" s="164"/>
      <c r="B941" s="164"/>
      <c r="C941" s="9"/>
      <c r="D941" s="9"/>
      <c r="E941" s="9"/>
      <c r="F941" s="9"/>
      <c r="G941" s="164"/>
      <c r="H941" s="164"/>
      <c r="I941" s="164"/>
      <c r="J941" s="652"/>
      <c r="K941" s="164"/>
      <c r="L941" s="164"/>
      <c r="M941" s="164"/>
      <c r="N941" s="164"/>
      <c r="O941" s="164"/>
      <c r="P941" s="164"/>
      <c r="Q941" s="164"/>
      <c r="R941" s="164"/>
      <c r="S941" s="164"/>
      <c r="T941" s="164"/>
      <c r="U941" s="164"/>
      <c r="V941" s="164"/>
      <c r="W941" s="164"/>
      <c r="X941" s="164"/>
      <c r="Y941" s="164"/>
      <c r="Z941" s="164"/>
      <c r="AA941" s="164"/>
      <c r="AB941" s="164"/>
    </row>
    <row r="942">
      <c r="A942" s="164"/>
      <c r="B942" s="164"/>
      <c r="C942" s="9"/>
      <c r="D942" s="9"/>
      <c r="E942" s="9"/>
      <c r="F942" s="9"/>
      <c r="G942" s="164"/>
      <c r="H942" s="164"/>
      <c r="I942" s="164"/>
      <c r="J942" s="652"/>
      <c r="K942" s="164"/>
      <c r="L942" s="164"/>
      <c r="M942" s="164"/>
      <c r="N942" s="164"/>
      <c r="O942" s="164"/>
      <c r="P942" s="164"/>
      <c r="Q942" s="164"/>
      <c r="R942" s="164"/>
      <c r="S942" s="164"/>
      <c r="T942" s="164"/>
      <c r="U942" s="164"/>
      <c r="V942" s="164"/>
      <c r="W942" s="164"/>
      <c r="X942" s="164"/>
      <c r="Y942" s="164"/>
      <c r="Z942" s="164"/>
      <c r="AA942" s="164"/>
      <c r="AB942" s="164"/>
    </row>
    <row r="943">
      <c r="A943" s="164"/>
      <c r="B943" s="164"/>
      <c r="C943" s="9"/>
      <c r="D943" s="9"/>
      <c r="E943" s="9"/>
      <c r="F943" s="9"/>
      <c r="G943" s="164"/>
      <c r="H943" s="164"/>
      <c r="I943" s="164"/>
      <c r="J943" s="652"/>
      <c r="K943" s="164"/>
      <c r="L943" s="164"/>
      <c r="M943" s="164"/>
      <c r="N943" s="164"/>
      <c r="O943" s="164"/>
      <c r="P943" s="164"/>
      <c r="Q943" s="164"/>
      <c r="R943" s="164"/>
      <c r="S943" s="164"/>
      <c r="T943" s="164"/>
      <c r="U943" s="164"/>
      <c r="V943" s="164"/>
      <c r="W943" s="164"/>
      <c r="X943" s="164"/>
      <c r="Y943" s="164"/>
      <c r="Z943" s="164"/>
      <c r="AA943" s="164"/>
      <c r="AB943" s="164"/>
    </row>
    <row r="944">
      <c r="A944" s="164"/>
      <c r="B944" s="164"/>
      <c r="C944" s="9"/>
      <c r="D944" s="9"/>
      <c r="E944" s="9"/>
      <c r="F944" s="9"/>
      <c r="G944" s="164"/>
      <c r="H944" s="164"/>
      <c r="I944" s="164"/>
      <c r="J944" s="652"/>
      <c r="K944" s="164"/>
      <c r="L944" s="164"/>
      <c r="M944" s="164"/>
      <c r="N944" s="164"/>
      <c r="O944" s="164"/>
      <c r="P944" s="164"/>
      <c r="Q944" s="164"/>
      <c r="R944" s="164"/>
      <c r="S944" s="164"/>
      <c r="T944" s="164"/>
      <c r="U944" s="164"/>
      <c r="V944" s="164"/>
      <c r="W944" s="164"/>
      <c r="X944" s="164"/>
      <c r="Y944" s="164"/>
      <c r="Z944" s="164"/>
      <c r="AA944" s="164"/>
      <c r="AB944" s="164"/>
    </row>
    <row r="945">
      <c r="A945" s="164"/>
      <c r="B945" s="164"/>
      <c r="C945" s="9"/>
      <c r="D945" s="9"/>
      <c r="E945" s="9"/>
      <c r="F945" s="9"/>
      <c r="G945" s="164"/>
      <c r="H945" s="164"/>
      <c r="I945" s="164"/>
      <c r="J945" s="652"/>
      <c r="K945" s="164"/>
      <c r="L945" s="164"/>
      <c r="M945" s="164"/>
      <c r="N945" s="164"/>
      <c r="O945" s="164"/>
      <c r="P945" s="164"/>
      <c r="Q945" s="164"/>
      <c r="R945" s="164"/>
      <c r="S945" s="164"/>
      <c r="T945" s="164"/>
      <c r="U945" s="164"/>
      <c r="V945" s="164"/>
      <c r="W945" s="164"/>
      <c r="X945" s="164"/>
      <c r="Y945" s="164"/>
      <c r="Z945" s="164"/>
      <c r="AA945" s="164"/>
      <c r="AB945" s="164"/>
    </row>
    <row r="946">
      <c r="A946" s="164"/>
      <c r="B946" s="164"/>
      <c r="C946" s="9"/>
      <c r="D946" s="9"/>
      <c r="E946" s="9"/>
      <c r="F946" s="9"/>
      <c r="G946" s="164"/>
      <c r="H946" s="164"/>
      <c r="I946" s="164"/>
      <c r="J946" s="652"/>
      <c r="K946" s="164"/>
      <c r="L946" s="164"/>
      <c r="M946" s="164"/>
      <c r="N946" s="164"/>
      <c r="O946" s="164"/>
      <c r="P946" s="164"/>
      <c r="Q946" s="164"/>
      <c r="R946" s="164"/>
      <c r="S946" s="164"/>
      <c r="T946" s="164"/>
      <c r="U946" s="164"/>
      <c r="V946" s="164"/>
      <c r="W946" s="164"/>
      <c r="X946" s="164"/>
      <c r="Y946" s="164"/>
      <c r="Z946" s="164"/>
      <c r="AA946" s="164"/>
      <c r="AB946" s="164"/>
    </row>
    <row r="947">
      <c r="A947" s="164"/>
      <c r="B947" s="164"/>
      <c r="C947" s="9"/>
      <c r="D947" s="9"/>
      <c r="E947" s="9"/>
      <c r="F947" s="9"/>
      <c r="G947" s="164"/>
      <c r="H947" s="164"/>
      <c r="I947" s="164"/>
      <c r="J947" s="652"/>
      <c r="K947" s="164"/>
      <c r="L947" s="164"/>
      <c r="M947" s="164"/>
      <c r="N947" s="164"/>
      <c r="O947" s="164"/>
      <c r="P947" s="164"/>
      <c r="Q947" s="164"/>
      <c r="R947" s="164"/>
      <c r="S947" s="164"/>
      <c r="T947" s="164"/>
      <c r="U947" s="164"/>
      <c r="V947" s="164"/>
      <c r="W947" s="164"/>
      <c r="X947" s="164"/>
      <c r="Y947" s="164"/>
      <c r="Z947" s="164"/>
      <c r="AA947" s="164"/>
      <c r="AB947" s="164"/>
    </row>
    <row r="948">
      <c r="A948" s="164"/>
      <c r="B948" s="164"/>
      <c r="C948" s="9"/>
      <c r="D948" s="9"/>
      <c r="E948" s="9"/>
      <c r="F948" s="9"/>
      <c r="G948" s="164"/>
      <c r="H948" s="164"/>
      <c r="I948" s="164"/>
      <c r="J948" s="652"/>
      <c r="K948" s="164"/>
      <c r="L948" s="164"/>
      <c r="M948" s="164"/>
      <c r="N948" s="164"/>
      <c r="O948" s="164"/>
      <c r="P948" s="164"/>
      <c r="Q948" s="164"/>
      <c r="R948" s="164"/>
      <c r="S948" s="164"/>
      <c r="T948" s="164"/>
      <c r="U948" s="164"/>
      <c r="V948" s="164"/>
      <c r="W948" s="164"/>
      <c r="X948" s="164"/>
      <c r="Y948" s="164"/>
      <c r="Z948" s="164"/>
      <c r="AA948" s="164"/>
      <c r="AB948" s="164"/>
    </row>
    <row r="949">
      <c r="A949" s="164"/>
      <c r="B949" s="164"/>
      <c r="C949" s="9"/>
      <c r="D949" s="9"/>
      <c r="E949" s="9"/>
      <c r="F949" s="9"/>
      <c r="G949" s="164"/>
      <c r="H949" s="164"/>
      <c r="I949" s="164"/>
      <c r="J949" s="652"/>
      <c r="K949" s="164"/>
      <c r="L949" s="164"/>
      <c r="M949" s="164"/>
      <c r="N949" s="164"/>
      <c r="O949" s="164"/>
      <c r="P949" s="164"/>
      <c r="Q949" s="164"/>
      <c r="R949" s="164"/>
      <c r="S949" s="164"/>
      <c r="T949" s="164"/>
      <c r="U949" s="164"/>
      <c r="V949" s="164"/>
      <c r="W949" s="164"/>
      <c r="X949" s="164"/>
      <c r="Y949" s="164"/>
      <c r="Z949" s="164"/>
      <c r="AA949" s="164"/>
      <c r="AB949" s="164"/>
    </row>
    <row r="950">
      <c r="A950" s="164"/>
      <c r="B950" s="164"/>
      <c r="C950" s="9"/>
      <c r="D950" s="9"/>
      <c r="E950" s="9"/>
      <c r="F950" s="9"/>
      <c r="G950" s="164"/>
      <c r="H950" s="164"/>
      <c r="I950" s="164"/>
      <c r="J950" s="652"/>
      <c r="K950" s="164"/>
      <c r="L950" s="164"/>
      <c r="M950" s="164"/>
      <c r="N950" s="164"/>
      <c r="O950" s="164"/>
      <c r="P950" s="164"/>
      <c r="Q950" s="164"/>
      <c r="R950" s="164"/>
      <c r="S950" s="164"/>
      <c r="T950" s="164"/>
      <c r="U950" s="164"/>
      <c r="V950" s="164"/>
      <c r="W950" s="164"/>
      <c r="X950" s="164"/>
      <c r="Y950" s="164"/>
      <c r="Z950" s="164"/>
      <c r="AA950" s="164"/>
      <c r="AB950" s="164"/>
    </row>
    <row r="951">
      <c r="A951" s="164"/>
      <c r="B951" s="164"/>
      <c r="C951" s="9"/>
      <c r="D951" s="9"/>
      <c r="E951" s="9"/>
      <c r="F951" s="9"/>
      <c r="G951" s="164"/>
      <c r="H951" s="164"/>
      <c r="I951" s="164"/>
      <c r="J951" s="652"/>
      <c r="K951" s="164"/>
      <c r="L951" s="164"/>
      <c r="M951" s="164"/>
      <c r="N951" s="164"/>
      <c r="O951" s="164"/>
      <c r="P951" s="164"/>
      <c r="Q951" s="164"/>
      <c r="R951" s="164"/>
      <c r="S951" s="164"/>
      <c r="T951" s="164"/>
      <c r="U951" s="164"/>
      <c r="V951" s="164"/>
      <c r="W951" s="164"/>
      <c r="X951" s="164"/>
      <c r="Y951" s="164"/>
      <c r="Z951" s="164"/>
      <c r="AA951" s="164"/>
      <c r="AB951" s="164"/>
    </row>
    <row r="952">
      <c r="A952" s="164"/>
      <c r="B952" s="164"/>
      <c r="C952" s="9"/>
      <c r="D952" s="9"/>
      <c r="E952" s="9"/>
      <c r="F952" s="9"/>
      <c r="G952" s="164"/>
      <c r="H952" s="164"/>
      <c r="I952" s="164"/>
      <c r="J952" s="652"/>
      <c r="K952" s="164"/>
      <c r="L952" s="164"/>
      <c r="M952" s="164"/>
      <c r="N952" s="164"/>
      <c r="O952" s="164"/>
      <c r="P952" s="164"/>
      <c r="Q952" s="164"/>
      <c r="R952" s="164"/>
      <c r="S952" s="164"/>
      <c r="T952" s="164"/>
      <c r="U952" s="164"/>
      <c r="V952" s="164"/>
      <c r="W952" s="164"/>
      <c r="X952" s="164"/>
      <c r="Y952" s="164"/>
      <c r="Z952" s="164"/>
      <c r="AA952" s="164"/>
      <c r="AB952" s="164"/>
    </row>
    <row r="953">
      <c r="A953" s="164"/>
      <c r="B953" s="164"/>
      <c r="C953" s="9"/>
      <c r="D953" s="9"/>
      <c r="E953" s="9"/>
      <c r="F953" s="9"/>
      <c r="G953" s="164"/>
      <c r="H953" s="164"/>
      <c r="I953" s="164"/>
      <c r="J953" s="652"/>
      <c r="K953" s="164"/>
      <c r="L953" s="164"/>
      <c r="M953" s="164"/>
      <c r="N953" s="164"/>
      <c r="O953" s="164"/>
      <c r="P953" s="164"/>
      <c r="Q953" s="164"/>
      <c r="R953" s="164"/>
      <c r="S953" s="164"/>
      <c r="T953" s="164"/>
      <c r="U953" s="164"/>
      <c r="V953" s="164"/>
      <c r="W953" s="164"/>
      <c r="X953" s="164"/>
      <c r="Y953" s="164"/>
      <c r="Z953" s="164"/>
      <c r="AA953" s="164"/>
      <c r="AB953" s="164"/>
    </row>
    <row r="954">
      <c r="A954" s="164"/>
      <c r="B954" s="164"/>
      <c r="C954" s="9"/>
      <c r="D954" s="9"/>
      <c r="E954" s="9"/>
      <c r="F954" s="9"/>
      <c r="G954" s="164"/>
      <c r="H954" s="164"/>
      <c r="I954" s="164"/>
      <c r="J954" s="652"/>
      <c r="K954" s="164"/>
      <c r="L954" s="164"/>
      <c r="M954" s="164"/>
      <c r="N954" s="164"/>
      <c r="O954" s="164"/>
      <c r="P954" s="164"/>
      <c r="Q954" s="164"/>
      <c r="R954" s="164"/>
      <c r="S954" s="164"/>
      <c r="T954" s="164"/>
      <c r="U954" s="164"/>
      <c r="V954" s="164"/>
      <c r="W954" s="164"/>
      <c r="X954" s="164"/>
      <c r="Y954" s="164"/>
      <c r="Z954" s="164"/>
      <c r="AA954" s="164"/>
      <c r="AB954" s="164"/>
    </row>
    <row r="955">
      <c r="A955" s="164"/>
      <c r="B955" s="164"/>
      <c r="C955" s="9"/>
      <c r="D955" s="9"/>
      <c r="E955" s="9"/>
      <c r="F955" s="9"/>
      <c r="G955" s="164"/>
      <c r="H955" s="164"/>
      <c r="I955" s="164"/>
      <c r="J955" s="652"/>
      <c r="K955" s="164"/>
      <c r="L955" s="164"/>
      <c r="M955" s="164"/>
      <c r="N955" s="164"/>
      <c r="O955" s="164"/>
      <c r="P955" s="164"/>
      <c r="Q955" s="164"/>
      <c r="R955" s="164"/>
      <c r="S955" s="164"/>
      <c r="T955" s="164"/>
      <c r="U955" s="164"/>
      <c r="V955" s="164"/>
      <c r="W955" s="164"/>
      <c r="X955" s="164"/>
      <c r="Y955" s="164"/>
      <c r="Z955" s="164"/>
      <c r="AA955" s="164"/>
      <c r="AB955" s="164"/>
    </row>
  </sheetData>
  <mergeCells count="20">
    <mergeCell ref="A2:A7"/>
    <mergeCell ref="A8:A15"/>
    <mergeCell ref="A18:A25"/>
    <mergeCell ref="A28:A35"/>
    <mergeCell ref="A38:A45"/>
    <mergeCell ref="A48:A55"/>
    <mergeCell ref="A58:A65"/>
    <mergeCell ref="A136:A143"/>
    <mergeCell ref="A146:A153"/>
    <mergeCell ref="L148:L149"/>
    <mergeCell ref="M148:M149"/>
    <mergeCell ref="A156:A163"/>
    <mergeCell ref="A165:A172"/>
    <mergeCell ref="A68:A75"/>
    <mergeCell ref="A78:A85"/>
    <mergeCell ref="A88:A95"/>
    <mergeCell ref="A98:A105"/>
    <mergeCell ref="A107:A114"/>
    <mergeCell ref="A116:A123"/>
    <mergeCell ref="A126:A133"/>
  </mergeCells>
  <drawing r:id="rId2"/>
  <legacyDrawing r:id="rId3"/>
  <tableParts count="30">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9AA1F"/>
    <outlinePr summaryBelow="0" summaryRight="0"/>
    <pageSetUpPr/>
  </sheetPr>
  <sheetViews>
    <sheetView workbookViewId="0">
      <pane ySplit="7.0" topLeftCell="A8" activePane="bottomLeft" state="frozen"/>
      <selection activeCell="B9" sqref="B9" pane="bottomLeft"/>
    </sheetView>
  </sheetViews>
  <sheetFormatPr customHeight="1" defaultColWidth="12.63" defaultRowHeight="15.0"/>
  <cols>
    <col customWidth="1" min="1" max="1" width="19.5"/>
    <col customWidth="1" min="2" max="2" width="18.25"/>
    <col customWidth="1" min="3" max="3" width="8.88"/>
    <col customWidth="1" min="4" max="4" width="10.0"/>
    <col customWidth="1" min="5" max="6" width="8.88"/>
    <col customWidth="1" min="7" max="7" width="21.5"/>
    <col customWidth="1" min="8" max="8" width="27.38"/>
    <col customWidth="1" min="9" max="9" width="13.88"/>
    <col customWidth="1" min="10" max="10" width="19.88"/>
    <col customWidth="1" min="11" max="11" width="33.63"/>
    <col customWidth="1" min="12" max="12" width="25.0"/>
    <col customWidth="1" min="13" max="13" width="17.63"/>
    <col customWidth="1" min="14" max="14" width="16.13"/>
    <col customWidth="1" min="15" max="15" width="13.5"/>
    <col customWidth="1" min="16" max="20" width="12.63"/>
  </cols>
  <sheetData>
    <row r="1" ht="81.75" customHeight="1">
      <c r="A1" s="730"/>
      <c r="B1" s="730" t="s">
        <v>833</v>
      </c>
      <c r="C1" s="731" t="s">
        <v>834</v>
      </c>
      <c r="D1" s="731" t="s">
        <v>835</v>
      </c>
      <c r="E1" s="478" t="s">
        <v>836</v>
      </c>
      <c r="F1" s="478" t="s">
        <v>837</v>
      </c>
      <c r="G1" s="730" t="s">
        <v>838</v>
      </c>
      <c r="H1" s="732" t="s">
        <v>724</v>
      </c>
      <c r="I1" s="732"/>
      <c r="J1" s="733" t="s">
        <v>839</v>
      </c>
      <c r="K1" s="732" t="s">
        <v>840</v>
      </c>
      <c r="L1" s="732" t="s">
        <v>841</v>
      </c>
      <c r="M1" s="734"/>
      <c r="N1" s="734"/>
      <c r="O1" s="734"/>
      <c r="P1" s="734"/>
      <c r="Q1" s="734"/>
      <c r="R1" s="734"/>
      <c r="S1" s="734"/>
      <c r="T1" s="734"/>
      <c r="U1" s="466"/>
      <c r="V1" s="466"/>
      <c r="W1" s="466"/>
      <c r="X1" s="466"/>
      <c r="Y1" s="466"/>
      <c r="Z1" s="466"/>
      <c r="AA1" s="466"/>
      <c r="AB1" s="466"/>
      <c r="AC1" s="466"/>
      <c r="AD1" s="466"/>
    </row>
    <row r="2" ht="15.75" customHeight="1">
      <c r="A2" s="735" t="s">
        <v>842</v>
      </c>
      <c r="B2" s="41"/>
      <c r="C2" s="633"/>
      <c r="D2" s="633"/>
      <c r="E2" s="633"/>
      <c r="F2" s="633"/>
      <c r="G2" s="41"/>
      <c r="H2" s="22"/>
      <c r="I2" s="736"/>
      <c r="J2" s="737"/>
      <c r="K2" s="738"/>
      <c r="L2" s="488" t="s">
        <v>843</v>
      </c>
      <c r="M2" s="381"/>
      <c r="N2" s="381"/>
      <c r="O2" s="381"/>
      <c r="P2" s="381"/>
      <c r="Q2" s="381"/>
      <c r="R2" s="381"/>
      <c r="S2" s="381"/>
      <c r="T2" s="381"/>
      <c r="U2" s="381"/>
      <c r="V2" s="381"/>
      <c r="W2" s="381"/>
      <c r="X2" s="381"/>
      <c r="Y2" s="381"/>
      <c r="Z2" s="381"/>
      <c r="AA2" s="381"/>
      <c r="AB2" s="381"/>
      <c r="AC2" s="381"/>
      <c r="AD2" s="381"/>
    </row>
    <row r="3" ht="15.75" customHeight="1">
      <c r="A3" s="457"/>
      <c r="B3" s="41"/>
      <c r="C3" s="633"/>
      <c r="D3" s="633"/>
      <c r="E3" s="633"/>
      <c r="F3" s="633"/>
      <c r="G3" s="41"/>
      <c r="H3" s="22"/>
      <c r="I3" s="736"/>
      <c r="J3" s="737"/>
      <c r="K3" s="738"/>
      <c r="L3" s="489" t="s">
        <v>844</v>
      </c>
      <c r="M3" s="381"/>
      <c r="N3" s="381"/>
      <c r="O3" s="381"/>
      <c r="P3" s="381"/>
      <c r="Q3" s="381"/>
      <c r="R3" s="381"/>
      <c r="S3" s="381"/>
      <c r="T3" s="381"/>
      <c r="U3" s="381"/>
      <c r="V3" s="381"/>
      <c r="W3" s="381"/>
      <c r="X3" s="381"/>
      <c r="Y3" s="381"/>
      <c r="Z3" s="381"/>
      <c r="AA3" s="381"/>
      <c r="AB3" s="381"/>
      <c r="AC3" s="381"/>
      <c r="AD3" s="381"/>
    </row>
    <row r="4" ht="15.75" customHeight="1">
      <c r="A4" s="457"/>
      <c r="B4" s="41"/>
      <c r="C4" s="633"/>
      <c r="D4" s="633"/>
      <c r="E4" s="633"/>
      <c r="F4" s="633"/>
      <c r="G4" s="41"/>
      <c r="H4" s="22"/>
      <c r="I4" s="736"/>
      <c r="J4" s="737"/>
      <c r="K4" s="738"/>
      <c r="L4" s="490" t="s">
        <v>845</v>
      </c>
      <c r="M4" s="381"/>
      <c r="N4" s="381"/>
      <c r="O4" s="381"/>
      <c r="P4" s="381"/>
      <c r="Q4" s="381"/>
      <c r="R4" s="381"/>
      <c r="S4" s="381"/>
      <c r="T4" s="381"/>
      <c r="U4" s="381"/>
      <c r="V4" s="381"/>
      <c r="W4" s="381"/>
      <c r="X4" s="381"/>
      <c r="Y4" s="381"/>
      <c r="Z4" s="381"/>
      <c r="AA4" s="381"/>
      <c r="AB4" s="381"/>
      <c r="AC4" s="381"/>
      <c r="AD4" s="381"/>
    </row>
    <row r="5" ht="15.75" customHeight="1">
      <c r="A5" s="457"/>
      <c r="B5" s="41"/>
      <c r="C5" s="633"/>
      <c r="D5" s="633"/>
      <c r="E5" s="633"/>
      <c r="F5" s="633"/>
      <c r="G5" s="41"/>
      <c r="H5" s="22"/>
      <c r="I5" s="736"/>
      <c r="J5" s="737"/>
      <c r="K5" s="738"/>
      <c r="L5" s="491" t="s">
        <v>846</v>
      </c>
      <c r="M5" s="381"/>
      <c r="N5" s="381"/>
      <c r="O5" s="381"/>
      <c r="P5" s="381"/>
      <c r="Q5" s="381"/>
      <c r="R5" s="381"/>
      <c r="S5" s="381"/>
      <c r="T5" s="381"/>
      <c r="U5" s="381"/>
      <c r="V5" s="381"/>
      <c r="W5" s="381"/>
      <c r="X5" s="381"/>
      <c r="Y5" s="381"/>
      <c r="Z5" s="381"/>
      <c r="AA5" s="381"/>
      <c r="AB5" s="381"/>
      <c r="AC5" s="381"/>
      <c r="AD5" s="381"/>
    </row>
    <row r="6" ht="15.75" customHeight="1">
      <c r="A6" s="457"/>
      <c r="B6" s="41"/>
      <c r="C6" s="633"/>
      <c r="D6" s="633"/>
      <c r="E6" s="633"/>
      <c r="F6" s="633"/>
      <c r="G6" s="41"/>
      <c r="H6" s="22"/>
      <c r="I6" s="736"/>
      <c r="J6" s="737"/>
      <c r="K6" s="738"/>
      <c r="L6" s="493" t="s">
        <v>847</v>
      </c>
      <c r="M6" s="381"/>
      <c r="N6" s="381"/>
      <c r="O6" s="381"/>
      <c r="P6" s="381"/>
      <c r="Q6" s="381"/>
      <c r="R6" s="381"/>
      <c r="S6" s="381"/>
      <c r="T6" s="381"/>
      <c r="U6" s="381"/>
      <c r="V6" s="381"/>
      <c r="W6" s="381"/>
      <c r="X6" s="381"/>
      <c r="Y6" s="381"/>
      <c r="Z6" s="381"/>
      <c r="AA6" s="381"/>
      <c r="AB6" s="381"/>
      <c r="AC6" s="381"/>
      <c r="AD6" s="381"/>
    </row>
    <row r="7" ht="15.75" customHeight="1">
      <c r="A7" s="430"/>
      <c r="B7" s="41"/>
      <c r="C7" s="633"/>
      <c r="D7" s="633"/>
      <c r="E7" s="633"/>
      <c r="F7" s="633"/>
      <c r="G7" s="41"/>
      <c r="H7" s="22"/>
      <c r="I7" s="736"/>
      <c r="J7" s="737"/>
      <c r="K7" s="738"/>
      <c r="L7" s="496" t="s">
        <v>848</v>
      </c>
      <c r="M7" s="381"/>
      <c r="N7" s="381"/>
      <c r="O7" s="381"/>
      <c r="P7" s="381"/>
      <c r="Q7" s="381"/>
      <c r="R7" s="381"/>
      <c r="S7" s="381"/>
      <c r="T7" s="381"/>
      <c r="U7" s="381"/>
      <c r="V7" s="381"/>
      <c r="W7" s="381"/>
      <c r="X7" s="381"/>
      <c r="Y7" s="381"/>
      <c r="Z7" s="381"/>
      <c r="AA7" s="381"/>
      <c r="AB7" s="381"/>
      <c r="AC7" s="381"/>
      <c r="AD7" s="381"/>
    </row>
    <row r="8" ht="15.75" customHeight="1">
      <c r="A8" s="735" t="s">
        <v>1491</v>
      </c>
      <c r="B8" s="19" t="s">
        <v>59</v>
      </c>
      <c r="C8" s="708" t="s">
        <v>851</v>
      </c>
      <c r="D8" s="739"/>
      <c r="E8" s="740"/>
      <c r="F8" s="740"/>
      <c r="G8" s="741" t="s">
        <v>1492</v>
      </c>
      <c r="H8" s="741" t="s">
        <v>1493</v>
      </c>
      <c r="I8" s="742"/>
      <c r="J8" s="743">
        <v>44966.0</v>
      </c>
      <c r="K8" s="744" t="s">
        <v>1494</v>
      </c>
      <c r="L8" s="745" t="s">
        <v>1495</v>
      </c>
      <c r="M8" s="746" t="s">
        <v>1496</v>
      </c>
      <c r="N8" s="680" t="s">
        <v>1497</v>
      </c>
      <c r="O8" s="381"/>
      <c r="P8" s="381"/>
      <c r="Q8" s="381"/>
      <c r="R8" s="381"/>
      <c r="S8" s="381"/>
      <c r="T8" s="381"/>
      <c r="U8" s="381"/>
      <c r="V8" s="381"/>
      <c r="W8" s="381"/>
      <c r="X8" s="381"/>
      <c r="Y8" s="381"/>
      <c r="Z8" s="381"/>
      <c r="AA8" s="381"/>
      <c r="AB8" s="381"/>
      <c r="AC8" s="381"/>
      <c r="AD8" s="381"/>
    </row>
    <row r="9" ht="15.75" customHeight="1">
      <c r="A9" s="457"/>
      <c r="B9" s="19" t="s">
        <v>77</v>
      </c>
      <c r="C9" s="119" t="s">
        <v>851</v>
      </c>
      <c r="D9" s="747"/>
      <c r="E9" s="748"/>
      <c r="F9" s="748"/>
      <c r="G9" s="749" t="s">
        <v>1498</v>
      </c>
      <c r="H9" s="668" t="s">
        <v>1499</v>
      </c>
      <c r="I9" s="742"/>
      <c r="J9" s="743">
        <v>45016.0</v>
      </c>
      <c r="K9" s="744"/>
      <c r="L9" s="750" t="s">
        <v>1500</v>
      </c>
      <c r="M9" s="716" t="s">
        <v>1501</v>
      </c>
      <c r="N9" s="704"/>
      <c r="O9" s="381"/>
      <c r="P9" s="381"/>
      <c r="Q9" s="381"/>
      <c r="R9" s="381"/>
      <c r="S9" s="381"/>
      <c r="T9" s="381"/>
      <c r="U9" s="381"/>
      <c r="V9" s="381"/>
      <c r="W9" s="381"/>
      <c r="X9" s="381"/>
      <c r="Y9" s="381"/>
      <c r="Z9" s="381"/>
      <c r="AA9" s="381"/>
      <c r="AB9" s="381"/>
      <c r="AC9" s="381"/>
      <c r="AD9" s="381"/>
    </row>
    <row r="10" ht="15.75" customHeight="1">
      <c r="A10" s="457"/>
      <c r="B10" s="41" t="s">
        <v>95</v>
      </c>
      <c r="C10" s="18" t="s">
        <v>851</v>
      </c>
      <c r="D10" s="562"/>
      <c r="E10" s="562"/>
      <c r="F10" s="562"/>
      <c r="G10" s="41" t="s">
        <v>1502</v>
      </c>
      <c r="H10" s="22" t="s">
        <v>1503</v>
      </c>
      <c r="I10" s="751" t="s">
        <v>1504</v>
      </c>
      <c r="J10" s="752">
        <v>44749.0</v>
      </c>
      <c r="K10" s="753"/>
      <c r="L10" s="754"/>
      <c r="M10" s="755" t="s">
        <v>1505</v>
      </c>
      <c r="N10" s="704"/>
      <c r="O10" s="381"/>
      <c r="P10" s="381"/>
      <c r="Q10" s="381"/>
      <c r="R10" s="381"/>
      <c r="S10" s="381"/>
      <c r="T10" s="381"/>
      <c r="U10" s="381"/>
      <c r="V10" s="381"/>
      <c r="W10" s="381"/>
      <c r="X10" s="381"/>
      <c r="Y10" s="381"/>
      <c r="Z10" s="381"/>
      <c r="AA10" s="381"/>
      <c r="AB10" s="381"/>
      <c r="AC10" s="381"/>
      <c r="AD10" s="381"/>
    </row>
    <row r="11" ht="15.75" customHeight="1">
      <c r="A11" s="457"/>
      <c r="B11" s="41" t="s">
        <v>113</v>
      </c>
      <c r="C11" s="312" t="s">
        <v>851</v>
      </c>
      <c r="D11" s="312" t="s">
        <v>1506</v>
      </c>
      <c r="E11" s="756"/>
      <c r="F11" s="756"/>
      <c r="G11" s="23" t="s">
        <v>1507</v>
      </c>
      <c r="H11" s="22" t="s">
        <v>1508</v>
      </c>
      <c r="I11" s="751" t="s">
        <v>1504</v>
      </c>
      <c r="J11" s="757">
        <v>44747.0</v>
      </c>
      <c r="K11" s="753"/>
      <c r="L11" s="758"/>
      <c r="M11" s="759"/>
      <c r="N11" s="704"/>
      <c r="O11" s="381"/>
      <c r="P11" s="381"/>
      <c r="Q11" s="381"/>
      <c r="R11" s="381"/>
      <c r="S11" s="381"/>
      <c r="T11" s="381"/>
      <c r="U11" s="381"/>
      <c r="V11" s="381"/>
      <c r="W11" s="381"/>
      <c r="X11" s="381"/>
      <c r="Y11" s="381"/>
      <c r="Z11" s="381"/>
      <c r="AA11" s="381"/>
      <c r="AB11" s="381"/>
      <c r="AC11" s="381"/>
      <c r="AD11" s="381"/>
    </row>
    <row r="12" ht="15.75" customHeight="1">
      <c r="A12" s="457"/>
      <c r="B12" s="741" t="s">
        <v>131</v>
      </c>
      <c r="C12" s="312" t="s">
        <v>851</v>
      </c>
      <c r="D12" s="445"/>
      <c r="E12" s="445"/>
      <c r="F12" s="445"/>
      <c r="G12" s="406" t="s">
        <v>826</v>
      </c>
      <c r="H12" s="406" t="s">
        <v>827</v>
      </c>
      <c r="I12" s="760"/>
      <c r="J12" s="761">
        <v>45383.0</v>
      </c>
      <c r="K12" s="762"/>
      <c r="L12" s="623" t="s">
        <v>1509</v>
      </c>
      <c r="M12" s="716" t="s">
        <v>1510</v>
      </c>
      <c r="N12" s="704"/>
      <c r="O12" s="381"/>
      <c r="P12" s="381"/>
      <c r="Q12" s="381"/>
      <c r="R12" s="381"/>
      <c r="S12" s="381"/>
      <c r="T12" s="381"/>
      <c r="U12" s="381"/>
      <c r="V12" s="381"/>
      <c r="W12" s="381"/>
      <c r="X12" s="381"/>
      <c r="Y12" s="381"/>
      <c r="Z12" s="381"/>
      <c r="AA12" s="381"/>
      <c r="AB12" s="381"/>
      <c r="AC12" s="381"/>
      <c r="AD12" s="381"/>
    </row>
    <row r="13" ht="15.75" customHeight="1">
      <c r="A13" s="457"/>
      <c r="B13" s="763" t="s">
        <v>148</v>
      </c>
      <c r="C13" s="312" t="s">
        <v>851</v>
      </c>
      <c r="D13" s="764"/>
      <c r="E13" s="764"/>
      <c r="F13" s="717"/>
      <c r="G13" s="369" t="s">
        <v>1511</v>
      </c>
      <c r="H13" s="599" t="s">
        <v>1512</v>
      </c>
      <c r="I13" s="765"/>
      <c r="J13" s="737">
        <v>45663.0</v>
      </c>
      <c r="K13" s="766"/>
      <c r="L13" s="745" t="s">
        <v>1513</v>
      </c>
      <c r="M13" s="660" t="s">
        <v>1109</v>
      </c>
      <c r="N13" s="350"/>
      <c r="O13" s="381"/>
      <c r="P13" s="381"/>
      <c r="Q13" s="381"/>
      <c r="R13" s="381"/>
      <c r="S13" s="381"/>
      <c r="T13" s="381"/>
      <c r="U13" s="381"/>
      <c r="V13" s="381"/>
      <c r="W13" s="381"/>
      <c r="X13" s="381"/>
      <c r="Y13" s="381"/>
      <c r="Z13" s="381"/>
      <c r="AA13" s="381"/>
      <c r="AB13" s="381"/>
      <c r="AC13" s="381"/>
      <c r="AD13" s="381"/>
    </row>
    <row r="14" ht="15.75" customHeight="1">
      <c r="A14" s="457"/>
      <c r="B14" s="767" t="s">
        <v>161</v>
      </c>
      <c r="C14" s="406" t="s">
        <v>861</v>
      </c>
      <c r="D14" s="764"/>
      <c r="E14" s="764"/>
      <c r="F14" s="717"/>
      <c r="G14" s="369" t="s">
        <v>897</v>
      </c>
      <c r="H14" s="599" t="s">
        <v>898</v>
      </c>
      <c r="I14" s="765"/>
      <c r="J14" s="737">
        <v>44985.0</v>
      </c>
      <c r="K14" s="766"/>
      <c r="L14" s="745" t="s">
        <v>1514</v>
      </c>
      <c r="M14" s="489" t="s">
        <v>1515</v>
      </c>
      <c r="N14" s="350"/>
      <c r="O14" s="381"/>
      <c r="P14" s="381"/>
      <c r="Q14" s="381"/>
      <c r="R14" s="381"/>
      <c r="S14" s="381"/>
      <c r="T14" s="381"/>
      <c r="U14" s="381"/>
      <c r="V14" s="381"/>
      <c r="W14" s="381"/>
      <c r="X14" s="381"/>
      <c r="Y14" s="381"/>
      <c r="Z14" s="381"/>
      <c r="AA14" s="381"/>
      <c r="AB14" s="381"/>
      <c r="AC14" s="381"/>
      <c r="AD14" s="381"/>
    </row>
    <row r="15" ht="15.75" customHeight="1">
      <c r="A15" s="430"/>
      <c r="B15" s="18" t="s">
        <v>1516</v>
      </c>
      <c r="C15" s="41" t="s">
        <v>851</v>
      </c>
      <c r="D15" s="768"/>
      <c r="E15" s="768"/>
      <c r="F15" s="768"/>
      <c r="G15" s="749" t="s">
        <v>1517</v>
      </c>
      <c r="H15" s="697" t="s">
        <v>1518</v>
      </c>
      <c r="I15" s="769"/>
      <c r="J15" s="764">
        <v>45307.0</v>
      </c>
      <c r="K15" s="770"/>
      <c r="L15" s="602" t="s">
        <v>1519</v>
      </c>
      <c r="M15" s="759"/>
      <c r="N15" s="350"/>
      <c r="O15" s="381"/>
      <c r="P15" s="381"/>
      <c r="Q15" s="381"/>
      <c r="R15" s="381"/>
      <c r="S15" s="381"/>
      <c r="T15" s="381"/>
      <c r="U15" s="381"/>
      <c r="V15" s="381"/>
      <c r="W15" s="381"/>
      <c r="X15" s="381"/>
      <c r="Y15" s="381"/>
      <c r="Z15" s="381"/>
      <c r="AA15" s="381"/>
      <c r="AB15" s="381"/>
      <c r="AC15" s="381"/>
      <c r="AD15" s="381"/>
    </row>
    <row r="16" ht="15.75" customHeight="1">
      <c r="A16" s="164"/>
      <c r="B16" s="763"/>
      <c r="C16" s="771"/>
      <c r="D16" s="772"/>
      <c r="E16" s="773"/>
      <c r="F16" s="773"/>
      <c r="G16" s="774"/>
      <c r="H16" s="775"/>
      <c r="I16" s="776"/>
      <c r="J16" s="777"/>
      <c r="K16" s="164"/>
      <c r="L16" s="164"/>
      <c r="M16" s="164"/>
      <c r="N16" s="164"/>
      <c r="O16" s="164"/>
      <c r="P16" s="164"/>
      <c r="Q16" s="164"/>
      <c r="R16" s="164"/>
      <c r="S16" s="164"/>
      <c r="T16" s="164"/>
      <c r="U16" s="164"/>
      <c r="V16" s="164"/>
      <c r="W16" s="164"/>
      <c r="X16" s="164"/>
      <c r="Y16" s="164"/>
      <c r="Z16" s="164"/>
      <c r="AA16" s="164"/>
      <c r="AB16" s="164"/>
      <c r="AC16" s="164"/>
      <c r="AD16" s="164"/>
    </row>
    <row r="17" ht="15.75" customHeight="1">
      <c r="A17" s="164"/>
      <c r="B17" s="774"/>
      <c r="C17" s="772"/>
      <c r="D17" s="772"/>
      <c r="E17" s="773"/>
      <c r="F17" s="773"/>
      <c r="G17" s="774"/>
      <c r="H17" s="778"/>
      <c r="I17" s="776"/>
      <c r="J17" s="777"/>
      <c r="K17" s="164"/>
      <c r="L17" s="164"/>
      <c r="M17" s="164"/>
      <c r="N17" s="164"/>
      <c r="O17" s="164"/>
      <c r="P17" s="164"/>
      <c r="Q17" s="164"/>
      <c r="R17" s="164"/>
      <c r="S17" s="164"/>
      <c r="T17" s="164"/>
      <c r="U17" s="164"/>
      <c r="V17" s="164"/>
      <c r="W17" s="164"/>
      <c r="X17" s="164"/>
      <c r="Y17" s="164"/>
      <c r="Z17" s="164"/>
      <c r="AA17" s="164"/>
      <c r="AB17" s="164"/>
      <c r="AC17" s="164"/>
      <c r="AD17" s="164"/>
    </row>
    <row r="18" ht="15.75" customHeight="1">
      <c r="A18" s="735" t="s">
        <v>1520</v>
      </c>
      <c r="B18" s="767" t="s">
        <v>60</v>
      </c>
      <c r="C18" s="744" t="s">
        <v>861</v>
      </c>
      <c r="D18" s="779"/>
      <c r="E18" s="779"/>
      <c r="F18" s="779"/>
      <c r="G18" s="744" t="s">
        <v>1521</v>
      </c>
      <c r="H18" s="780" t="s">
        <v>1522</v>
      </c>
      <c r="I18" s="751"/>
      <c r="J18" s="761">
        <v>44956.0</v>
      </c>
      <c r="K18" s="710"/>
      <c r="L18" s="489" t="s">
        <v>1523</v>
      </c>
      <c r="M18" s="728" t="s">
        <v>1524</v>
      </c>
      <c r="N18" s="781"/>
      <c r="O18" s="381"/>
      <c r="P18" s="381"/>
      <c r="Q18" s="381"/>
      <c r="R18" s="381"/>
      <c r="S18" s="381"/>
      <c r="T18" s="381"/>
      <c r="U18" s="381"/>
      <c r="V18" s="381"/>
      <c r="W18" s="381"/>
      <c r="X18" s="381"/>
      <c r="Y18" s="381"/>
      <c r="Z18" s="381"/>
      <c r="AA18" s="381"/>
      <c r="AB18" s="381"/>
      <c r="AC18" s="381"/>
      <c r="AD18" s="381"/>
    </row>
    <row r="19" ht="15.75" customHeight="1">
      <c r="A19" s="457"/>
      <c r="B19" s="767" t="s">
        <v>78</v>
      </c>
      <c r="C19" s="744" t="s">
        <v>861</v>
      </c>
      <c r="D19" s="782"/>
      <c r="E19" s="782"/>
      <c r="F19" s="782"/>
      <c r="G19" s="744" t="s">
        <v>1525</v>
      </c>
      <c r="H19" s="25" t="s">
        <v>1526</v>
      </c>
      <c r="I19" s="751"/>
      <c r="J19" s="761">
        <v>45100.0</v>
      </c>
      <c r="K19" s="710"/>
      <c r="L19" s="745" t="s">
        <v>1527</v>
      </c>
      <c r="M19" s="783" t="s">
        <v>1528</v>
      </c>
      <c r="N19" s="784"/>
      <c r="O19" s="381"/>
      <c r="P19" s="381"/>
      <c r="Q19" s="381"/>
      <c r="R19" s="381"/>
      <c r="S19" s="381"/>
      <c r="T19" s="381"/>
      <c r="U19" s="381"/>
      <c r="V19" s="381"/>
      <c r="W19" s="381"/>
      <c r="X19" s="381"/>
      <c r="Y19" s="381"/>
      <c r="Z19" s="381"/>
      <c r="AA19" s="381"/>
      <c r="AB19" s="381"/>
      <c r="AC19" s="381"/>
      <c r="AD19" s="381"/>
    </row>
    <row r="20" ht="15.75" customHeight="1">
      <c r="A20" s="457"/>
      <c r="B20" s="324" t="s">
        <v>96</v>
      </c>
      <c r="C20" s="324" t="s">
        <v>851</v>
      </c>
      <c r="D20" s="785"/>
      <c r="E20" s="785"/>
      <c r="F20" s="785"/>
      <c r="G20" s="369" t="s">
        <v>1529</v>
      </c>
      <c r="H20" s="208" t="s">
        <v>1530</v>
      </c>
      <c r="I20" s="751" t="s">
        <v>1504</v>
      </c>
      <c r="J20" s="737">
        <v>44988.0</v>
      </c>
      <c r="K20" s="766"/>
      <c r="L20" s="693" t="s">
        <v>1531</v>
      </c>
      <c r="M20" s="728" t="s">
        <v>1532</v>
      </c>
      <c r="N20" s="786"/>
      <c r="O20" s="381"/>
      <c r="P20" s="381"/>
      <c r="Q20" s="381"/>
      <c r="R20" s="381"/>
      <c r="S20" s="381"/>
      <c r="T20" s="381"/>
      <c r="U20" s="381"/>
      <c r="V20" s="381"/>
      <c r="W20" s="381"/>
      <c r="X20" s="381"/>
      <c r="Y20" s="381"/>
      <c r="Z20" s="381"/>
      <c r="AA20" s="381"/>
      <c r="AB20" s="381"/>
      <c r="AC20" s="381"/>
      <c r="AD20" s="381"/>
    </row>
    <row r="21" ht="15.75" customHeight="1">
      <c r="A21" s="457"/>
      <c r="B21" s="324" t="s">
        <v>114</v>
      </c>
      <c r="C21" s="324" t="s">
        <v>851</v>
      </c>
      <c r="D21" s="785"/>
      <c r="E21" s="785"/>
      <c r="F21" s="785"/>
      <c r="G21" s="369" t="s">
        <v>1533</v>
      </c>
      <c r="H21" s="208" t="s">
        <v>1534</v>
      </c>
      <c r="I21" s="751"/>
      <c r="J21" s="737">
        <v>44988.0</v>
      </c>
      <c r="K21" s="744" t="s">
        <v>1535</v>
      </c>
      <c r="L21" s="693" t="s">
        <v>1531</v>
      </c>
      <c r="M21" s="786"/>
      <c r="N21" s="787"/>
      <c r="O21" s="381"/>
      <c r="P21" s="381"/>
      <c r="Q21" s="381"/>
      <c r="R21" s="381"/>
      <c r="S21" s="381"/>
      <c r="T21" s="381"/>
      <c r="U21" s="381"/>
      <c r="V21" s="381"/>
      <c r="W21" s="381"/>
      <c r="X21" s="381"/>
      <c r="Y21" s="381"/>
      <c r="Z21" s="381"/>
      <c r="AA21" s="381"/>
      <c r="AB21" s="381"/>
      <c r="AC21" s="381"/>
      <c r="AD21" s="381"/>
    </row>
    <row r="22" ht="15.75" customHeight="1">
      <c r="A22" s="457"/>
      <c r="B22" s="324" t="s">
        <v>132</v>
      </c>
      <c r="C22" s="324" t="s">
        <v>851</v>
      </c>
      <c r="D22" s="785"/>
      <c r="E22" s="785"/>
      <c r="F22" s="785"/>
      <c r="G22" s="474" t="s">
        <v>1536</v>
      </c>
      <c r="H22" s="166" t="s">
        <v>1537</v>
      </c>
      <c r="I22" s="751"/>
      <c r="J22" s="761">
        <v>45411.0</v>
      </c>
      <c r="K22" s="766"/>
      <c r="L22" s="693" t="s">
        <v>1538</v>
      </c>
      <c r="M22" s="716" t="s">
        <v>1145</v>
      </c>
      <c r="N22" s="788"/>
      <c r="O22" s="164"/>
      <c r="P22" s="164"/>
      <c r="Q22" s="164"/>
      <c r="R22" s="164"/>
      <c r="S22" s="164"/>
      <c r="T22" s="164"/>
      <c r="U22" s="164"/>
      <c r="V22" s="164"/>
      <c r="W22" s="164"/>
      <c r="X22" s="164"/>
      <c r="Y22" s="164"/>
      <c r="Z22" s="164"/>
      <c r="AA22" s="164"/>
      <c r="AB22" s="164"/>
      <c r="AC22" s="164"/>
      <c r="AD22" s="164"/>
    </row>
    <row r="23" ht="15.75" customHeight="1">
      <c r="A23" s="457"/>
      <c r="B23" s="23" t="s">
        <v>149</v>
      </c>
      <c r="C23" s="324" t="s">
        <v>861</v>
      </c>
      <c r="D23" s="747"/>
      <c r="E23" s="747"/>
      <c r="F23" s="747"/>
      <c r="G23" s="406" t="s">
        <v>1539</v>
      </c>
      <c r="H23" s="789" t="s">
        <v>1540</v>
      </c>
      <c r="I23" s="790"/>
      <c r="J23" s="737">
        <v>44988.0</v>
      </c>
      <c r="K23" s="156"/>
      <c r="L23" s="693" t="s">
        <v>1514</v>
      </c>
      <c r="M23" s="781"/>
      <c r="N23" s="788"/>
      <c r="O23" s="164"/>
      <c r="P23" s="164"/>
      <c r="Q23" s="164"/>
      <c r="R23" s="164"/>
      <c r="S23" s="164"/>
      <c r="T23" s="164"/>
      <c r="U23" s="164"/>
      <c r="V23" s="164"/>
      <c r="W23" s="164"/>
      <c r="X23" s="164"/>
      <c r="Y23" s="164"/>
      <c r="Z23" s="164"/>
      <c r="AA23" s="164"/>
      <c r="AB23" s="164"/>
      <c r="AC23" s="164"/>
      <c r="AD23" s="164"/>
    </row>
    <row r="24" ht="15.75" customHeight="1">
      <c r="A24" s="457"/>
      <c r="B24" s="324" t="s">
        <v>162</v>
      </c>
      <c r="C24" s="369" t="s">
        <v>851</v>
      </c>
      <c r="D24" s="445"/>
      <c r="E24" s="710"/>
      <c r="F24" s="710"/>
      <c r="G24" s="406" t="s">
        <v>1541</v>
      </c>
      <c r="H24" s="406" t="s">
        <v>1542</v>
      </c>
      <c r="I24" s="710"/>
      <c r="J24" s="711">
        <v>45421.0</v>
      </c>
      <c r="K24" s="710"/>
      <c r="L24" s="602" t="s">
        <v>1366</v>
      </c>
      <c r="M24" s="489" t="s">
        <v>1543</v>
      </c>
      <c r="N24" s="791"/>
      <c r="O24" s="164"/>
      <c r="P24" s="164"/>
      <c r="Q24" s="164"/>
      <c r="R24" s="164"/>
      <c r="S24" s="164"/>
      <c r="T24" s="164"/>
      <c r="U24" s="164"/>
      <c r="V24" s="164"/>
      <c r="W24" s="164"/>
      <c r="X24" s="164"/>
      <c r="Y24" s="164"/>
      <c r="Z24" s="164"/>
      <c r="AA24" s="164"/>
      <c r="AB24" s="164"/>
      <c r="AC24" s="164"/>
      <c r="AD24" s="164"/>
    </row>
    <row r="25" ht="15.75" customHeight="1">
      <c r="A25" s="430"/>
      <c r="B25" s="41" t="s">
        <v>1544</v>
      </c>
      <c r="C25" s="369" t="s">
        <v>851</v>
      </c>
      <c r="D25" s="792"/>
      <c r="E25" s="792"/>
      <c r="F25" s="792"/>
      <c r="G25" s="156" t="s">
        <v>1545</v>
      </c>
      <c r="H25" s="793" t="s">
        <v>1546</v>
      </c>
      <c r="I25" s="135"/>
      <c r="J25" s="764">
        <v>45419.0</v>
      </c>
      <c r="K25" s="18"/>
      <c r="L25" s="602" t="s">
        <v>1366</v>
      </c>
      <c r="N25" s="781"/>
      <c r="O25" s="164"/>
      <c r="P25" s="164"/>
      <c r="Q25" s="164"/>
      <c r="R25" s="164"/>
      <c r="S25" s="164"/>
      <c r="T25" s="164"/>
      <c r="U25" s="164"/>
      <c r="V25" s="164"/>
      <c r="W25" s="164"/>
      <c r="X25" s="164"/>
      <c r="Y25" s="164"/>
      <c r="Z25" s="164"/>
      <c r="AA25" s="164"/>
      <c r="AB25" s="164"/>
      <c r="AC25" s="164"/>
      <c r="AD25" s="164"/>
    </row>
    <row r="26" ht="15.75" customHeight="1">
      <c r="A26" s="164"/>
      <c r="B26" s="781"/>
      <c r="C26" s="781"/>
      <c r="D26" s="781"/>
      <c r="E26" s="781"/>
      <c r="F26" s="781"/>
      <c r="G26" s="781"/>
      <c r="H26" s="781"/>
      <c r="I26" s="781"/>
      <c r="J26" s="794"/>
      <c r="K26" s="781"/>
      <c r="L26" s="781"/>
      <c r="M26" s="781"/>
      <c r="N26" s="781"/>
      <c r="O26" s="164"/>
      <c r="P26" s="164"/>
      <c r="Q26" s="164"/>
      <c r="R26" s="164"/>
      <c r="S26" s="164"/>
      <c r="T26" s="164"/>
      <c r="U26" s="164"/>
      <c r="V26" s="164"/>
      <c r="W26" s="164"/>
      <c r="X26" s="164"/>
      <c r="Y26" s="164"/>
      <c r="Z26" s="164"/>
      <c r="AA26" s="164"/>
      <c r="AB26" s="164"/>
      <c r="AC26" s="164"/>
      <c r="AD26" s="164"/>
    </row>
    <row r="27" ht="15.75" customHeight="1">
      <c r="A27" s="164"/>
      <c r="B27" s="795"/>
      <c r="C27" s="796"/>
      <c r="D27" s="796"/>
      <c r="E27" s="796"/>
      <c r="F27" s="796"/>
      <c r="G27" s="797"/>
      <c r="H27" s="798"/>
      <c r="I27" s="799"/>
      <c r="J27" s="800"/>
      <c r="K27" s="801"/>
      <c r="L27" s="164"/>
      <c r="M27" s="781"/>
      <c r="N27" s="781"/>
      <c r="O27" s="164"/>
      <c r="P27" s="164"/>
      <c r="Q27" s="164"/>
      <c r="R27" s="164"/>
      <c r="S27" s="164"/>
      <c r="T27" s="164"/>
      <c r="U27" s="164"/>
      <c r="V27" s="164"/>
      <c r="W27" s="164"/>
      <c r="X27" s="164"/>
      <c r="Y27" s="164"/>
      <c r="Z27" s="164"/>
      <c r="AA27" s="164"/>
      <c r="AB27" s="164"/>
      <c r="AC27" s="164"/>
      <c r="AD27" s="164"/>
    </row>
    <row r="28" ht="15.75" customHeight="1">
      <c r="A28" s="735" t="s">
        <v>1547</v>
      </c>
      <c r="B28" s="41" t="s">
        <v>239</v>
      </c>
      <c r="C28" s="659" t="s">
        <v>851</v>
      </c>
      <c r="D28" s="802"/>
      <c r="E28" s="803"/>
      <c r="F28" s="803"/>
      <c r="G28" s="41" t="s">
        <v>1548</v>
      </c>
      <c r="H28" s="22" t="s">
        <v>1549</v>
      </c>
      <c r="I28" s="804"/>
      <c r="J28" s="737">
        <v>44928.0</v>
      </c>
      <c r="K28" s="19"/>
      <c r="L28" s="805" t="s">
        <v>1550</v>
      </c>
      <c r="M28" s="164"/>
      <c r="N28" s="164"/>
      <c r="O28" s="164"/>
      <c r="P28" s="164"/>
      <c r="Q28" s="164"/>
      <c r="R28" s="164"/>
      <c r="S28" s="164"/>
      <c r="T28" s="164"/>
      <c r="U28" s="164"/>
      <c r="V28" s="164"/>
      <c r="W28" s="164"/>
      <c r="X28" s="164"/>
      <c r="Y28" s="164"/>
      <c r="Z28" s="164"/>
      <c r="AA28" s="164"/>
      <c r="AB28" s="164"/>
      <c r="AC28" s="164"/>
      <c r="AD28" s="164"/>
    </row>
    <row r="29" ht="15.75" customHeight="1">
      <c r="A29" s="457"/>
      <c r="B29" s="767" t="s">
        <v>259</v>
      </c>
      <c r="C29" s="744" t="s">
        <v>851</v>
      </c>
      <c r="D29" s="806"/>
      <c r="E29" s="633"/>
      <c r="F29" s="633"/>
      <c r="G29" s="208" t="s">
        <v>1551</v>
      </c>
      <c r="H29" s="697" t="s">
        <v>1552</v>
      </c>
      <c r="I29" s="807"/>
      <c r="J29" s="764">
        <v>45439.0</v>
      </c>
      <c r="K29" s="744"/>
      <c r="L29" s="808" t="s">
        <v>1321</v>
      </c>
      <c r="M29" s="716" t="s">
        <v>1553</v>
      </c>
      <c r="N29" s="809"/>
      <c r="O29" s="809"/>
      <c r="P29" s="159"/>
      <c r="Q29" s="164"/>
      <c r="R29" s="164"/>
      <c r="S29" s="164"/>
      <c r="T29" s="164"/>
      <c r="U29" s="164"/>
      <c r="V29" s="164"/>
      <c r="W29" s="164"/>
      <c r="X29" s="164"/>
      <c r="Y29" s="164"/>
      <c r="Z29" s="164"/>
      <c r="AA29" s="164"/>
      <c r="AB29" s="164"/>
      <c r="AC29" s="164"/>
      <c r="AD29" s="164"/>
    </row>
    <row r="30" ht="15.75" customHeight="1">
      <c r="A30" s="457"/>
      <c r="B30" s="767" t="s">
        <v>269</v>
      </c>
      <c r="C30" s="744" t="s">
        <v>851</v>
      </c>
      <c r="D30" s="806"/>
      <c r="E30" s="633"/>
      <c r="F30" s="633"/>
      <c r="G30" s="208" t="s">
        <v>1551</v>
      </c>
      <c r="H30" s="697" t="s">
        <v>1552</v>
      </c>
      <c r="I30" s="807"/>
      <c r="J30" s="764">
        <v>45471.0</v>
      </c>
      <c r="K30" s="744"/>
      <c r="L30" s="809"/>
      <c r="M30" s="809"/>
      <c r="N30" s="809"/>
      <c r="O30" s="809"/>
      <c r="P30" s="164"/>
      <c r="Q30" s="164"/>
      <c r="R30" s="164"/>
      <c r="S30" s="164"/>
      <c r="T30" s="164"/>
      <c r="U30" s="164"/>
      <c r="V30" s="164"/>
      <c r="W30" s="164"/>
      <c r="X30" s="164"/>
      <c r="Y30" s="164"/>
      <c r="Z30" s="164"/>
      <c r="AA30" s="164"/>
      <c r="AB30" s="164"/>
      <c r="AC30" s="164"/>
      <c r="AD30" s="164"/>
    </row>
    <row r="31" ht="15.75" customHeight="1">
      <c r="A31" s="457"/>
      <c r="B31" s="41" t="s">
        <v>279</v>
      </c>
      <c r="C31" s="369" t="s">
        <v>851</v>
      </c>
      <c r="D31" s="711"/>
      <c r="E31" s="747"/>
      <c r="F31" s="747"/>
      <c r="G31" s="406" t="s">
        <v>1554</v>
      </c>
      <c r="H31" s="789" t="s">
        <v>1555</v>
      </c>
      <c r="I31" s="790"/>
      <c r="J31" s="737">
        <v>44988.0</v>
      </c>
      <c r="K31" s="810"/>
      <c r="L31" s="693" t="s">
        <v>1514</v>
      </c>
      <c r="M31" s="690" t="s">
        <v>1556</v>
      </c>
      <c r="N31" s="690" t="s">
        <v>1557</v>
      </c>
      <c r="O31" s="809"/>
      <c r="P31" s="159"/>
      <c r="Q31" s="164"/>
      <c r="R31" s="164"/>
      <c r="S31" s="164"/>
      <c r="T31" s="164"/>
      <c r="U31" s="164"/>
      <c r="V31" s="164"/>
      <c r="W31" s="164"/>
      <c r="X31" s="164"/>
      <c r="Y31" s="164"/>
      <c r="Z31" s="164"/>
      <c r="AA31" s="164"/>
      <c r="AB31" s="164"/>
      <c r="AC31" s="164"/>
      <c r="AD31" s="164"/>
    </row>
    <row r="32" ht="15.75" customHeight="1">
      <c r="A32" s="457"/>
      <c r="B32" s="41" t="s">
        <v>289</v>
      </c>
      <c r="C32" s="369" t="s">
        <v>851</v>
      </c>
      <c r="D32" s="369" t="s">
        <v>1558</v>
      </c>
      <c r="E32" s="792"/>
      <c r="F32" s="792"/>
      <c r="G32" s="406" t="s">
        <v>1559</v>
      </c>
      <c r="H32" s="793" t="s">
        <v>1560</v>
      </c>
      <c r="I32" s="790"/>
      <c r="J32" s="811">
        <v>45614.0</v>
      </c>
      <c r="K32" s="103"/>
      <c r="L32" s="656"/>
      <c r="M32" s="583"/>
      <c r="N32" s="583"/>
      <c r="O32" s="690" t="s">
        <v>1442</v>
      </c>
      <c r="P32" s="159"/>
      <c r="Q32" s="164"/>
      <c r="R32" s="164"/>
      <c r="S32" s="164"/>
      <c r="T32" s="164"/>
      <c r="U32" s="164"/>
      <c r="V32" s="164"/>
      <c r="W32" s="164"/>
      <c r="X32" s="164"/>
      <c r="Y32" s="164"/>
      <c r="Z32" s="164"/>
      <c r="AA32" s="164"/>
      <c r="AB32" s="164"/>
      <c r="AC32" s="164"/>
      <c r="AD32" s="164"/>
    </row>
    <row r="33" ht="15.75" customHeight="1">
      <c r="A33" s="457"/>
      <c r="B33" s="41" t="s">
        <v>297</v>
      </c>
      <c r="C33" s="41" t="s">
        <v>851</v>
      </c>
      <c r="D33" s="711"/>
      <c r="E33" s="711"/>
      <c r="F33" s="711"/>
      <c r="G33" s="439" t="s">
        <v>1561</v>
      </c>
      <c r="H33" s="236" t="s">
        <v>1562</v>
      </c>
      <c r="I33" s="751"/>
      <c r="J33" s="761">
        <v>45348.0</v>
      </c>
      <c r="K33" s="23"/>
      <c r="L33" s="808" t="s">
        <v>1563</v>
      </c>
      <c r="M33" s="583"/>
      <c r="N33" s="583"/>
      <c r="O33" s="583"/>
      <c r="P33" s="159"/>
      <c r="Q33" s="164"/>
      <c r="R33" s="164"/>
      <c r="S33" s="164"/>
      <c r="T33" s="164"/>
      <c r="U33" s="164"/>
      <c r="V33" s="164"/>
      <c r="W33" s="164"/>
      <c r="X33" s="164"/>
      <c r="Y33" s="164"/>
      <c r="Z33" s="164"/>
      <c r="AA33" s="164"/>
      <c r="AB33" s="164"/>
      <c r="AC33" s="164"/>
      <c r="AD33" s="164"/>
    </row>
    <row r="34" ht="15.75" customHeight="1">
      <c r="A34" s="457"/>
      <c r="B34" s="41" t="s">
        <v>1564</v>
      </c>
      <c r="C34" s="41" t="s">
        <v>851</v>
      </c>
      <c r="D34" s="711"/>
      <c r="E34" s="792"/>
      <c r="F34" s="792"/>
      <c r="G34" s="406" t="s">
        <v>1565</v>
      </c>
      <c r="H34" s="793" t="s">
        <v>1566</v>
      </c>
      <c r="I34" s="790"/>
      <c r="J34" s="811">
        <v>45698.0</v>
      </c>
      <c r="K34" s="103"/>
      <c r="L34" s="656"/>
      <c r="M34" s="812" t="s">
        <v>1567</v>
      </c>
      <c r="N34" s="813" t="s">
        <v>1568</v>
      </c>
      <c r="O34" s="583"/>
      <c r="P34" s="159"/>
      <c r="Q34" s="164"/>
      <c r="R34" s="164"/>
      <c r="S34" s="164"/>
      <c r="T34" s="164"/>
      <c r="U34" s="164"/>
      <c r="V34" s="164"/>
      <c r="W34" s="164"/>
      <c r="X34" s="164"/>
      <c r="Y34" s="164"/>
      <c r="Z34" s="164"/>
      <c r="AA34" s="164"/>
      <c r="AB34" s="164"/>
      <c r="AC34" s="164"/>
      <c r="AD34" s="164"/>
    </row>
    <row r="35" ht="15.75" customHeight="1">
      <c r="A35" s="430"/>
      <c r="B35" s="41" t="s">
        <v>1569</v>
      </c>
      <c r="C35" s="41"/>
      <c r="D35" s="711"/>
      <c r="E35" s="792"/>
      <c r="F35" s="792"/>
      <c r="G35" s="406" t="s">
        <v>1570</v>
      </c>
      <c r="H35" s="793" t="s">
        <v>1571</v>
      </c>
      <c r="I35" s="790"/>
      <c r="J35" s="811">
        <v>45719.0</v>
      </c>
      <c r="K35" s="103"/>
      <c r="L35" s="656"/>
      <c r="M35" s="583"/>
      <c r="N35" s="583"/>
      <c r="O35" s="583"/>
      <c r="P35" s="814"/>
      <c r="Q35" s="164"/>
      <c r="R35" s="164"/>
      <c r="S35" s="164"/>
      <c r="T35" s="164"/>
      <c r="U35" s="164"/>
      <c r="V35" s="164"/>
      <c r="W35" s="164"/>
      <c r="X35" s="164"/>
      <c r="Y35" s="164"/>
      <c r="Z35" s="164"/>
      <c r="AA35" s="164"/>
      <c r="AB35" s="164"/>
      <c r="AC35" s="164"/>
      <c r="AD35" s="164"/>
    </row>
    <row r="36" ht="15.75" customHeight="1">
      <c r="A36" s="164"/>
      <c r="B36" s="234"/>
      <c r="C36" s="815"/>
      <c r="D36" s="815"/>
      <c r="E36" s="523"/>
      <c r="F36" s="523"/>
      <c r="G36" s="816"/>
      <c r="H36" s="816"/>
      <c r="I36" s="817"/>
      <c r="J36" s="800"/>
      <c r="K36" s="818"/>
      <c r="L36" s="164"/>
      <c r="M36" s="809"/>
      <c r="N36" s="809"/>
      <c r="O36" s="809"/>
      <c r="P36" s="814"/>
      <c r="Q36" s="164"/>
      <c r="R36" s="164"/>
      <c r="S36" s="164"/>
      <c r="T36" s="164"/>
      <c r="U36" s="164"/>
      <c r="V36" s="164"/>
      <c r="W36" s="164"/>
      <c r="X36" s="164"/>
      <c r="Y36" s="164"/>
      <c r="Z36" s="164"/>
      <c r="AA36" s="164"/>
      <c r="AB36" s="164"/>
      <c r="AC36" s="164"/>
      <c r="AD36" s="164"/>
    </row>
    <row r="37" ht="15.75" customHeight="1">
      <c r="A37" s="164"/>
      <c r="B37" s="234"/>
      <c r="C37" s="815"/>
      <c r="D37" s="815"/>
      <c r="E37" s="523"/>
      <c r="F37" s="523"/>
      <c r="G37" s="819"/>
      <c r="H37" s="819"/>
      <c r="I37" s="817"/>
      <c r="J37" s="800"/>
      <c r="K37" s="818"/>
      <c r="L37" s="164"/>
      <c r="M37" s="809"/>
      <c r="N37" s="809"/>
      <c r="O37" s="809"/>
      <c r="P37" s="814"/>
      <c r="Q37" s="164"/>
      <c r="R37" s="164"/>
      <c r="S37" s="164"/>
      <c r="T37" s="164"/>
      <c r="U37" s="164"/>
      <c r="V37" s="164"/>
      <c r="W37" s="164"/>
      <c r="X37" s="164"/>
      <c r="Y37" s="164"/>
      <c r="Z37" s="164"/>
      <c r="AA37" s="164"/>
      <c r="AB37" s="164"/>
      <c r="AC37" s="164"/>
      <c r="AD37" s="164"/>
    </row>
    <row r="38" ht="15.75" customHeight="1">
      <c r="A38" s="47" t="s">
        <v>1572</v>
      </c>
      <c r="B38" s="156" t="s">
        <v>393</v>
      </c>
      <c r="C38" s="166" t="s">
        <v>851</v>
      </c>
      <c r="D38" s="747"/>
      <c r="E38" s="820"/>
      <c r="F38" s="820"/>
      <c r="G38" s="821" t="s">
        <v>1573</v>
      </c>
      <c r="H38" s="41" t="s">
        <v>1574</v>
      </c>
      <c r="I38" s="659"/>
      <c r="J38" s="764">
        <v>44739.0</v>
      </c>
      <c r="K38" s="822"/>
      <c r="L38" s="823" t="s">
        <v>1575</v>
      </c>
      <c r="M38" s="716" t="s">
        <v>1576</v>
      </c>
      <c r="N38" s="824" t="s">
        <v>1577</v>
      </c>
      <c r="O38" s="824" t="s">
        <v>1578</v>
      </c>
      <c r="P38" s="814"/>
      <c r="Q38" s="164"/>
      <c r="R38" s="164"/>
      <c r="S38" s="164"/>
      <c r="T38" s="164"/>
      <c r="U38" s="164"/>
      <c r="V38" s="164"/>
      <c r="W38" s="164"/>
      <c r="X38" s="164"/>
      <c r="Y38" s="164"/>
      <c r="Z38" s="164"/>
      <c r="AA38" s="164"/>
      <c r="AB38" s="164"/>
      <c r="AC38" s="164"/>
      <c r="AD38" s="164"/>
    </row>
    <row r="39" ht="15.75" customHeight="1">
      <c r="A39" s="457"/>
      <c r="B39" s="18" t="s">
        <v>443</v>
      </c>
      <c r="C39" s="41" t="s">
        <v>851</v>
      </c>
      <c r="D39" s="768"/>
      <c r="E39" s="768"/>
      <c r="F39" s="768"/>
      <c r="G39" s="41" t="s">
        <v>1579</v>
      </c>
      <c r="H39" s="767" t="s">
        <v>1580</v>
      </c>
      <c r="I39" s="769"/>
      <c r="J39" s="764">
        <v>45335.0</v>
      </c>
      <c r="K39" s="822"/>
      <c r="L39" s="602" t="s">
        <v>1581</v>
      </c>
      <c r="M39" s="164"/>
      <c r="N39" s="164"/>
      <c r="O39" s="164"/>
      <c r="P39" s="825"/>
      <c r="Q39" s="164"/>
      <c r="R39" s="164"/>
      <c r="S39" s="164"/>
      <c r="T39" s="164"/>
      <c r="U39" s="164"/>
      <c r="V39" s="164"/>
      <c r="W39" s="164"/>
      <c r="X39" s="164"/>
      <c r="Y39" s="164"/>
      <c r="Z39" s="164"/>
      <c r="AA39" s="164"/>
      <c r="AB39" s="164"/>
      <c r="AC39" s="164"/>
      <c r="AD39" s="164"/>
    </row>
    <row r="40" ht="15.75" customHeight="1">
      <c r="A40" s="457"/>
      <c r="B40" s="717" t="s">
        <v>1582</v>
      </c>
      <c r="C40" s="717" t="s">
        <v>851</v>
      </c>
      <c r="D40" s="719"/>
      <c r="E40" s="826"/>
      <c r="F40" s="826"/>
      <c r="G40" s="717" t="s">
        <v>1583</v>
      </c>
      <c r="H40" s="717" t="s">
        <v>1584</v>
      </c>
      <c r="I40" s="135" t="s">
        <v>1585</v>
      </c>
      <c r="J40" s="764">
        <v>44987.0</v>
      </c>
      <c r="K40" s="681" t="s">
        <v>1586</v>
      </c>
      <c r="L40" s="827" t="s">
        <v>1587</v>
      </c>
      <c r="M40" s="828"/>
      <c r="N40" s="164"/>
      <c r="O40" s="164"/>
      <c r="P40" s="829"/>
      <c r="Q40" s="164"/>
      <c r="R40" s="164"/>
      <c r="S40" s="164"/>
      <c r="T40" s="164"/>
      <c r="U40" s="164"/>
      <c r="V40" s="164"/>
      <c r="W40" s="164"/>
      <c r="X40" s="164"/>
      <c r="Y40" s="164"/>
      <c r="Z40" s="164"/>
      <c r="AA40" s="164"/>
      <c r="AB40" s="164"/>
      <c r="AC40" s="164"/>
      <c r="AD40" s="164"/>
    </row>
    <row r="41" ht="15.75" customHeight="1">
      <c r="A41" s="457"/>
      <c r="B41" s="717" t="s">
        <v>493</v>
      </c>
      <c r="C41" s="371" t="s">
        <v>851</v>
      </c>
      <c r="D41" s="719"/>
      <c r="E41" s="826"/>
      <c r="F41" s="826"/>
      <c r="G41" s="615" t="s">
        <v>1588</v>
      </c>
      <c r="H41" s="46" t="s">
        <v>1589</v>
      </c>
      <c r="I41" s="135"/>
      <c r="J41" s="764">
        <v>45664.0</v>
      </c>
      <c r="K41" s="681"/>
      <c r="L41" s="508"/>
      <c r="M41" s="694" t="s">
        <v>1109</v>
      </c>
      <c r="N41" s="830"/>
      <c r="O41" s="830"/>
      <c r="P41" s="831"/>
      <c r="Q41" s="164"/>
      <c r="R41" s="164"/>
      <c r="S41" s="164"/>
      <c r="T41" s="164"/>
      <c r="U41" s="164"/>
      <c r="V41" s="164"/>
      <c r="W41" s="164"/>
      <c r="X41" s="164"/>
      <c r="Y41" s="164"/>
      <c r="Z41" s="164"/>
      <c r="AA41" s="164"/>
      <c r="AB41" s="164"/>
      <c r="AC41" s="164"/>
      <c r="AD41" s="164"/>
    </row>
    <row r="42" ht="15.75" customHeight="1">
      <c r="A42" s="457"/>
      <c r="B42" s="717" t="s">
        <v>447</v>
      </c>
      <c r="C42" s="371" t="s">
        <v>851</v>
      </c>
      <c r="D42" s="719"/>
      <c r="E42" s="826"/>
      <c r="F42" s="826"/>
      <c r="G42" s="717" t="s">
        <v>1590</v>
      </c>
      <c r="H42" s="717" t="s">
        <v>1591</v>
      </c>
      <c r="I42" s="135"/>
      <c r="J42" s="764">
        <v>45664.0</v>
      </c>
      <c r="K42" s="681"/>
      <c r="L42" s="508"/>
      <c r="M42" s="694" t="s">
        <v>1109</v>
      </c>
      <c r="N42" s="830"/>
      <c r="O42" s="830"/>
      <c r="P42" s="164"/>
      <c r="Q42" s="164"/>
      <c r="R42" s="164"/>
      <c r="S42" s="164"/>
      <c r="T42" s="164"/>
      <c r="U42" s="164"/>
      <c r="V42" s="164"/>
      <c r="W42" s="164"/>
      <c r="X42" s="164"/>
      <c r="Y42" s="164"/>
      <c r="Z42" s="164"/>
      <c r="AA42" s="164"/>
      <c r="AB42" s="164"/>
      <c r="AC42" s="164"/>
      <c r="AD42" s="164"/>
    </row>
    <row r="43" ht="15.75" customHeight="1">
      <c r="A43" s="457"/>
      <c r="B43" s="717" t="s">
        <v>472</v>
      </c>
      <c r="C43" s="371" t="s">
        <v>851</v>
      </c>
      <c r="D43" s="719"/>
      <c r="E43" s="826"/>
      <c r="F43" s="826"/>
      <c r="G43" s="832" t="s">
        <v>1592</v>
      </c>
      <c r="H43" s="833" t="s">
        <v>1593</v>
      </c>
      <c r="I43" s="135"/>
      <c r="J43" s="764">
        <v>45673.0</v>
      </c>
      <c r="K43" s="681"/>
      <c r="L43" s="623" t="s">
        <v>1410</v>
      </c>
      <c r="M43" s="834" t="s">
        <v>1109</v>
      </c>
      <c r="N43" s="829"/>
      <c r="O43" s="835" t="s">
        <v>1594</v>
      </c>
      <c r="P43" s="164"/>
      <c r="Q43" s="164"/>
      <c r="R43" s="164"/>
      <c r="S43" s="164"/>
      <c r="T43" s="164"/>
      <c r="U43" s="164"/>
      <c r="V43" s="164"/>
      <c r="W43" s="164"/>
      <c r="X43" s="164"/>
      <c r="Y43" s="164"/>
      <c r="Z43" s="164"/>
      <c r="AA43" s="164"/>
      <c r="AB43" s="164"/>
      <c r="AC43" s="164"/>
      <c r="AD43" s="164"/>
    </row>
    <row r="44" ht="15.75" customHeight="1">
      <c r="A44" s="457"/>
      <c r="B44" s="717" t="s">
        <v>522</v>
      </c>
      <c r="C44" s="371" t="s">
        <v>851</v>
      </c>
      <c r="D44" s="719"/>
      <c r="E44" s="826"/>
      <c r="F44" s="826"/>
      <c r="G44" s="510" t="s">
        <v>1595</v>
      </c>
      <c r="H44" s="615" t="s">
        <v>1596</v>
      </c>
      <c r="I44" s="135"/>
      <c r="J44" s="764">
        <v>45694.0</v>
      </c>
      <c r="K44" s="681"/>
      <c r="L44" s="623" t="s">
        <v>1292</v>
      </c>
      <c r="P44" s="164"/>
      <c r="Q44" s="164"/>
      <c r="R44" s="164"/>
      <c r="S44" s="164"/>
      <c r="T44" s="164"/>
      <c r="U44" s="164"/>
      <c r="V44" s="164"/>
      <c r="W44" s="164"/>
      <c r="X44" s="164"/>
      <c r="Y44" s="164"/>
      <c r="Z44" s="164"/>
      <c r="AA44" s="164"/>
      <c r="AB44" s="164"/>
      <c r="AC44" s="164"/>
      <c r="AD44" s="164"/>
    </row>
    <row r="45" ht="15.75" customHeight="1">
      <c r="A45" s="430"/>
      <c r="B45" s="18" t="s">
        <v>1516</v>
      </c>
      <c r="C45" s="41" t="s">
        <v>851</v>
      </c>
      <c r="D45" s="768"/>
      <c r="E45" s="768"/>
      <c r="F45" s="768"/>
      <c r="G45" s="749" t="s">
        <v>1517</v>
      </c>
      <c r="H45" s="697" t="s">
        <v>1518</v>
      </c>
      <c r="I45" s="769"/>
      <c r="J45" s="764">
        <v>45307.0</v>
      </c>
      <c r="K45" s="770"/>
      <c r="L45" s="602" t="s">
        <v>1519</v>
      </c>
      <c r="Q45" s="164"/>
      <c r="R45" s="164"/>
      <c r="S45" s="164"/>
      <c r="T45" s="164"/>
      <c r="U45" s="164"/>
      <c r="V45" s="164"/>
      <c r="W45" s="164"/>
      <c r="X45" s="164"/>
      <c r="Y45" s="164"/>
      <c r="Z45" s="164"/>
      <c r="AA45" s="164"/>
      <c r="AB45" s="164"/>
      <c r="AC45" s="164"/>
      <c r="AD45" s="164"/>
    </row>
    <row r="46" ht="15.75" customHeight="1">
      <c r="A46" s="164"/>
      <c r="B46" s="774"/>
      <c r="C46" s="836"/>
      <c r="D46" s="836"/>
      <c r="E46" s="836"/>
      <c r="F46" s="836"/>
      <c r="G46" s="837"/>
      <c r="H46" s="838"/>
      <c r="I46" s="839"/>
      <c r="J46" s="840"/>
      <c r="K46" s="841"/>
      <c r="L46" s="164"/>
      <c r="M46" s="830"/>
      <c r="N46" s="830"/>
      <c r="O46" s="830"/>
      <c r="P46" s="830"/>
      <c r="Q46" s="164"/>
      <c r="R46" s="164"/>
      <c r="S46" s="164"/>
      <c r="T46" s="164"/>
      <c r="U46" s="164"/>
      <c r="V46" s="164"/>
      <c r="W46" s="164"/>
      <c r="X46" s="164"/>
      <c r="Y46" s="164"/>
      <c r="Z46" s="164"/>
      <c r="AA46" s="164"/>
      <c r="AB46" s="164"/>
      <c r="AC46" s="164"/>
      <c r="AD46" s="164"/>
    </row>
    <row r="47" ht="15.75" customHeight="1">
      <c r="A47" s="164"/>
      <c r="B47" s="774"/>
      <c r="C47" s="836"/>
      <c r="D47" s="836"/>
      <c r="E47" s="836"/>
      <c r="F47" s="836"/>
      <c r="G47" s="837"/>
      <c r="H47" s="838"/>
      <c r="I47" s="839"/>
      <c r="J47" s="840"/>
      <c r="K47" s="841"/>
      <c r="L47" s="164"/>
      <c r="M47" s="830"/>
      <c r="N47" s="830"/>
      <c r="O47" s="830"/>
      <c r="P47" s="830"/>
      <c r="Q47" s="164"/>
      <c r="R47" s="164"/>
      <c r="S47" s="164"/>
      <c r="T47" s="164"/>
      <c r="U47" s="164"/>
      <c r="V47" s="164"/>
      <c r="W47" s="164"/>
      <c r="X47" s="164"/>
      <c r="Y47" s="164"/>
      <c r="Z47" s="164"/>
      <c r="AA47" s="164"/>
      <c r="AB47" s="164"/>
      <c r="AC47" s="164"/>
      <c r="AD47" s="164"/>
    </row>
    <row r="48" ht="15.75" customHeight="1">
      <c r="A48" s="735" t="s">
        <v>1597</v>
      </c>
      <c r="B48" s="41" t="s">
        <v>497</v>
      </c>
      <c r="C48" s="371" t="s">
        <v>851</v>
      </c>
      <c r="D48" s="768"/>
      <c r="E48" s="768"/>
      <c r="F48" s="768"/>
      <c r="G48" s="41" t="s">
        <v>1598</v>
      </c>
      <c r="H48" s="22" t="s">
        <v>1599</v>
      </c>
      <c r="I48" s="842"/>
      <c r="J48" s="737">
        <v>44929.0</v>
      </c>
      <c r="K48" s="754"/>
      <c r="L48" s="493" t="s">
        <v>1600</v>
      </c>
      <c r="M48" s="493" t="s">
        <v>1601</v>
      </c>
      <c r="N48" s="493" t="s">
        <v>1602</v>
      </c>
      <c r="O48" s="164"/>
      <c r="P48" s="164"/>
      <c r="Q48" s="164"/>
      <c r="R48" s="164"/>
      <c r="S48" s="164"/>
      <c r="T48" s="164"/>
      <c r="U48" s="164"/>
      <c r="V48" s="164"/>
      <c r="W48" s="164"/>
      <c r="X48" s="164"/>
      <c r="Y48" s="164"/>
      <c r="Z48" s="164"/>
      <c r="AA48" s="164"/>
      <c r="AB48" s="164"/>
      <c r="AC48" s="164"/>
      <c r="AD48" s="164"/>
    </row>
    <row r="49" ht="17.25" customHeight="1">
      <c r="A49" s="457"/>
      <c r="B49" s="41" t="s">
        <v>419</v>
      </c>
      <c r="C49" s="744" t="s">
        <v>851</v>
      </c>
      <c r="D49" s="22"/>
      <c r="E49" s="22"/>
      <c r="F49" s="22"/>
      <c r="G49" s="369" t="s">
        <v>1603</v>
      </c>
      <c r="H49" s="599" t="s">
        <v>1604</v>
      </c>
      <c r="I49" s="843"/>
      <c r="J49" s="737">
        <v>45400.0</v>
      </c>
      <c r="K49" s="710"/>
      <c r="L49" s="844" t="s">
        <v>1510</v>
      </c>
      <c r="M49" s="845" t="s">
        <v>1605</v>
      </c>
      <c r="N49" s="164"/>
      <c r="O49" s="164"/>
      <c r="P49" s="164"/>
      <c r="Q49" s="164"/>
      <c r="R49" s="164"/>
      <c r="S49" s="164"/>
      <c r="T49" s="164"/>
      <c r="U49" s="164"/>
      <c r="V49" s="164"/>
      <c r="W49" s="164"/>
      <c r="X49" s="164"/>
      <c r="Y49" s="164"/>
      <c r="Z49" s="164"/>
      <c r="AA49" s="164"/>
      <c r="AB49" s="164"/>
      <c r="AC49" s="164"/>
      <c r="AD49" s="164"/>
    </row>
    <row r="50" ht="15.75" customHeight="1">
      <c r="A50" s="457"/>
      <c r="B50" s="18" t="s">
        <v>444</v>
      </c>
      <c r="C50" s="744" t="s">
        <v>851</v>
      </c>
      <c r="D50" s="846"/>
      <c r="E50" s="847"/>
      <c r="F50" s="847"/>
      <c r="G50" s="18" t="s">
        <v>1606</v>
      </c>
      <c r="H50" s="135" t="s">
        <v>1607</v>
      </c>
      <c r="I50" s="848"/>
      <c r="J50" s="737">
        <v>45421.0</v>
      </c>
      <c r="K50" s="710"/>
      <c r="L50" s="750" t="s">
        <v>1210</v>
      </c>
      <c r="M50" s="849"/>
      <c r="N50" s="164"/>
      <c r="O50" s="164"/>
      <c r="P50" s="164"/>
      <c r="Q50" s="164"/>
      <c r="R50" s="164"/>
      <c r="S50" s="164"/>
      <c r="T50" s="164"/>
      <c r="U50" s="164"/>
      <c r="V50" s="164"/>
      <c r="W50" s="164"/>
      <c r="X50" s="164"/>
      <c r="Y50" s="164"/>
      <c r="Z50" s="164"/>
      <c r="AA50" s="164"/>
      <c r="AB50" s="164"/>
      <c r="AC50" s="164"/>
      <c r="AD50" s="164"/>
    </row>
    <row r="51" ht="15.75" customHeight="1">
      <c r="A51" s="457"/>
      <c r="B51" s="18" t="s">
        <v>469</v>
      </c>
      <c r="C51" s="744" t="s">
        <v>851</v>
      </c>
      <c r="D51" s="846"/>
      <c r="E51" s="847"/>
      <c r="F51" s="847"/>
      <c r="G51" s="18" t="s">
        <v>1608</v>
      </c>
      <c r="H51" s="135" t="s">
        <v>1609</v>
      </c>
      <c r="I51" s="848"/>
      <c r="J51" s="737">
        <v>45468.0</v>
      </c>
      <c r="K51" s="710"/>
      <c r="L51" s="844" t="s">
        <v>1610</v>
      </c>
      <c r="M51" s="716" t="s">
        <v>1611</v>
      </c>
      <c r="N51" s="164"/>
      <c r="O51" s="164"/>
      <c r="P51" s="164"/>
      <c r="Q51" s="164"/>
      <c r="R51" s="164"/>
      <c r="S51" s="164"/>
      <c r="T51" s="164"/>
      <c r="U51" s="164"/>
      <c r="V51" s="164"/>
      <c r="W51" s="164"/>
      <c r="X51" s="164"/>
      <c r="Y51" s="164"/>
      <c r="Z51" s="164"/>
      <c r="AA51" s="164"/>
      <c r="AB51" s="164"/>
      <c r="AC51" s="164"/>
      <c r="AD51" s="164"/>
    </row>
    <row r="52" ht="15.75" customHeight="1">
      <c r="A52" s="457"/>
      <c r="B52" s="41" t="s">
        <v>422</v>
      </c>
      <c r="C52" s="369" t="s">
        <v>851</v>
      </c>
      <c r="D52" s="792"/>
      <c r="E52" s="792"/>
      <c r="F52" s="792"/>
      <c r="G52" s="156" t="s">
        <v>1612</v>
      </c>
      <c r="H52" s="793" t="s">
        <v>1613</v>
      </c>
      <c r="I52" s="135" t="s">
        <v>1614</v>
      </c>
      <c r="J52" s="761">
        <v>44988.0</v>
      </c>
      <c r="K52" s="18"/>
      <c r="L52" s="693" t="s">
        <v>1531</v>
      </c>
      <c r="M52" s="610" t="s">
        <v>1615</v>
      </c>
      <c r="N52" s="850" t="s">
        <v>1616</v>
      </c>
      <c r="O52" s="850" t="s">
        <v>1617</v>
      </c>
      <c r="P52" s="164"/>
      <c r="Q52" s="164"/>
      <c r="R52" s="164"/>
      <c r="S52" s="164"/>
      <c r="T52" s="164"/>
      <c r="U52" s="164"/>
      <c r="V52" s="164"/>
      <c r="W52" s="164"/>
      <c r="X52" s="164"/>
      <c r="Y52" s="164"/>
      <c r="Z52" s="164"/>
      <c r="AA52" s="164"/>
      <c r="AB52" s="164"/>
      <c r="AC52" s="164"/>
      <c r="AD52" s="164"/>
    </row>
    <row r="53" ht="15.75" customHeight="1">
      <c r="A53" s="457"/>
      <c r="B53" s="41" t="s">
        <v>546</v>
      </c>
      <c r="C53" s="369" t="s">
        <v>851</v>
      </c>
      <c r="D53" s="792"/>
      <c r="E53" s="792"/>
      <c r="F53" s="792"/>
      <c r="G53" s="156" t="s">
        <v>1618</v>
      </c>
      <c r="H53" s="793" t="s">
        <v>1619</v>
      </c>
      <c r="I53" s="135"/>
      <c r="J53" s="761">
        <v>45692.0</v>
      </c>
      <c r="K53" s="18"/>
      <c r="L53" s="750" t="s">
        <v>1378</v>
      </c>
      <c r="M53" s="704"/>
      <c r="N53" s="704"/>
      <c r="O53" s="704"/>
      <c r="P53" s="164"/>
      <c r="Q53" s="164"/>
      <c r="R53" s="164"/>
      <c r="S53" s="164"/>
      <c r="T53" s="164"/>
      <c r="U53" s="164"/>
      <c r="V53" s="164"/>
      <c r="W53" s="164"/>
      <c r="X53" s="164"/>
      <c r="Y53" s="164"/>
      <c r="Z53" s="164"/>
      <c r="AA53" s="164"/>
      <c r="AB53" s="164"/>
      <c r="AC53" s="164"/>
      <c r="AD53" s="164"/>
    </row>
    <row r="54" ht="15.75" customHeight="1">
      <c r="A54" s="457"/>
      <c r="B54" s="18" t="s">
        <v>569</v>
      </c>
      <c r="C54" s="369" t="s">
        <v>851</v>
      </c>
      <c r="D54" s="846"/>
      <c r="E54" s="847"/>
      <c r="F54" s="847"/>
      <c r="G54" s="156" t="s">
        <v>1618</v>
      </c>
      <c r="H54" s="793" t="s">
        <v>1619</v>
      </c>
      <c r="I54" s="848"/>
      <c r="J54" s="768">
        <v>45692.0</v>
      </c>
      <c r="K54" s="710"/>
      <c r="L54" s="750" t="s">
        <v>1378</v>
      </c>
      <c r="M54" s="164"/>
      <c r="N54" s="164"/>
      <c r="O54" s="164"/>
      <c r="P54" s="164"/>
      <c r="Q54" s="164"/>
      <c r="R54" s="164"/>
      <c r="S54" s="164"/>
      <c r="T54" s="164"/>
      <c r="U54" s="164"/>
      <c r="V54" s="164"/>
      <c r="W54" s="164"/>
      <c r="X54" s="164"/>
      <c r="Y54" s="164"/>
      <c r="Z54" s="164"/>
      <c r="AA54" s="164"/>
      <c r="AB54" s="164"/>
      <c r="AC54" s="164"/>
      <c r="AD54" s="164"/>
    </row>
    <row r="55" ht="15.75" customHeight="1">
      <c r="A55" s="457"/>
      <c r="B55" s="41" t="s">
        <v>1620</v>
      </c>
      <c r="C55" s="744" t="s">
        <v>851</v>
      </c>
      <c r="D55" s="792"/>
      <c r="E55" s="792"/>
      <c r="F55" s="792"/>
      <c r="G55" s="156" t="s">
        <v>1621</v>
      </c>
      <c r="H55" s="793" t="s">
        <v>1622</v>
      </c>
      <c r="I55" s="135"/>
      <c r="J55" s="761">
        <v>45701.0</v>
      </c>
      <c r="K55" s="18"/>
      <c r="L55" s="750" t="s">
        <v>1623</v>
      </c>
      <c r="M55" s="704"/>
      <c r="N55" s="704"/>
      <c r="O55" s="704"/>
      <c r="P55" s="164"/>
      <c r="Q55" s="164"/>
      <c r="R55" s="164"/>
      <c r="S55" s="164"/>
      <c r="T55" s="164"/>
      <c r="U55" s="164"/>
      <c r="V55" s="164"/>
      <c r="W55" s="164"/>
      <c r="X55" s="164"/>
      <c r="Y55" s="164"/>
      <c r="Z55" s="164"/>
      <c r="AA55" s="164"/>
      <c r="AB55" s="164"/>
      <c r="AC55" s="164"/>
      <c r="AD55" s="164"/>
    </row>
    <row r="56" ht="15.75" customHeight="1">
      <c r="A56" s="430"/>
      <c r="B56" s="681" t="s">
        <v>1624</v>
      </c>
      <c r="C56" s="312" t="s">
        <v>861</v>
      </c>
      <c r="D56" s="707"/>
      <c r="E56" s="851"/>
      <c r="F56" s="851"/>
      <c r="G56" s="708" t="s">
        <v>1625</v>
      </c>
      <c r="H56" s="708" t="s">
        <v>1626</v>
      </c>
      <c r="I56" s="765" t="s">
        <v>1627</v>
      </c>
      <c r="J56" s="764">
        <v>45293.0</v>
      </c>
      <c r="K56" s="738"/>
      <c r="L56" s="852"/>
      <c r="M56" s="853"/>
      <c r="N56" s="164"/>
      <c r="O56" s="164"/>
      <c r="P56" s="164"/>
      <c r="Q56" s="164"/>
      <c r="R56" s="164"/>
      <c r="S56" s="164"/>
      <c r="T56" s="164"/>
      <c r="U56" s="164"/>
      <c r="V56" s="164"/>
      <c r="W56" s="164"/>
      <c r="X56" s="164"/>
      <c r="Y56" s="164"/>
      <c r="Z56" s="164"/>
      <c r="AA56" s="164"/>
      <c r="AB56" s="164"/>
      <c r="AC56" s="164"/>
      <c r="AD56" s="164"/>
    </row>
    <row r="57" ht="15.75" customHeight="1">
      <c r="A57" s="164"/>
      <c r="B57" s="774"/>
      <c r="C57" s="772"/>
      <c r="D57" s="772"/>
      <c r="E57" s="773"/>
      <c r="F57" s="773"/>
      <c r="G57" s="774"/>
      <c r="H57" s="775"/>
      <c r="I57" s="775"/>
      <c r="J57" s="772"/>
      <c r="K57" s="164"/>
      <c r="L57" s="776"/>
      <c r="M57" s="164"/>
      <c r="N57" s="164"/>
      <c r="O57" s="164"/>
      <c r="P57" s="164"/>
      <c r="Q57" s="164"/>
      <c r="R57" s="164"/>
      <c r="S57" s="164"/>
      <c r="T57" s="164"/>
      <c r="U57" s="164"/>
      <c r="V57" s="164"/>
      <c r="W57" s="164"/>
      <c r="X57" s="164"/>
      <c r="Y57" s="164"/>
      <c r="Z57" s="164"/>
      <c r="AA57" s="164"/>
      <c r="AB57" s="164"/>
      <c r="AC57" s="164"/>
      <c r="AD57" s="164"/>
    </row>
    <row r="58" ht="15.75" customHeight="1">
      <c r="A58" s="164"/>
      <c r="B58" s="774"/>
      <c r="C58" s="772"/>
      <c r="D58" s="772"/>
      <c r="E58" s="773"/>
      <c r="F58" s="773"/>
      <c r="G58" s="774"/>
      <c r="H58" s="775"/>
      <c r="I58" s="775"/>
      <c r="J58" s="772"/>
      <c r="K58" s="164"/>
      <c r="L58" s="776"/>
      <c r="M58" s="164"/>
      <c r="N58" s="164"/>
      <c r="O58" s="164"/>
      <c r="P58" s="164"/>
      <c r="Q58" s="164"/>
      <c r="R58" s="164"/>
      <c r="S58" s="164"/>
      <c r="T58" s="164"/>
      <c r="U58" s="164"/>
      <c r="V58" s="164"/>
      <c r="W58" s="164"/>
      <c r="X58" s="164"/>
      <c r="Y58" s="164"/>
      <c r="Z58" s="164"/>
      <c r="AA58" s="164"/>
      <c r="AB58" s="164"/>
      <c r="AC58" s="164"/>
      <c r="AD58" s="164"/>
    </row>
    <row r="59" ht="15.75" customHeight="1">
      <c r="A59" s="735" t="s">
        <v>1628</v>
      </c>
      <c r="B59" s="41" t="s">
        <v>395</v>
      </c>
      <c r="C59" s="744" t="s">
        <v>851</v>
      </c>
      <c r="D59" s="854"/>
      <c r="E59" s="633"/>
      <c r="F59" s="633"/>
      <c r="G59" s="41" t="s">
        <v>1629</v>
      </c>
      <c r="H59" s="855" t="s">
        <v>1630</v>
      </c>
      <c r="I59" s="856"/>
      <c r="J59" s="737">
        <v>44929.0</v>
      </c>
      <c r="K59" s="810"/>
      <c r="L59" s="857"/>
      <c r="M59" s="784"/>
      <c r="N59" s="784"/>
      <c r="O59" s="784"/>
      <c r="P59" s="164"/>
      <c r="Q59" s="164"/>
      <c r="R59" s="164"/>
      <c r="S59" s="164"/>
      <c r="T59" s="164"/>
      <c r="U59" s="164"/>
      <c r="V59" s="164"/>
      <c r="W59" s="164"/>
      <c r="X59" s="164"/>
      <c r="Y59" s="164"/>
      <c r="Z59" s="164"/>
      <c r="AA59" s="164"/>
      <c r="AB59" s="164"/>
      <c r="AC59" s="164"/>
      <c r="AD59" s="164"/>
    </row>
    <row r="60" ht="15.75" customHeight="1">
      <c r="A60" s="457"/>
      <c r="B60" s="767" t="s">
        <v>420</v>
      </c>
      <c r="C60" s="156" t="s">
        <v>851</v>
      </c>
      <c r="D60" s="792"/>
      <c r="E60" s="792"/>
      <c r="F60" s="792"/>
      <c r="G60" s="119" t="s">
        <v>1631</v>
      </c>
      <c r="H60" s="135" t="s">
        <v>1632</v>
      </c>
      <c r="I60" s="858"/>
      <c r="J60" s="761">
        <v>44929.0</v>
      </c>
      <c r="K60" s="859"/>
      <c r="L60" s="824" t="s">
        <v>1633</v>
      </c>
      <c r="M60" s="824" t="s">
        <v>1634</v>
      </c>
      <c r="N60" s="831"/>
      <c r="O60" s="831"/>
      <c r="P60" s="164"/>
      <c r="Q60" s="164"/>
      <c r="R60" s="164"/>
      <c r="S60" s="164"/>
      <c r="T60" s="164"/>
      <c r="U60" s="164"/>
      <c r="V60" s="164"/>
      <c r="W60" s="164"/>
      <c r="X60" s="164"/>
      <c r="Y60" s="164"/>
      <c r="Z60" s="164"/>
      <c r="AA60" s="164"/>
      <c r="AB60" s="164"/>
      <c r="AC60" s="164"/>
      <c r="AD60" s="164"/>
    </row>
    <row r="61" ht="15.75" customHeight="1">
      <c r="A61" s="457"/>
      <c r="B61" s="767" t="s">
        <v>445</v>
      </c>
      <c r="C61" s="406" t="s">
        <v>851</v>
      </c>
      <c r="D61" s="747"/>
      <c r="E61" s="747"/>
      <c r="F61" s="747"/>
      <c r="G61" s="369" t="s">
        <v>1635</v>
      </c>
      <c r="H61" s="860" t="s">
        <v>1636</v>
      </c>
      <c r="I61" s="842"/>
      <c r="J61" s="806">
        <v>44945.0</v>
      </c>
      <c r="K61" s="766"/>
      <c r="L61" s="489" t="s">
        <v>1637</v>
      </c>
      <c r="M61" s="786"/>
      <c r="N61" s="164"/>
      <c r="O61" s="704"/>
      <c r="P61" s="164"/>
      <c r="Q61" s="164"/>
      <c r="R61" s="164"/>
      <c r="S61" s="164"/>
      <c r="T61" s="164"/>
      <c r="U61" s="164"/>
      <c r="V61" s="164"/>
      <c r="W61" s="164"/>
      <c r="X61" s="164"/>
      <c r="Y61" s="164"/>
      <c r="Z61" s="164"/>
      <c r="AA61" s="164"/>
      <c r="AB61" s="164"/>
      <c r="AC61" s="164"/>
      <c r="AD61" s="164"/>
    </row>
    <row r="62" ht="15.75" customHeight="1">
      <c r="A62" s="457"/>
      <c r="B62" s="369" t="s">
        <v>470</v>
      </c>
      <c r="C62" s="406" t="s">
        <v>851</v>
      </c>
      <c r="D62" s="725"/>
      <c r="E62" s="861"/>
      <c r="F62" s="861"/>
      <c r="G62" s="369" t="s">
        <v>1638</v>
      </c>
      <c r="H62" s="369" t="s">
        <v>1639</v>
      </c>
      <c r="I62" s="862"/>
      <c r="J62" s="609">
        <v>45559.0</v>
      </c>
      <c r="K62" s="863"/>
      <c r="L62" s="602" t="s">
        <v>1640</v>
      </c>
      <c r="M62" s="164"/>
      <c r="N62" s="164"/>
      <c r="O62" s="704"/>
      <c r="P62" s="728" t="s">
        <v>1532</v>
      </c>
      <c r="Q62" s="164"/>
      <c r="R62" s="164"/>
      <c r="S62" s="164"/>
      <c r="T62" s="164"/>
      <c r="U62" s="164"/>
      <c r="V62" s="164"/>
      <c r="W62" s="164"/>
      <c r="X62" s="164"/>
      <c r="Y62" s="164"/>
      <c r="Z62" s="164"/>
      <c r="AA62" s="164"/>
      <c r="AB62" s="164"/>
      <c r="AC62" s="164"/>
      <c r="AD62" s="164"/>
    </row>
    <row r="63" ht="15.75" customHeight="1">
      <c r="A63" s="457"/>
      <c r="B63" s="23" t="s">
        <v>495</v>
      </c>
      <c r="C63" s="324" t="s">
        <v>851</v>
      </c>
      <c r="D63" s="633"/>
      <c r="E63" s="633"/>
      <c r="F63" s="633"/>
      <c r="G63" s="749" t="s">
        <v>1641</v>
      </c>
      <c r="H63" s="236" t="s">
        <v>1642</v>
      </c>
      <c r="I63" s="765" t="s">
        <v>1643</v>
      </c>
      <c r="J63" s="737">
        <v>45205.0</v>
      </c>
      <c r="K63" s="195"/>
      <c r="L63" s="808" t="s">
        <v>1644</v>
      </c>
      <c r="M63" s="716" t="s">
        <v>1645</v>
      </c>
      <c r="N63" s="164"/>
      <c r="O63" s="704"/>
      <c r="P63" s="164"/>
      <c r="Q63" s="164"/>
      <c r="R63" s="164"/>
      <c r="S63" s="164"/>
      <c r="T63" s="164"/>
      <c r="U63" s="164"/>
      <c r="V63" s="164"/>
      <c r="W63" s="164"/>
      <c r="X63" s="164"/>
      <c r="Y63" s="164"/>
      <c r="Z63" s="164"/>
      <c r="AA63" s="164"/>
      <c r="AB63" s="164"/>
      <c r="AC63" s="164"/>
      <c r="AD63" s="164"/>
    </row>
    <row r="64" ht="15.75" customHeight="1">
      <c r="A64" s="457"/>
      <c r="B64" s="767" t="s">
        <v>1646</v>
      </c>
      <c r="C64" s="41" t="s">
        <v>851</v>
      </c>
      <c r="D64" s="864"/>
      <c r="E64" s="864"/>
      <c r="F64" s="864"/>
      <c r="G64" s="208" t="s">
        <v>1647</v>
      </c>
      <c r="H64" s="697" t="s">
        <v>1648</v>
      </c>
      <c r="I64" s="765"/>
      <c r="J64" s="761">
        <v>45484.0</v>
      </c>
      <c r="K64" s="19"/>
      <c r="L64" s="808" t="s">
        <v>1649</v>
      </c>
      <c r="M64" s="716" t="s">
        <v>1650</v>
      </c>
      <c r="N64" s="164"/>
      <c r="O64" s="704"/>
      <c r="P64" s="164"/>
      <c r="Q64" s="164"/>
      <c r="R64" s="164"/>
      <c r="S64" s="164"/>
      <c r="T64" s="164"/>
      <c r="U64" s="164"/>
      <c r="V64" s="164"/>
      <c r="W64" s="164"/>
      <c r="X64" s="164"/>
      <c r="Y64" s="164"/>
      <c r="Z64" s="164"/>
      <c r="AA64" s="164"/>
      <c r="AB64" s="164"/>
      <c r="AC64" s="164"/>
      <c r="AD64" s="164"/>
    </row>
    <row r="65" ht="15.75" customHeight="1">
      <c r="A65" s="457"/>
      <c r="B65" s="41" t="s">
        <v>1651</v>
      </c>
      <c r="C65" s="312" t="s">
        <v>851</v>
      </c>
      <c r="D65" s="756"/>
      <c r="E65" s="756"/>
      <c r="F65" s="756"/>
      <c r="G65" s="744" t="s">
        <v>1652</v>
      </c>
      <c r="H65" s="659" t="s">
        <v>1653</v>
      </c>
      <c r="I65" s="751"/>
      <c r="J65" s="737">
        <v>44928.0</v>
      </c>
      <c r="K65" s="710"/>
      <c r="L65" s="857"/>
      <c r="M65" s="164"/>
      <c r="N65" s="164"/>
      <c r="O65" s="704"/>
      <c r="P65" s="164"/>
      <c r="Q65" s="164"/>
      <c r="R65" s="164"/>
      <c r="S65" s="164"/>
      <c r="T65" s="164"/>
      <c r="U65" s="164"/>
      <c r="V65" s="164"/>
      <c r="W65" s="164"/>
      <c r="X65" s="164"/>
      <c r="Y65" s="164"/>
      <c r="Z65" s="164"/>
      <c r="AA65" s="164"/>
      <c r="AB65" s="164"/>
      <c r="AC65" s="164"/>
      <c r="AD65" s="164"/>
    </row>
    <row r="66" ht="15.75" customHeight="1">
      <c r="A66" s="430"/>
      <c r="B66" s="46" t="s">
        <v>1654</v>
      </c>
      <c r="C66" s="865"/>
      <c r="D66" s="785"/>
      <c r="E66" s="785"/>
      <c r="F66" s="785"/>
      <c r="G66" s="615" t="s">
        <v>1655</v>
      </c>
      <c r="H66" s="749" t="s">
        <v>1656</v>
      </c>
      <c r="I66" s="751"/>
      <c r="J66" s="737">
        <v>45720.0</v>
      </c>
      <c r="K66" s="744"/>
      <c r="L66" s="808" t="s">
        <v>1657</v>
      </c>
      <c r="M66" s="164"/>
      <c r="N66" s="164"/>
      <c r="O66" s="704"/>
      <c r="P66" s="164"/>
      <c r="Q66" s="164"/>
      <c r="R66" s="164"/>
      <c r="S66" s="164"/>
      <c r="T66" s="164"/>
      <c r="U66" s="164"/>
      <c r="V66" s="164"/>
      <c r="W66" s="164"/>
      <c r="X66" s="164"/>
      <c r="Y66" s="164"/>
      <c r="Z66" s="164"/>
      <c r="AA66" s="164"/>
      <c r="AB66" s="164"/>
      <c r="AC66" s="164"/>
      <c r="AD66" s="164"/>
    </row>
    <row r="67" ht="15.75" customHeight="1">
      <c r="A67" s="164"/>
      <c r="B67" s="774"/>
      <c r="C67" s="866"/>
      <c r="D67" s="866"/>
      <c r="E67" s="866"/>
      <c r="F67" s="866"/>
      <c r="G67" s="867"/>
      <c r="H67" s="868"/>
      <c r="I67" s="869"/>
      <c r="J67" s="771"/>
      <c r="K67" s="801"/>
      <c r="L67" s="776"/>
      <c r="M67" s="164"/>
      <c r="N67" s="164"/>
      <c r="O67" s="788"/>
      <c r="P67" s="164"/>
      <c r="Q67" s="164"/>
      <c r="R67" s="164"/>
      <c r="S67" s="164"/>
      <c r="T67" s="164"/>
      <c r="U67" s="164"/>
      <c r="V67" s="164"/>
      <c r="W67" s="164"/>
      <c r="X67" s="164"/>
      <c r="Y67" s="164"/>
      <c r="Z67" s="164"/>
      <c r="AA67" s="164"/>
      <c r="AB67" s="164"/>
      <c r="AC67" s="164"/>
      <c r="AD67" s="164"/>
    </row>
    <row r="68" ht="15.75" customHeight="1">
      <c r="A68" s="164"/>
      <c r="B68" s="774"/>
      <c r="C68" s="866"/>
      <c r="D68" s="866"/>
      <c r="E68" s="866"/>
      <c r="F68" s="866"/>
      <c r="G68" s="867"/>
      <c r="H68" s="868"/>
      <c r="I68" s="869"/>
      <c r="J68" s="771"/>
      <c r="K68" s="801"/>
      <c r="L68" s="164"/>
      <c r="M68" s="788"/>
      <c r="N68" s="788"/>
      <c r="O68" s="788"/>
      <c r="P68" s="164"/>
      <c r="Q68" s="164"/>
      <c r="R68" s="164"/>
      <c r="S68" s="164"/>
      <c r="T68" s="164"/>
      <c r="U68" s="164"/>
      <c r="V68" s="164"/>
      <c r="W68" s="164"/>
      <c r="X68" s="164"/>
      <c r="Y68" s="164"/>
      <c r="Z68" s="164"/>
      <c r="AA68" s="164"/>
      <c r="AB68" s="164"/>
      <c r="AC68" s="164"/>
      <c r="AD68" s="164"/>
    </row>
    <row r="69" ht="15.75" customHeight="1">
      <c r="A69" s="735" t="s">
        <v>1658</v>
      </c>
      <c r="B69" s="744" t="s">
        <v>591</v>
      </c>
      <c r="C69" s="22" t="s">
        <v>851</v>
      </c>
      <c r="D69" s="406" t="s">
        <v>1213</v>
      </c>
      <c r="E69" s="747"/>
      <c r="F69" s="747"/>
      <c r="G69" s="406" t="s">
        <v>1659</v>
      </c>
      <c r="H69" s="789" t="s">
        <v>1660</v>
      </c>
      <c r="I69" s="870" t="s">
        <v>1661</v>
      </c>
      <c r="J69" s="737">
        <v>44988.0</v>
      </c>
      <c r="K69" s="754"/>
      <c r="L69" s="693" t="s">
        <v>1514</v>
      </c>
      <c r="M69" s="493" t="s">
        <v>1662</v>
      </c>
      <c r="N69" s="850" t="s">
        <v>1663</v>
      </c>
      <c r="O69" s="164"/>
      <c r="P69" s="164"/>
      <c r="Q69" s="164"/>
      <c r="R69" s="164"/>
      <c r="S69" s="164"/>
      <c r="T69" s="164"/>
      <c r="U69" s="164"/>
      <c r="V69" s="164"/>
      <c r="W69" s="164"/>
      <c r="X69" s="164"/>
      <c r="Y69" s="164"/>
      <c r="Z69" s="164"/>
      <c r="AA69" s="164"/>
      <c r="AB69" s="164"/>
      <c r="AC69" s="164"/>
      <c r="AD69" s="164"/>
    </row>
    <row r="70" ht="15.75" customHeight="1">
      <c r="A70" s="457"/>
      <c r="B70" s="23" t="s">
        <v>423</v>
      </c>
      <c r="C70" s="41" t="s">
        <v>851</v>
      </c>
      <c r="D70" s="41" t="s">
        <v>1664</v>
      </c>
      <c r="E70" s="591"/>
      <c r="F70" s="591"/>
      <c r="G70" s="41" t="s">
        <v>1665</v>
      </c>
      <c r="H70" s="25" t="s">
        <v>1666</v>
      </c>
      <c r="I70" s="135" t="s">
        <v>1667</v>
      </c>
      <c r="J70" s="761">
        <v>44823.0</v>
      </c>
      <c r="K70" s="18" t="s">
        <v>1668</v>
      </c>
      <c r="L70" s="871"/>
      <c r="M70" s="850" t="s">
        <v>1669</v>
      </c>
      <c r="N70" s="850" t="s">
        <v>1670</v>
      </c>
      <c r="O70" s="164"/>
      <c r="P70" s="164"/>
      <c r="Q70" s="164"/>
      <c r="R70" s="164"/>
      <c r="S70" s="164"/>
      <c r="T70" s="164"/>
      <c r="U70" s="164"/>
      <c r="V70" s="164"/>
      <c r="W70" s="164"/>
      <c r="X70" s="164"/>
      <c r="Y70" s="164"/>
      <c r="Z70" s="164"/>
      <c r="AA70" s="164"/>
      <c r="AB70" s="164"/>
      <c r="AC70" s="164"/>
      <c r="AD70" s="164"/>
    </row>
    <row r="71" ht="15.75" customHeight="1">
      <c r="A71" s="457"/>
      <c r="B71" s="767" t="s">
        <v>448</v>
      </c>
      <c r="C71" s="119" t="s">
        <v>851</v>
      </c>
      <c r="D71" s="864"/>
      <c r="E71" s="864"/>
      <c r="F71" s="864"/>
      <c r="G71" s="545" t="s">
        <v>1671</v>
      </c>
      <c r="H71" s="668" t="s">
        <v>1672</v>
      </c>
      <c r="I71" s="765"/>
      <c r="J71" s="737">
        <v>45176.0</v>
      </c>
      <c r="K71" s="19"/>
      <c r="L71" s="808" t="s">
        <v>1673</v>
      </c>
      <c r="M71" s="783" t="s">
        <v>1674</v>
      </c>
      <c r="N71" s="850" t="s">
        <v>1675</v>
      </c>
      <c r="O71" s="850" t="s">
        <v>1663</v>
      </c>
      <c r="P71" s="850" t="s">
        <v>1663</v>
      </c>
      <c r="Q71" s="164"/>
      <c r="R71" s="164"/>
      <c r="S71" s="164"/>
      <c r="T71" s="164"/>
      <c r="U71" s="164"/>
      <c r="V71" s="164"/>
      <c r="W71" s="164"/>
      <c r="X71" s="164"/>
      <c r="Y71" s="164"/>
      <c r="Z71" s="164"/>
      <c r="AA71" s="164"/>
      <c r="AB71" s="164"/>
      <c r="AC71" s="164"/>
      <c r="AD71" s="164"/>
    </row>
    <row r="72" ht="15.75" customHeight="1">
      <c r="A72" s="457"/>
      <c r="B72" s="767" t="s">
        <v>473</v>
      </c>
      <c r="C72" s="41" t="s">
        <v>851</v>
      </c>
      <c r="D72" s="864"/>
      <c r="E72" s="864"/>
      <c r="F72" s="864"/>
      <c r="G72" s="208" t="s">
        <v>1676</v>
      </c>
      <c r="H72" s="697" t="s">
        <v>1677</v>
      </c>
      <c r="I72" s="765"/>
      <c r="J72" s="761">
        <v>44843.0</v>
      </c>
      <c r="K72" s="19"/>
      <c r="L72" s="808" t="s">
        <v>1678</v>
      </c>
      <c r="M72" s="19"/>
      <c r="N72" s="164"/>
      <c r="O72" s="164"/>
      <c r="P72" s="164"/>
      <c r="Q72" s="164"/>
      <c r="R72" s="164"/>
      <c r="S72" s="164"/>
      <c r="T72" s="164"/>
      <c r="U72" s="164"/>
      <c r="V72" s="164"/>
      <c r="W72" s="164"/>
      <c r="X72" s="164"/>
      <c r="Y72" s="164"/>
      <c r="Z72" s="164"/>
      <c r="AA72" s="164"/>
      <c r="AB72" s="164"/>
      <c r="AC72" s="164"/>
      <c r="AD72" s="164"/>
    </row>
    <row r="73" ht="15.75" customHeight="1">
      <c r="A73" s="457"/>
      <c r="B73" s="767" t="s">
        <v>498</v>
      </c>
      <c r="C73" s="18" t="s">
        <v>851</v>
      </c>
      <c r="D73" s="864"/>
      <c r="E73" s="864"/>
      <c r="F73" s="864"/>
      <c r="G73" s="615" t="s">
        <v>1679</v>
      </c>
      <c r="H73" s="46" t="s">
        <v>1680</v>
      </c>
      <c r="I73" s="765"/>
      <c r="J73" s="761">
        <v>45664.0</v>
      </c>
      <c r="K73" s="19"/>
      <c r="L73" s="808" t="s">
        <v>1681</v>
      </c>
      <c r="M73" s="660" t="s">
        <v>1109</v>
      </c>
      <c r="N73" s="164"/>
      <c r="O73" s="164"/>
      <c r="P73" s="164"/>
      <c r="Q73" s="164"/>
      <c r="R73" s="164"/>
      <c r="S73" s="164"/>
      <c r="T73" s="164"/>
      <c r="U73" s="164"/>
      <c r="V73" s="164"/>
      <c r="W73" s="164"/>
      <c r="X73" s="164"/>
      <c r="Y73" s="164"/>
      <c r="Z73" s="164"/>
      <c r="AA73" s="164"/>
      <c r="AB73" s="164"/>
      <c r="AC73" s="164"/>
      <c r="AD73" s="164"/>
    </row>
    <row r="74" ht="15.75" customHeight="1">
      <c r="A74" s="457"/>
      <c r="B74" s="767" t="s">
        <v>1682</v>
      </c>
      <c r="C74" s="18" t="s">
        <v>851</v>
      </c>
      <c r="D74" s="872" t="s">
        <v>1683</v>
      </c>
      <c r="E74" s="864"/>
      <c r="F74" s="864"/>
      <c r="G74" s="409" t="s">
        <v>1684</v>
      </c>
      <c r="H74" s="208" t="s">
        <v>1685</v>
      </c>
      <c r="I74" s="765"/>
      <c r="J74" s="761">
        <v>45671.0</v>
      </c>
      <c r="K74" s="19"/>
      <c r="L74" s="808" t="s">
        <v>1108</v>
      </c>
      <c r="M74" s="660" t="s">
        <v>1109</v>
      </c>
      <c r="N74" s="164"/>
      <c r="O74" s="164"/>
      <c r="P74" s="164"/>
      <c r="Q74" s="164"/>
      <c r="R74" s="164"/>
      <c r="S74" s="164"/>
      <c r="T74" s="164"/>
      <c r="U74" s="164"/>
      <c r="V74" s="164"/>
      <c r="W74" s="164"/>
      <c r="X74" s="164"/>
      <c r="Y74" s="164"/>
      <c r="Z74" s="164"/>
      <c r="AA74" s="164"/>
      <c r="AB74" s="164"/>
      <c r="AC74" s="164"/>
      <c r="AD74" s="164"/>
    </row>
    <row r="75" ht="15.75" customHeight="1">
      <c r="A75" s="457"/>
      <c r="B75" s="659" t="s">
        <v>547</v>
      </c>
      <c r="C75" s="708" t="s">
        <v>851</v>
      </c>
      <c r="D75" s="747"/>
      <c r="E75" s="748"/>
      <c r="F75" s="748"/>
      <c r="G75" s="414" t="s">
        <v>1686</v>
      </c>
      <c r="H75" s="668" t="s">
        <v>1687</v>
      </c>
      <c r="I75" s="873"/>
      <c r="J75" s="737">
        <v>45385.0</v>
      </c>
      <c r="K75" s="738"/>
      <c r="L75" s="602" t="s">
        <v>1341</v>
      </c>
      <c r="M75" s="164"/>
      <c r="N75" s="164"/>
      <c r="O75" s="164"/>
      <c r="P75" s="164"/>
      <c r="Q75" s="164"/>
      <c r="R75" s="164"/>
      <c r="S75" s="164"/>
      <c r="T75" s="164"/>
      <c r="U75" s="164"/>
      <c r="V75" s="164"/>
      <c r="W75" s="164"/>
      <c r="X75" s="164"/>
      <c r="Y75" s="164"/>
      <c r="Z75" s="164"/>
      <c r="AA75" s="164"/>
      <c r="AB75" s="164"/>
      <c r="AC75" s="164"/>
      <c r="AD75" s="164"/>
    </row>
    <row r="76" ht="17.25" customHeight="1">
      <c r="A76" s="430"/>
      <c r="B76" s="23" t="s">
        <v>1688</v>
      </c>
      <c r="C76" s="324" t="s">
        <v>851</v>
      </c>
      <c r="D76" s="633"/>
      <c r="E76" s="633"/>
      <c r="F76" s="633"/>
      <c r="G76" s="409" t="s">
        <v>1689</v>
      </c>
      <c r="H76" s="697" t="s">
        <v>1690</v>
      </c>
      <c r="I76" s="807"/>
      <c r="J76" s="737">
        <v>45490.0</v>
      </c>
      <c r="K76" s="195"/>
      <c r="L76" s="808" t="s">
        <v>1691</v>
      </c>
      <c r="M76" s="716" t="s">
        <v>1692</v>
      </c>
      <c r="N76" s="164"/>
      <c r="O76" s="164"/>
      <c r="P76" s="164"/>
      <c r="Q76" s="164"/>
      <c r="R76" s="164"/>
      <c r="S76" s="164"/>
      <c r="T76" s="164"/>
      <c r="U76" s="164"/>
      <c r="V76" s="164"/>
      <c r="W76" s="164"/>
      <c r="X76" s="164"/>
      <c r="Y76" s="164"/>
      <c r="Z76" s="164"/>
      <c r="AA76" s="164"/>
      <c r="AB76" s="164"/>
      <c r="AC76" s="164"/>
      <c r="AD76" s="164"/>
    </row>
    <row r="77" ht="15.75" customHeight="1">
      <c r="A77" s="164"/>
      <c r="B77" s="774"/>
      <c r="C77" s="874"/>
      <c r="D77" s="874"/>
      <c r="E77" s="874"/>
      <c r="F77" s="874"/>
      <c r="G77" s="875"/>
      <c r="H77" s="869"/>
      <c r="I77" s="869"/>
      <c r="J77" s="874"/>
      <c r="K77" s="876"/>
      <c r="L77" s="164"/>
      <c r="M77" s="877"/>
      <c r="N77" s="164"/>
      <c r="O77" s="164"/>
      <c r="P77" s="164"/>
      <c r="Q77" s="164"/>
      <c r="R77" s="164"/>
      <c r="S77" s="164"/>
      <c r="T77" s="164"/>
      <c r="U77" s="164"/>
      <c r="V77" s="164"/>
      <c r="W77" s="164"/>
      <c r="X77" s="164"/>
      <c r="Y77" s="164"/>
      <c r="Z77" s="164"/>
      <c r="AA77" s="164"/>
      <c r="AB77" s="164"/>
      <c r="AC77" s="164"/>
      <c r="AD77" s="164"/>
    </row>
    <row r="78" ht="15.75" customHeight="1">
      <c r="A78" s="164"/>
      <c r="B78" s="774"/>
      <c r="C78" s="874"/>
      <c r="D78" s="874"/>
      <c r="E78" s="874"/>
      <c r="F78" s="874"/>
      <c r="G78" s="875"/>
      <c r="H78" s="869"/>
      <c r="I78" s="869"/>
      <c r="J78" s="874"/>
      <c r="K78" s="876"/>
      <c r="L78" s="164"/>
      <c r="M78" s="877"/>
      <c r="N78" s="164"/>
      <c r="O78" s="164"/>
      <c r="P78" s="164"/>
      <c r="Q78" s="164"/>
      <c r="R78" s="164"/>
      <c r="S78" s="164"/>
      <c r="T78" s="164"/>
      <c r="U78" s="164"/>
      <c r="V78" s="164"/>
      <c r="W78" s="164"/>
      <c r="X78" s="164"/>
      <c r="Y78" s="164"/>
      <c r="Z78" s="164"/>
      <c r="AA78" s="164"/>
      <c r="AB78" s="164"/>
      <c r="AC78" s="164"/>
      <c r="AD78" s="164"/>
    </row>
    <row r="79" ht="15.75" customHeight="1">
      <c r="A79" s="47" t="s">
        <v>1693</v>
      </c>
      <c r="B79" s="18" t="s">
        <v>236</v>
      </c>
      <c r="C79" s="18" t="s">
        <v>851</v>
      </c>
      <c r="D79" s="878"/>
      <c r="E79" s="878"/>
      <c r="F79" s="878"/>
      <c r="G79" s="41" t="s">
        <v>1694</v>
      </c>
      <c r="H79" s="260" t="s">
        <v>1695</v>
      </c>
      <c r="I79" s="879"/>
      <c r="J79" s="768">
        <v>44984.0</v>
      </c>
      <c r="K79" s="822"/>
      <c r="L79" s="493" t="s">
        <v>1696</v>
      </c>
      <c r="M79" s="824" t="s">
        <v>1697</v>
      </c>
      <c r="N79" s="690" t="s">
        <v>1698</v>
      </c>
      <c r="O79" s="164"/>
      <c r="P79" s="164"/>
      <c r="Q79" s="164"/>
      <c r="R79" s="164"/>
      <c r="S79" s="164"/>
      <c r="T79" s="164"/>
      <c r="U79" s="164"/>
      <c r="V79" s="164"/>
      <c r="W79" s="164"/>
      <c r="X79" s="164"/>
      <c r="Y79" s="164"/>
      <c r="Z79" s="164"/>
      <c r="AA79" s="164"/>
      <c r="AB79" s="164"/>
      <c r="AC79" s="164"/>
      <c r="AD79" s="164"/>
    </row>
    <row r="80" ht="15.75" customHeight="1">
      <c r="A80" s="457"/>
      <c r="B80" s="18" t="s">
        <v>246</v>
      </c>
      <c r="C80" s="18" t="s">
        <v>851</v>
      </c>
      <c r="D80" s="878"/>
      <c r="E80" s="878"/>
      <c r="F80" s="878"/>
      <c r="G80" s="21" t="s">
        <v>1699</v>
      </c>
      <c r="H80" s="109" t="s">
        <v>1700</v>
      </c>
      <c r="I80" s="880"/>
      <c r="J80" s="768">
        <v>44984.0</v>
      </c>
      <c r="K80" s="822"/>
      <c r="L80" s="493" t="s">
        <v>1696</v>
      </c>
      <c r="M80" s="824" t="s">
        <v>1697</v>
      </c>
      <c r="N80" s="690" t="s">
        <v>1698</v>
      </c>
      <c r="O80" s="164"/>
      <c r="P80" s="164"/>
      <c r="Q80" s="164"/>
      <c r="R80" s="164"/>
      <c r="S80" s="164"/>
      <c r="T80" s="164"/>
      <c r="U80" s="164"/>
      <c r="V80" s="164"/>
      <c r="W80" s="164"/>
      <c r="X80" s="164"/>
      <c r="Y80" s="164"/>
      <c r="Z80" s="164"/>
      <c r="AA80" s="164"/>
      <c r="AB80" s="164"/>
      <c r="AC80" s="164"/>
      <c r="AD80" s="164"/>
    </row>
    <row r="81" ht="15.75" customHeight="1">
      <c r="A81" s="457"/>
      <c r="B81" s="169" t="s">
        <v>256</v>
      </c>
      <c r="C81" s="881" t="s">
        <v>851</v>
      </c>
      <c r="D81" s="882"/>
      <c r="E81" s="883"/>
      <c r="F81" s="883"/>
      <c r="G81" s="47" t="s">
        <v>1701</v>
      </c>
      <c r="H81" s="884" t="s">
        <v>1702</v>
      </c>
      <c r="I81" s="751"/>
      <c r="J81" s="768">
        <v>44984.0</v>
      </c>
      <c r="K81" s="822"/>
      <c r="L81" s="493" t="s">
        <v>1696</v>
      </c>
      <c r="M81" s="824" t="s">
        <v>1697</v>
      </c>
      <c r="N81" s="885" t="s">
        <v>1703</v>
      </c>
      <c r="O81" s="164"/>
      <c r="P81" s="164"/>
      <c r="Q81" s="164"/>
      <c r="R81" s="164"/>
      <c r="S81" s="164"/>
      <c r="T81" s="164"/>
      <c r="U81" s="164"/>
      <c r="V81" s="164"/>
      <c r="W81" s="164"/>
      <c r="X81" s="164"/>
      <c r="Y81" s="164"/>
      <c r="Z81" s="164"/>
      <c r="AA81" s="164"/>
      <c r="AB81" s="164"/>
      <c r="AC81" s="164"/>
      <c r="AD81" s="164"/>
    </row>
    <row r="82" ht="15.75" customHeight="1">
      <c r="A82" s="457"/>
      <c r="B82" s="41" t="s">
        <v>266</v>
      </c>
      <c r="C82" s="767" t="s">
        <v>851</v>
      </c>
      <c r="D82" s="803"/>
      <c r="E82" s="803"/>
      <c r="F82" s="803"/>
      <c r="G82" s="47" t="s">
        <v>1701</v>
      </c>
      <c r="H82" s="884" t="s">
        <v>1702</v>
      </c>
      <c r="I82" s="751"/>
      <c r="J82" s="768">
        <v>44984.0</v>
      </c>
      <c r="K82" s="822"/>
      <c r="L82" s="493" t="s">
        <v>1696</v>
      </c>
      <c r="M82" s="824" t="s">
        <v>1697</v>
      </c>
      <c r="N82" s="885" t="s">
        <v>1703</v>
      </c>
      <c r="O82" s="164"/>
      <c r="P82" s="164"/>
      <c r="Q82" s="164"/>
      <c r="R82" s="164"/>
      <c r="S82" s="164"/>
      <c r="T82" s="164"/>
      <c r="U82" s="164"/>
      <c r="V82" s="164"/>
      <c r="W82" s="164"/>
      <c r="X82" s="164"/>
      <c r="Y82" s="164"/>
      <c r="Z82" s="164"/>
      <c r="AA82" s="164"/>
      <c r="AB82" s="164"/>
      <c r="AC82" s="164"/>
      <c r="AD82" s="164"/>
    </row>
    <row r="83" ht="15.75" customHeight="1">
      <c r="A83" s="457"/>
      <c r="B83" s="18" t="s">
        <v>276</v>
      </c>
      <c r="C83" s="659" t="s">
        <v>851</v>
      </c>
      <c r="D83" s="802"/>
      <c r="E83" s="802"/>
      <c r="F83" s="802"/>
      <c r="G83" s="405" t="s">
        <v>1704</v>
      </c>
      <c r="H83" s="789" t="s">
        <v>1705</v>
      </c>
      <c r="I83" s="886"/>
      <c r="J83" s="768">
        <v>44984.0</v>
      </c>
      <c r="K83" s="822"/>
      <c r="L83" s="493" t="s">
        <v>1696</v>
      </c>
      <c r="M83" s="824" t="s">
        <v>1697</v>
      </c>
      <c r="N83" s="690" t="s">
        <v>1698</v>
      </c>
      <c r="O83" s="690" t="s">
        <v>1510</v>
      </c>
      <c r="P83" s="164"/>
      <c r="Q83" s="164"/>
      <c r="R83" s="164"/>
      <c r="S83" s="164"/>
      <c r="T83" s="164"/>
      <c r="U83" s="164"/>
      <c r="V83" s="164"/>
      <c r="W83" s="164"/>
      <c r="X83" s="164"/>
      <c r="Y83" s="164"/>
      <c r="Z83" s="164"/>
      <c r="AA83" s="164"/>
      <c r="AB83" s="164"/>
      <c r="AC83" s="164"/>
      <c r="AD83" s="164"/>
    </row>
    <row r="84" ht="15.75" customHeight="1">
      <c r="A84" s="457"/>
      <c r="B84" s="18" t="s">
        <v>286</v>
      </c>
      <c r="C84" s="767" t="s">
        <v>851</v>
      </c>
      <c r="D84" s="803"/>
      <c r="E84" s="803"/>
      <c r="F84" s="633"/>
      <c r="G84" s="406" t="s">
        <v>1706</v>
      </c>
      <c r="H84" s="789" t="s">
        <v>1707</v>
      </c>
      <c r="I84" s="887"/>
      <c r="J84" s="761">
        <v>44984.0</v>
      </c>
      <c r="K84" s="135" t="s">
        <v>1708</v>
      </c>
      <c r="L84" s="850" t="s">
        <v>1709</v>
      </c>
      <c r="M84" s="824" t="s">
        <v>1697</v>
      </c>
      <c r="N84" s="164"/>
      <c r="O84" s="164"/>
      <c r="P84" s="164"/>
      <c r="Q84" s="164"/>
      <c r="R84" s="164"/>
      <c r="S84" s="164"/>
      <c r="T84" s="164"/>
      <c r="U84" s="164"/>
      <c r="V84" s="164"/>
      <c r="W84" s="164"/>
      <c r="X84" s="164"/>
      <c r="Y84" s="164"/>
      <c r="Z84" s="164"/>
      <c r="AA84" s="164"/>
      <c r="AB84" s="164"/>
      <c r="AC84" s="164"/>
      <c r="AD84" s="164"/>
    </row>
    <row r="85">
      <c r="A85" s="457"/>
      <c r="B85" s="767" t="s">
        <v>294</v>
      </c>
      <c r="C85" s="135" t="s">
        <v>851</v>
      </c>
      <c r="D85" s="888"/>
      <c r="E85" s="888"/>
      <c r="F85" s="888"/>
      <c r="G85" s="564" t="s">
        <v>1710</v>
      </c>
      <c r="H85" s="135" t="s">
        <v>1711</v>
      </c>
      <c r="I85" s="790"/>
      <c r="J85" s="764">
        <v>44985.0</v>
      </c>
      <c r="K85" s="770"/>
      <c r="L85" s="850" t="s">
        <v>1696</v>
      </c>
      <c r="M85" s="824" t="s">
        <v>1697</v>
      </c>
      <c r="N85" s="824" t="s">
        <v>1577</v>
      </c>
      <c r="O85" s="824" t="s">
        <v>1578</v>
      </c>
      <c r="P85" s="164"/>
      <c r="Q85" s="164"/>
      <c r="R85" s="164"/>
      <c r="S85" s="164"/>
      <c r="T85" s="164"/>
      <c r="U85" s="164"/>
      <c r="V85" s="164"/>
      <c r="W85" s="164"/>
      <c r="X85" s="164"/>
      <c r="Y85" s="164"/>
      <c r="Z85" s="164"/>
      <c r="AA85" s="164"/>
      <c r="AB85" s="164"/>
      <c r="AC85" s="164"/>
      <c r="AD85" s="164"/>
    </row>
    <row r="86" ht="15.75" customHeight="1">
      <c r="A86" s="430"/>
      <c r="B86" s="157" t="s">
        <v>302</v>
      </c>
      <c r="C86" s="21" t="s">
        <v>861</v>
      </c>
      <c r="D86" s="889"/>
      <c r="E86" s="890"/>
      <c r="F86" s="890"/>
      <c r="G86" s="251" t="s">
        <v>1712</v>
      </c>
      <c r="H86" s="251" t="s">
        <v>1713</v>
      </c>
      <c r="I86" s="842"/>
      <c r="J86" s="843">
        <v>44987.0</v>
      </c>
      <c r="K86" s="766"/>
      <c r="L86" s="488" t="s">
        <v>1714</v>
      </c>
      <c r="M86" s="891" t="s">
        <v>1715</v>
      </c>
      <c r="N86" s="850" t="s">
        <v>1716</v>
      </c>
      <c r="O86" s="493" t="s">
        <v>1557</v>
      </c>
      <c r="P86" s="164"/>
      <c r="Q86" s="164"/>
      <c r="R86" s="164"/>
      <c r="S86" s="164"/>
      <c r="T86" s="164"/>
      <c r="U86" s="164"/>
      <c r="V86" s="164"/>
      <c r="W86" s="164"/>
      <c r="X86" s="164"/>
      <c r="Y86" s="164"/>
      <c r="Z86" s="164"/>
      <c r="AA86" s="164"/>
      <c r="AB86" s="164"/>
      <c r="AC86" s="164"/>
      <c r="AD86" s="164"/>
    </row>
    <row r="87" ht="19.5" customHeight="1">
      <c r="A87" s="164"/>
      <c r="B87" s="164"/>
      <c r="C87" s="385"/>
      <c r="D87" s="385"/>
      <c r="E87" s="774"/>
      <c r="F87" s="774"/>
      <c r="G87" s="164"/>
      <c r="H87" s="164"/>
      <c r="I87" s="164"/>
      <c r="J87" s="892"/>
      <c r="K87" s="164"/>
      <c r="L87" s="164"/>
      <c r="M87" s="164"/>
      <c r="N87" s="164"/>
      <c r="O87" s="164"/>
      <c r="P87" s="164"/>
      <c r="Q87" s="164"/>
      <c r="R87" s="164"/>
      <c r="S87" s="164"/>
      <c r="T87" s="164"/>
      <c r="U87" s="164"/>
      <c r="V87" s="164"/>
      <c r="W87" s="164"/>
      <c r="X87" s="164"/>
      <c r="Y87" s="164"/>
      <c r="Z87" s="164"/>
      <c r="AA87" s="164"/>
      <c r="AB87" s="164"/>
      <c r="AC87" s="164"/>
      <c r="AD87" s="164"/>
    </row>
    <row r="88" ht="15.75" customHeight="1">
      <c r="A88" s="164"/>
      <c r="B88" s="774"/>
      <c r="C88" s="893"/>
      <c r="D88" s="893"/>
      <c r="E88" s="894"/>
      <c r="F88" s="894"/>
      <c r="G88" s="895"/>
      <c r="H88" s="896"/>
      <c r="I88" s="775"/>
      <c r="J88" s="772"/>
      <c r="K88" s="164"/>
      <c r="L88" s="164"/>
      <c r="M88" s="164"/>
      <c r="N88" s="164"/>
      <c r="O88" s="164"/>
      <c r="P88" s="164"/>
      <c r="Q88" s="164"/>
      <c r="R88" s="164"/>
      <c r="S88" s="164"/>
      <c r="T88" s="164"/>
      <c r="U88" s="164"/>
      <c r="V88" s="164"/>
      <c r="W88" s="164"/>
      <c r="X88" s="164"/>
      <c r="Y88" s="164"/>
      <c r="Z88" s="164"/>
      <c r="AA88" s="164"/>
      <c r="AB88" s="164"/>
      <c r="AC88" s="164"/>
      <c r="AD88" s="164"/>
    </row>
    <row r="89" ht="15.75" customHeight="1">
      <c r="A89" s="47" t="s">
        <v>1717</v>
      </c>
      <c r="B89" s="767" t="s">
        <v>237</v>
      </c>
      <c r="C89" s="41" t="s">
        <v>851</v>
      </c>
      <c r="D89" s="633"/>
      <c r="E89" s="633"/>
      <c r="F89" s="633"/>
      <c r="G89" s="897" t="s">
        <v>1718</v>
      </c>
      <c r="H89" s="898" t="s">
        <v>1719</v>
      </c>
      <c r="I89" s="887"/>
      <c r="J89" s="761">
        <v>44984.0</v>
      </c>
      <c r="K89" s="899"/>
      <c r="L89" s="850" t="s">
        <v>1696</v>
      </c>
      <c r="M89" s="824" t="s">
        <v>1697</v>
      </c>
      <c r="N89" s="788"/>
      <c r="O89" s="164"/>
      <c r="P89" s="164"/>
      <c r="Q89" s="164"/>
      <c r="R89" s="164"/>
      <c r="S89" s="164"/>
      <c r="T89" s="164"/>
      <c r="U89" s="164"/>
      <c r="V89" s="164"/>
      <c r="W89" s="164"/>
      <c r="X89" s="164"/>
      <c r="Y89" s="164"/>
      <c r="Z89" s="164"/>
      <c r="AA89" s="164"/>
      <c r="AB89" s="164"/>
      <c r="AC89" s="164"/>
      <c r="AD89" s="164"/>
    </row>
    <row r="90" ht="15.75" customHeight="1">
      <c r="A90" s="457"/>
      <c r="B90" s="708" t="s">
        <v>247</v>
      </c>
      <c r="C90" s="41" t="s">
        <v>851</v>
      </c>
      <c r="D90" s="725"/>
      <c r="E90" s="861"/>
      <c r="F90" s="861"/>
      <c r="G90" s="749" t="s">
        <v>1720</v>
      </c>
      <c r="H90" s="668" t="s">
        <v>1721</v>
      </c>
      <c r="I90" s="887"/>
      <c r="J90" s="761">
        <v>45211.0</v>
      </c>
      <c r="K90" s="900"/>
      <c r="L90" s="602" t="s">
        <v>1722</v>
      </c>
      <c r="M90" s="901" t="s">
        <v>1723</v>
      </c>
      <c r="N90" s="902" t="s">
        <v>1724</v>
      </c>
      <c r="O90" s="829"/>
      <c r="P90" s="164"/>
      <c r="Q90" s="164"/>
      <c r="R90" s="164"/>
      <c r="S90" s="164"/>
      <c r="T90" s="164"/>
      <c r="U90" s="164"/>
      <c r="V90" s="164"/>
      <c r="W90" s="164"/>
      <c r="X90" s="164"/>
      <c r="Y90" s="164"/>
      <c r="Z90" s="164"/>
      <c r="AA90" s="164"/>
      <c r="AB90" s="164"/>
      <c r="AC90" s="164"/>
      <c r="AD90" s="164"/>
    </row>
    <row r="91" ht="15.75" customHeight="1">
      <c r="A91" s="457"/>
      <c r="B91" s="18" t="s">
        <v>257</v>
      </c>
      <c r="C91" s="19" t="s">
        <v>861</v>
      </c>
      <c r="D91" s="846"/>
      <c r="E91" s="847"/>
      <c r="F91" s="847"/>
      <c r="G91" s="104" t="s">
        <v>1725</v>
      </c>
      <c r="H91" s="104" t="s">
        <v>1726</v>
      </c>
      <c r="I91" s="887"/>
      <c r="J91" s="761">
        <v>45159.0</v>
      </c>
      <c r="K91" s="18"/>
      <c r="L91" s="602" t="s">
        <v>1727</v>
      </c>
      <c r="M91" s="903" t="s">
        <v>1673</v>
      </c>
      <c r="N91" s="829"/>
      <c r="O91" s="164"/>
      <c r="P91" s="164"/>
      <c r="Q91" s="164"/>
      <c r="R91" s="164"/>
      <c r="S91" s="164"/>
      <c r="T91" s="164"/>
      <c r="U91" s="164"/>
      <c r="V91" s="164"/>
      <c r="W91" s="164"/>
      <c r="X91" s="164"/>
      <c r="Y91" s="164"/>
      <c r="Z91" s="164"/>
      <c r="AA91" s="164"/>
      <c r="AB91" s="164"/>
      <c r="AC91" s="164"/>
      <c r="AD91" s="164"/>
    </row>
    <row r="92" ht="15.75" customHeight="1">
      <c r="A92" s="457"/>
      <c r="B92" s="312" t="s">
        <v>267</v>
      </c>
      <c r="C92" s="495" t="s">
        <v>851</v>
      </c>
      <c r="D92" s="846"/>
      <c r="E92" s="847"/>
      <c r="F92" s="847"/>
      <c r="G92" s="474" t="s">
        <v>1728</v>
      </c>
      <c r="H92" s="166" t="s">
        <v>1729</v>
      </c>
      <c r="I92" s="887"/>
      <c r="J92" s="761">
        <v>45467.0</v>
      </c>
      <c r="K92" s="18"/>
      <c r="L92" s="488" t="s">
        <v>1116</v>
      </c>
      <c r="M92" s="716" t="s">
        <v>1730</v>
      </c>
      <c r="N92" s="830"/>
      <c r="O92" s="830"/>
      <c r="P92" s="164"/>
      <c r="Q92" s="164"/>
      <c r="R92" s="164"/>
      <c r="S92" s="164"/>
      <c r="T92" s="164"/>
      <c r="U92" s="164"/>
      <c r="V92" s="164"/>
      <c r="W92" s="164"/>
      <c r="X92" s="164"/>
      <c r="Y92" s="164"/>
      <c r="Z92" s="164"/>
      <c r="AA92" s="164"/>
      <c r="AB92" s="164"/>
      <c r="AC92" s="164"/>
      <c r="AD92" s="164"/>
    </row>
    <row r="93" ht="15.75" customHeight="1">
      <c r="A93" s="457"/>
      <c r="B93" s="41" t="s">
        <v>277</v>
      </c>
      <c r="C93" s="312" t="s">
        <v>851</v>
      </c>
      <c r="D93" s="591"/>
      <c r="E93" s="591"/>
      <c r="F93" s="591"/>
      <c r="G93" s="41" t="s">
        <v>1731</v>
      </c>
      <c r="H93" s="22" t="s">
        <v>1732</v>
      </c>
      <c r="I93" s="887"/>
      <c r="J93" s="761">
        <v>44820.0</v>
      </c>
      <c r="K93" s="887" t="s">
        <v>1733</v>
      </c>
      <c r="L93" s="904" t="s">
        <v>1727</v>
      </c>
      <c r="M93" s="830"/>
      <c r="N93" s="164"/>
      <c r="O93" s="830"/>
      <c r="P93" s="164"/>
      <c r="Q93" s="164"/>
      <c r="R93" s="164"/>
      <c r="S93" s="164"/>
      <c r="T93" s="164"/>
      <c r="U93" s="164"/>
      <c r="V93" s="164"/>
      <c r="W93" s="164"/>
      <c r="X93" s="164"/>
      <c r="Y93" s="164"/>
      <c r="Z93" s="164"/>
      <c r="AA93" s="164"/>
      <c r="AB93" s="164"/>
      <c r="AC93" s="164"/>
      <c r="AD93" s="164"/>
    </row>
    <row r="94" ht="15.75" customHeight="1">
      <c r="A94" s="457"/>
      <c r="B94" s="767" t="s">
        <v>1734</v>
      </c>
      <c r="C94" s="135" t="s">
        <v>851</v>
      </c>
      <c r="D94" s="135" t="s">
        <v>1735</v>
      </c>
      <c r="E94" s="135"/>
      <c r="F94" s="135"/>
      <c r="G94" s="564" t="s">
        <v>1736</v>
      </c>
      <c r="H94" s="135" t="s">
        <v>1737</v>
      </c>
      <c r="I94" s="842"/>
      <c r="J94" s="764">
        <v>44985.0</v>
      </c>
      <c r="K94" s="905"/>
      <c r="L94" s="850" t="s">
        <v>1738</v>
      </c>
      <c r="M94" s="824" t="s">
        <v>1739</v>
      </c>
      <c r="N94" s="824" t="s">
        <v>1697</v>
      </c>
      <c r="O94" s="164"/>
      <c r="P94" s="164"/>
      <c r="Q94" s="164"/>
      <c r="R94" s="164"/>
      <c r="S94" s="164"/>
      <c r="T94" s="164"/>
      <c r="U94" s="164"/>
      <c r="V94" s="164"/>
      <c r="W94" s="164"/>
      <c r="X94" s="164"/>
      <c r="Y94" s="164"/>
      <c r="Z94" s="164"/>
      <c r="AA94" s="164"/>
      <c r="AB94" s="164"/>
      <c r="AC94" s="164"/>
      <c r="AD94" s="164"/>
    </row>
    <row r="95" ht="15.75" customHeight="1">
      <c r="A95" s="457"/>
      <c r="B95" s="18" t="s">
        <v>295</v>
      </c>
      <c r="C95" s="41" t="s">
        <v>851</v>
      </c>
      <c r="D95" s="768"/>
      <c r="E95" s="768"/>
      <c r="F95" s="768"/>
      <c r="G95" s="41" t="s">
        <v>1740</v>
      </c>
      <c r="H95" s="767" t="s">
        <v>1741</v>
      </c>
      <c r="I95" s="769"/>
      <c r="J95" s="764">
        <v>45316.0</v>
      </c>
      <c r="K95" s="822"/>
      <c r="L95" s="602" t="s">
        <v>1742</v>
      </c>
      <c r="M95" s="906"/>
      <c r="N95" s="906"/>
      <c r="O95" s="824" t="s">
        <v>1634</v>
      </c>
      <c r="P95" s="164"/>
      <c r="Q95" s="164"/>
      <c r="R95" s="164"/>
      <c r="S95" s="164"/>
      <c r="T95" s="164"/>
      <c r="U95" s="164"/>
      <c r="V95" s="164"/>
      <c r="W95" s="164"/>
      <c r="X95" s="164"/>
      <c r="Y95" s="164"/>
      <c r="Z95" s="164"/>
      <c r="AA95" s="164"/>
      <c r="AB95" s="164"/>
      <c r="AC95" s="164"/>
      <c r="AD95" s="164"/>
    </row>
    <row r="96" ht="15.75" customHeight="1">
      <c r="A96" s="430"/>
      <c r="B96" s="18" t="s">
        <v>303</v>
      </c>
      <c r="C96" s="907" t="s">
        <v>851</v>
      </c>
      <c r="D96" s="768"/>
      <c r="E96" s="768"/>
      <c r="F96" s="768"/>
      <c r="G96" s="41" t="s">
        <v>1743</v>
      </c>
      <c r="H96" s="767" t="s">
        <v>1744</v>
      </c>
      <c r="I96" s="769"/>
      <c r="J96" s="764">
        <v>45670.0</v>
      </c>
      <c r="K96" s="822"/>
      <c r="L96" s="908" t="s">
        <v>1108</v>
      </c>
      <c r="M96" s="909" t="s">
        <v>1109</v>
      </c>
      <c r="N96" s="906"/>
      <c r="O96" s="906"/>
      <c r="P96" s="164"/>
      <c r="Q96" s="164"/>
      <c r="R96" s="164"/>
      <c r="S96" s="164"/>
      <c r="T96" s="164"/>
      <c r="U96" s="164"/>
      <c r="V96" s="164"/>
      <c r="W96" s="164"/>
      <c r="X96" s="164"/>
      <c r="Y96" s="164"/>
      <c r="Z96" s="164"/>
      <c r="AA96" s="164"/>
      <c r="AB96" s="164"/>
      <c r="AC96" s="164"/>
      <c r="AD96" s="164"/>
    </row>
    <row r="97" ht="15.75" customHeight="1">
      <c r="A97" s="164"/>
      <c r="B97" s="774"/>
      <c r="C97" s="772"/>
      <c r="D97" s="772"/>
      <c r="E97" s="773"/>
      <c r="F97" s="773"/>
      <c r="G97" s="837"/>
      <c r="H97" s="838"/>
      <c r="I97" s="839"/>
      <c r="J97" s="840"/>
      <c r="K97" s="910"/>
      <c r="L97" s="164"/>
      <c r="M97" s="830"/>
      <c r="N97" s="830"/>
      <c r="O97" s="830"/>
      <c r="P97" s="164"/>
      <c r="Q97" s="164"/>
      <c r="R97" s="164"/>
      <c r="S97" s="164"/>
      <c r="T97" s="164"/>
      <c r="U97" s="164"/>
      <c r="V97" s="164"/>
      <c r="W97" s="164"/>
      <c r="X97" s="164"/>
      <c r="Y97" s="164"/>
      <c r="Z97" s="164"/>
      <c r="AA97" s="164"/>
      <c r="AB97" s="164"/>
      <c r="AC97" s="164"/>
      <c r="AD97" s="164"/>
    </row>
    <row r="98" ht="15.75" customHeight="1">
      <c r="A98" s="735" t="s">
        <v>1745</v>
      </c>
      <c r="B98" s="166" t="s">
        <v>649</v>
      </c>
      <c r="C98" s="907" t="s">
        <v>851</v>
      </c>
      <c r="D98" s="676"/>
      <c r="E98" s="911"/>
      <c r="F98" s="911"/>
      <c r="G98" s="912" t="s">
        <v>1746</v>
      </c>
      <c r="H98" s="22" t="s">
        <v>1747</v>
      </c>
      <c r="I98" s="913"/>
      <c r="J98" s="761">
        <v>45308.0</v>
      </c>
      <c r="K98" s="166"/>
      <c r="L98" s="602" t="s">
        <v>1748</v>
      </c>
      <c r="M98" s="710"/>
      <c r="N98" s="610"/>
      <c r="O98" s="164"/>
      <c r="P98" s="164"/>
      <c r="Q98" s="164"/>
      <c r="R98" s="164"/>
      <c r="S98" s="164"/>
      <c r="T98" s="164"/>
      <c r="U98" s="164"/>
      <c r="V98" s="164"/>
      <c r="W98" s="164"/>
      <c r="X98" s="164"/>
      <c r="Y98" s="164"/>
      <c r="Z98" s="164"/>
      <c r="AA98" s="164"/>
      <c r="AB98" s="164"/>
      <c r="AC98" s="164"/>
      <c r="AD98" s="164"/>
    </row>
    <row r="99" ht="15.75" customHeight="1">
      <c r="A99" s="457"/>
      <c r="B99" s="119" t="s">
        <v>616</v>
      </c>
      <c r="C99" s="708" t="s">
        <v>851</v>
      </c>
      <c r="D99" s="486"/>
      <c r="E99" s="497"/>
      <c r="F99" s="497"/>
      <c r="G99" s="414" t="s">
        <v>1749</v>
      </c>
      <c r="H99" s="914" t="s">
        <v>1750</v>
      </c>
      <c r="I99" s="317"/>
      <c r="J99" s="609">
        <v>45352.0</v>
      </c>
      <c r="K99" s="119"/>
      <c r="L99" s="119"/>
      <c r="M99" s="915"/>
      <c r="N99" s="610"/>
      <c r="O99" s="164"/>
      <c r="P99" s="164"/>
      <c r="Q99" s="164"/>
      <c r="R99" s="164"/>
      <c r="S99" s="164"/>
      <c r="T99" s="164"/>
      <c r="U99" s="164"/>
      <c r="V99" s="164"/>
      <c r="W99" s="164"/>
      <c r="X99" s="164"/>
      <c r="Y99" s="164"/>
      <c r="Z99" s="164"/>
      <c r="AA99" s="164"/>
      <c r="AB99" s="164"/>
      <c r="AC99" s="164"/>
      <c r="AD99" s="164"/>
    </row>
    <row r="100" ht="15.75" customHeight="1">
      <c r="A100" s="457"/>
      <c r="B100" s="119" t="s">
        <v>604</v>
      </c>
      <c r="C100" s="708" t="s">
        <v>851</v>
      </c>
      <c r="D100" s="486"/>
      <c r="E100" s="497"/>
      <c r="F100" s="497"/>
      <c r="G100" s="414" t="s">
        <v>1751</v>
      </c>
      <c r="H100" s="668" t="s">
        <v>1752</v>
      </c>
      <c r="I100" s="317"/>
      <c r="J100" s="609">
        <v>45352.0</v>
      </c>
      <c r="K100" s="119"/>
      <c r="L100" s="602" t="s">
        <v>1753</v>
      </c>
      <c r="M100" s="690" t="s">
        <v>1657</v>
      </c>
      <c r="N100" s="610"/>
      <c r="O100" s="164"/>
      <c r="P100" s="164"/>
      <c r="Q100" s="164"/>
      <c r="R100" s="164"/>
      <c r="S100" s="164"/>
      <c r="T100" s="164"/>
      <c r="U100" s="164"/>
      <c r="V100" s="164"/>
      <c r="W100" s="164"/>
      <c r="X100" s="164"/>
      <c r="Y100" s="164"/>
      <c r="Z100" s="164"/>
      <c r="AA100" s="164"/>
      <c r="AB100" s="164"/>
      <c r="AC100" s="164"/>
      <c r="AD100" s="164"/>
    </row>
    <row r="101" ht="15.75" customHeight="1">
      <c r="A101" s="457"/>
      <c r="B101" s="708" t="s">
        <v>673</v>
      </c>
      <c r="C101" s="324" t="s">
        <v>851</v>
      </c>
      <c r="D101" s="725"/>
      <c r="E101" s="707"/>
      <c r="F101" s="707"/>
      <c r="G101" s="708" t="s">
        <v>1754</v>
      </c>
      <c r="H101" s="708" t="s">
        <v>1755</v>
      </c>
      <c r="I101" s="765"/>
      <c r="J101" s="764">
        <v>45664.0</v>
      </c>
      <c r="K101" s="900"/>
      <c r="L101" s="718" t="s">
        <v>1513</v>
      </c>
      <c r="M101" s="660" t="s">
        <v>1109</v>
      </c>
      <c r="N101" s="164"/>
      <c r="O101" s="164"/>
      <c r="P101" s="164"/>
      <c r="Q101" s="164"/>
      <c r="R101" s="164"/>
      <c r="S101" s="164"/>
      <c r="T101" s="164"/>
      <c r="U101" s="164"/>
      <c r="V101" s="164"/>
      <c r="W101" s="164"/>
      <c r="X101" s="164"/>
      <c r="Y101" s="164"/>
      <c r="Z101" s="164"/>
      <c r="AA101" s="164"/>
      <c r="AB101" s="164"/>
      <c r="AC101" s="164"/>
      <c r="AD101" s="164"/>
    </row>
    <row r="102" ht="15.75" customHeight="1">
      <c r="A102" s="457"/>
      <c r="B102" s="708" t="s">
        <v>682</v>
      </c>
      <c r="C102" s="324" t="s">
        <v>851</v>
      </c>
      <c r="D102" s="725"/>
      <c r="E102" s="707"/>
      <c r="F102" s="707"/>
      <c r="G102" s="708" t="s">
        <v>1756</v>
      </c>
      <c r="H102" s="708" t="s">
        <v>1757</v>
      </c>
      <c r="I102" s="765"/>
      <c r="J102" s="764">
        <v>45664.0</v>
      </c>
      <c r="K102" s="900"/>
      <c r="L102" s="718" t="s">
        <v>1513</v>
      </c>
      <c r="M102" s="660" t="s">
        <v>1109</v>
      </c>
      <c r="N102" s="788"/>
      <c r="O102" s="164"/>
      <c r="P102" s="164"/>
      <c r="Q102" s="164"/>
      <c r="R102" s="164"/>
      <c r="S102" s="164"/>
      <c r="T102" s="164"/>
      <c r="U102" s="164"/>
      <c r="V102" s="164"/>
      <c r="W102" s="164"/>
      <c r="X102" s="164"/>
      <c r="Y102" s="164"/>
      <c r="Z102" s="164"/>
      <c r="AA102" s="164"/>
      <c r="AB102" s="164"/>
      <c r="AC102" s="164"/>
      <c r="AD102" s="164"/>
    </row>
    <row r="103" ht="15.75" customHeight="1">
      <c r="A103" s="457"/>
      <c r="B103" s="708" t="s">
        <v>691</v>
      </c>
      <c r="C103" s="324" t="s">
        <v>851</v>
      </c>
      <c r="D103" s="725"/>
      <c r="E103" s="707"/>
      <c r="F103" s="707"/>
      <c r="G103" s="615" t="s">
        <v>875</v>
      </c>
      <c r="H103" s="46" t="s">
        <v>876</v>
      </c>
      <c r="I103" s="765"/>
      <c r="J103" s="764">
        <v>45679.0</v>
      </c>
      <c r="K103" s="708" t="s">
        <v>1758</v>
      </c>
      <c r="L103" s="718" t="s">
        <v>1759</v>
      </c>
      <c r="M103" s="164"/>
      <c r="N103" s="788"/>
      <c r="O103" s="164"/>
      <c r="P103" s="164"/>
      <c r="Q103" s="164"/>
      <c r="R103" s="164"/>
      <c r="S103" s="164"/>
      <c r="T103" s="164"/>
      <c r="U103" s="164"/>
      <c r="V103" s="164"/>
      <c r="W103" s="164"/>
      <c r="X103" s="164"/>
      <c r="Y103" s="164"/>
      <c r="Z103" s="164"/>
      <c r="AA103" s="164"/>
      <c r="AB103" s="164"/>
      <c r="AC103" s="164"/>
      <c r="AD103" s="164"/>
    </row>
    <row r="104" ht="15.75" customHeight="1">
      <c r="A104" s="457"/>
      <c r="B104" s="119" t="s">
        <v>1760</v>
      </c>
      <c r="C104" s="406" t="s">
        <v>861</v>
      </c>
      <c r="D104" s="486"/>
      <c r="E104" s="497"/>
      <c r="F104" s="497"/>
      <c r="G104" s="119" t="s">
        <v>1761</v>
      </c>
      <c r="H104" s="109" t="s">
        <v>1762</v>
      </c>
      <c r="I104" s="135" t="s">
        <v>1763</v>
      </c>
      <c r="J104" s="609">
        <v>45454.0</v>
      </c>
      <c r="K104" s="119"/>
      <c r="L104" s="718" t="s">
        <v>1116</v>
      </c>
      <c r="M104" s="716" t="s">
        <v>1764</v>
      </c>
      <c r="N104" s="788"/>
      <c r="O104" s="788"/>
      <c r="P104" s="788"/>
      <c r="Q104" s="788"/>
      <c r="R104" s="788"/>
      <c r="S104" s="788"/>
      <c r="T104" s="164"/>
      <c r="U104" s="164"/>
      <c r="V104" s="164"/>
      <c r="W104" s="164"/>
      <c r="X104" s="164"/>
      <c r="Y104" s="164"/>
      <c r="Z104" s="164"/>
      <c r="AA104" s="164"/>
      <c r="AB104" s="164"/>
      <c r="AC104" s="164"/>
      <c r="AD104" s="164"/>
    </row>
    <row r="105" ht="15.75" customHeight="1">
      <c r="A105" s="430"/>
      <c r="B105" s="119" t="s">
        <v>1765</v>
      </c>
      <c r="C105" s="406" t="s">
        <v>861</v>
      </c>
      <c r="D105" s="486"/>
      <c r="E105" s="497"/>
      <c r="F105" s="497"/>
      <c r="G105" s="119" t="s">
        <v>1766</v>
      </c>
      <c r="H105" s="916" t="s">
        <v>1767</v>
      </c>
      <c r="I105" s="135"/>
      <c r="J105" s="609">
        <v>45484.0</v>
      </c>
      <c r="K105" s="119"/>
      <c r="L105" s="623" t="s">
        <v>1768</v>
      </c>
      <c r="M105" s="716" t="s">
        <v>1769</v>
      </c>
      <c r="N105" s="788"/>
      <c r="O105" s="788"/>
      <c r="P105" s="788"/>
      <c r="Q105" s="788"/>
      <c r="R105" s="788"/>
      <c r="S105" s="788"/>
      <c r="T105" s="164"/>
      <c r="U105" s="164"/>
      <c r="V105" s="164"/>
      <c r="W105" s="164"/>
      <c r="X105" s="164"/>
      <c r="Y105" s="164"/>
      <c r="Z105" s="164"/>
      <c r="AA105" s="164"/>
      <c r="AB105" s="164"/>
      <c r="AC105" s="164"/>
      <c r="AD105" s="164"/>
    </row>
    <row r="106" ht="15.75" customHeight="1">
      <c r="A106" s="164"/>
      <c r="B106" s="774"/>
      <c r="C106" s="893"/>
      <c r="D106" s="893"/>
      <c r="E106" s="893"/>
      <c r="F106" s="893"/>
      <c r="G106" s="774"/>
      <c r="H106" s="775"/>
      <c r="I106" s="776"/>
      <c r="J106" s="777"/>
      <c r="K106" s="164"/>
      <c r="L106" s="164"/>
      <c r="M106" s="788"/>
      <c r="N106" s="788"/>
      <c r="O106" s="788"/>
      <c r="P106" s="788"/>
      <c r="Q106" s="788"/>
      <c r="R106" s="788"/>
      <c r="S106" s="788"/>
      <c r="T106" s="164"/>
      <c r="U106" s="164"/>
      <c r="V106" s="164"/>
      <c r="W106" s="164"/>
      <c r="X106" s="164"/>
      <c r="Y106" s="164"/>
      <c r="Z106" s="164"/>
      <c r="AA106" s="164"/>
      <c r="AB106" s="164"/>
      <c r="AC106" s="164"/>
      <c r="AD106" s="164"/>
    </row>
    <row r="107" ht="15.75" customHeight="1">
      <c r="A107" s="735" t="s">
        <v>1770</v>
      </c>
      <c r="B107" s="767" t="s">
        <v>655</v>
      </c>
      <c r="C107" s="917" t="s">
        <v>851</v>
      </c>
      <c r="D107" s="918"/>
      <c r="E107" s="918"/>
      <c r="F107" s="918"/>
      <c r="G107" s="749" t="s">
        <v>1771</v>
      </c>
      <c r="H107" s="668" t="s">
        <v>1772</v>
      </c>
      <c r="I107" s="765" t="s">
        <v>1773</v>
      </c>
      <c r="J107" s="761">
        <v>45176.0</v>
      </c>
      <c r="K107" s="19"/>
      <c r="L107" s="808" t="s">
        <v>1774</v>
      </c>
      <c r="M107" s="783" t="s">
        <v>1674</v>
      </c>
      <c r="N107" s="164"/>
      <c r="O107" s="164"/>
      <c r="P107" s="164"/>
      <c r="Q107" s="164"/>
      <c r="R107" s="164"/>
      <c r="S107" s="164"/>
      <c r="T107" s="164"/>
      <c r="U107" s="164"/>
      <c r="V107" s="164"/>
      <c r="W107" s="164"/>
      <c r="X107" s="164"/>
      <c r="Y107" s="164"/>
      <c r="Z107" s="164"/>
      <c r="AA107" s="164"/>
      <c r="AB107" s="164"/>
      <c r="AC107" s="164"/>
      <c r="AD107" s="164"/>
    </row>
    <row r="108" ht="15.75" customHeight="1">
      <c r="A108" s="457"/>
      <c r="B108" s="18" t="s">
        <v>647</v>
      </c>
      <c r="C108" s="406" t="s">
        <v>851</v>
      </c>
      <c r="D108" s="747"/>
      <c r="E108" s="919"/>
      <c r="F108" s="919"/>
      <c r="G108" s="369" t="s">
        <v>1775</v>
      </c>
      <c r="H108" s="789" t="s">
        <v>1776</v>
      </c>
      <c r="I108" s="842"/>
      <c r="J108" s="737">
        <v>44929.0</v>
      </c>
      <c r="K108" s="842"/>
      <c r="L108" s="824" t="s">
        <v>1777</v>
      </c>
      <c r="M108" s="704"/>
      <c r="N108" s="381"/>
      <c r="O108" s="164"/>
      <c r="P108" s="164"/>
      <c r="Q108" s="710"/>
      <c r="R108" s="164"/>
      <c r="S108" s="164"/>
      <c r="T108" s="164"/>
      <c r="U108" s="164"/>
      <c r="V108" s="164"/>
      <c r="W108" s="164"/>
      <c r="X108" s="164"/>
      <c r="Y108" s="164"/>
      <c r="Z108" s="164"/>
      <c r="AA108" s="164"/>
      <c r="AB108" s="164"/>
      <c r="AC108" s="164"/>
      <c r="AD108" s="164"/>
    </row>
    <row r="109" ht="15.75" customHeight="1">
      <c r="A109" s="457"/>
      <c r="B109" s="312" t="s">
        <v>663</v>
      </c>
      <c r="C109" s="741" t="s">
        <v>851</v>
      </c>
      <c r="D109" s="764"/>
      <c r="E109" s="764"/>
      <c r="F109" s="764"/>
      <c r="G109" s="717" t="s">
        <v>1778</v>
      </c>
      <c r="H109" s="920" t="s">
        <v>1779</v>
      </c>
      <c r="I109" s="765" t="s">
        <v>1773</v>
      </c>
      <c r="J109" s="737">
        <v>44930.0</v>
      </c>
      <c r="K109" s="738"/>
      <c r="L109" s="852"/>
      <c r="M109" s="704"/>
      <c r="N109" s="704"/>
      <c r="O109" s="381"/>
      <c r="P109" s="164"/>
      <c r="Q109" s="164"/>
      <c r="R109" s="164"/>
      <c r="S109" s="164"/>
      <c r="T109" s="164"/>
      <c r="U109" s="164"/>
      <c r="V109" s="164"/>
      <c r="W109" s="164"/>
      <c r="X109" s="164"/>
      <c r="Y109" s="164"/>
      <c r="Z109" s="164"/>
      <c r="AA109" s="164"/>
      <c r="AB109" s="164"/>
      <c r="AC109" s="164"/>
      <c r="AD109" s="164"/>
    </row>
    <row r="110" ht="15.75" customHeight="1">
      <c r="A110" s="457"/>
      <c r="B110" s="767" t="s">
        <v>680</v>
      </c>
      <c r="C110" s="406" t="s">
        <v>851</v>
      </c>
      <c r="D110" s="747"/>
      <c r="E110" s="747"/>
      <c r="F110" s="747"/>
      <c r="G110" s="406" t="s">
        <v>1780</v>
      </c>
      <c r="H110" s="789" t="s">
        <v>1781</v>
      </c>
      <c r="I110" s="765" t="s">
        <v>1782</v>
      </c>
      <c r="J110" s="737">
        <v>44930.0</v>
      </c>
      <c r="K110" s="738"/>
      <c r="L110" s="852"/>
      <c r="M110" s="381"/>
      <c r="N110" s="704"/>
      <c r="O110" s="381"/>
      <c r="P110" s="164"/>
      <c r="Q110" s="164"/>
      <c r="R110" s="164"/>
      <c r="S110" s="164"/>
      <c r="T110" s="164"/>
      <c r="U110" s="164"/>
      <c r="V110" s="164"/>
      <c r="W110" s="164"/>
      <c r="X110" s="164"/>
      <c r="Y110" s="164"/>
      <c r="Z110" s="164"/>
      <c r="AA110" s="164"/>
      <c r="AB110" s="164"/>
      <c r="AC110" s="164"/>
      <c r="AD110" s="164"/>
    </row>
    <row r="111" ht="15.75" customHeight="1">
      <c r="A111" s="457"/>
      <c r="B111" s="659" t="s">
        <v>689</v>
      </c>
      <c r="C111" s="312" t="s">
        <v>861</v>
      </c>
      <c r="D111" s="846"/>
      <c r="E111" s="846"/>
      <c r="F111" s="846"/>
      <c r="G111" s="615" t="s">
        <v>1783</v>
      </c>
      <c r="H111" s="921" t="s">
        <v>1784</v>
      </c>
      <c r="I111" s="922"/>
      <c r="J111" s="923">
        <v>45560.0</v>
      </c>
      <c r="K111" s="738"/>
      <c r="L111" s="808" t="s">
        <v>1785</v>
      </c>
      <c r="M111" s="381"/>
      <c r="N111" s="704"/>
      <c r="O111" s="381"/>
      <c r="P111" s="164"/>
      <c r="Q111" s="164"/>
      <c r="R111" s="164"/>
      <c r="S111" s="164"/>
      <c r="T111" s="164"/>
      <c r="U111" s="164"/>
      <c r="V111" s="164"/>
      <c r="W111" s="164"/>
      <c r="X111" s="164"/>
      <c r="Y111" s="164"/>
      <c r="Z111" s="164"/>
      <c r="AA111" s="164"/>
      <c r="AB111" s="164"/>
      <c r="AC111" s="164"/>
      <c r="AD111" s="164"/>
    </row>
    <row r="112" ht="15.75" customHeight="1">
      <c r="A112" s="457"/>
      <c r="B112" s="18" t="s">
        <v>697</v>
      </c>
      <c r="C112" s="312" t="s">
        <v>861</v>
      </c>
      <c r="D112" s="843"/>
      <c r="E112" s="843"/>
      <c r="F112" s="843"/>
      <c r="G112" s="247" t="s">
        <v>1786</v>
      </c>
      <c r="H112" s="208" t="s">
        <v>1787</v>
      </c>
      <c r="I112" s="924"/>
      <c r="J112" s="925">
        <v>45293.0</v>
      </c>
      <c r="K112" s="810"/>
      <c r="L112" s="610"/>
      <c r="M112" s="164"/>
      <c r="N112" s="381"/>
      <c r="O112" s="381"/>
      <c r="P112" s="164"/>
      <c r="Q112" s="164"/>
      <c r="R112" s="164"/>
      <c r="S112" s="164"/>
      <c r="T112" s="164"/>
      <c r="U112" s="164"/>
      <c r="V112" s="164"/>
      <c r="W112" s="164"/>
      <c r="X112" s="164"/>
      <c r="Y112" s="164"/>
      <c r="Z112" s="164"/>
      <c r="AA112" s="164"/>
      <c r="AB112" s="164"/>
      <c r="AC112" s="164"/>
      <c r="AD112" s="164"/>
    </row>
    <row r="113" ht="15.75" customHeight="1">
      <c r="A113" s="457"/>
      <c r="B113" s="312" t="s">
        <v>1788</v>
      </c>
      <c r="C113" s="926"/>
      <c r="D113" s="926"/>
      <c r="E113" s="51"/>
      <c r="F113" s="51"/>
      <c r="G113" s="927" t="s">
        <v>1789</v>
      </c>
      <c r="H113" s="109" t="s">
        <v>1790</v>
      </c>
      <c r="I113" s="51"/>
      <c r="J113" s="928">
        <v>45721.0</v>
      </c>
      <c r="K113" s="51"/>
      <c r="L113" s="602" t="s">
        <v>1205</v>
      </c>
      <c r="M113" s="716" t="s">
        <v>1285</v>
      </c>
      <c r="N113" s="929" t="s">
        <v>1791</v>
      </c>
      <c r="O113" s="381"/>
      <c r="P113" s="164"/>
      <c r="Q113" s="164"/>
      <c r="R113" s="164"/>
      <c r="S113" s="164"/>
      <c r="T113" s="164"/>
      <c r="U113" s="164"/>
      <c r="V113" s="164"/>
      <c r="W113" s="164"/>
      <c r="X113" s="164"/>
      <c r="Y113" s="164"/>
      <c r="Z113" s="164"/>
      <c r="AA113" s="164"/>
      <c r="AB113" s="164"/>
      <c r="AC113" s="164"/>
      <c r="AD113" s="164"/>
    </row>
    <row r="114" ht="15.75" customHeight="1">
      <c r="A114" s="430"/>
      <c r="B114" s="312"/>
      <c r="C114" s="926"/>
      <c r="D114" s="926"/>
      <c r="E114" s="51"/>
      <c r="F114" s="51"/>
      <c r="G114" s="927"/>
      <c r="H114" s="109"/>
      <c r="I114" s="51"/>
      <c r="J114" s="928"/>
      <c r="K114" s="51"/>
      <c r="L114" s="610"/>
      <c r="M114" s="164"/>
      <c r="N114" s="381"/>
      <c r="O114" s="381"/>
      <c r="P114" s="381"/>
      <c r="Q114" s="381"/>
      <c r="R114" s="381"/>
      <c r="S114" s="381"/>
      <c r="T114" s="381"/>
      <c r="U114" s="381"/>
      <c r="V114" s="381"/>
      <c r="W114" s="381"/>
      <c r="X114" s="381"/>
      <c r="Y114" s="381"/>
      <c r="Z114" s="381"/>
      <c r="AA114" s="381"/>
      <c r="AB114" s="381"/>
      <c r="AC114" s="381"/>
      <c r="AD114" s="381"/>
    </row>
    <row r="115" ht="15.75" customHeight="1">
      <c r="A115" s="930"/>
      <c r="B115" s="385"/>
      <c r="C115" s="772"/>
      <c r="D115" s="772"/>
      <c r="E115" s="772"/>
      <c r="F115" s="772"/>
      <c r="G115" s="385"/>
      <c r="H115" s="931"/>
      <c r="I115" s="932"/>
      <c r="J115" s="933"/>
      <c r="K115" s="381"/>
      <c r="L115" s="932"/>
      <c r="M115" s="381"/>
      <c r="N115" s="381"/>
      <c r="O115" s="381"/>
      <c r="P115" s="381"/>
      <c r="Q115" s="381"/>
      <c r="R115" s="381"/>
      <c r="S115" s="381"/>
      <c r="T115" s="381"/>
      <c r="U115" s="381"/>
      <c r="V115" s="381"/>
      <c r="W115" s="381"/>
      <c r="X115" s="381"/>
      <c r="Y115" s="381"/>
      <c r="Z115" s="381"/>
      <c r="AA115" s="381"/>
      <c r="AB115" s="381"/>
      <c r="AC115" s="381"/>
      <c r="AD115" s="381"/>
    </row>
    <row r="116" ht="15.75" customHeight="1">
      <c r="A116" s="47" t="s">
        <v>1792</v>
      </c>
      <c r="B116" s="19" t="s">
        <v>79</v>
      </c>
      <c r="C116" s="41" t="s">
        <v>851</v>
      </c>
      <c r="D116" s="711"/>
      <c r="E116" s="711"/>
      <c r="F116" s="711"/>
      <c r="G116" s="414" t="s">
        <v>1793</v>
      </c>
      <c r="H116" s="934" t="s">
        <v>1794</v>
      </c>
      <c r="I116" s="935"/>
      <c r="J116" s="923">
        <v>45520.0</v>
      </c>
      <c r="K116" s="156"/>
      <c r="L116" s="808" t="s">
        <v>1795</v>
      </c>
      <c r="M116" s="489" t="s">
        <v>1796</v>
      </c>
      <c r="N116" s="788"/>
      <c r="O116" s="788"/>
      <c r="P116" s="381"/>
      <c r="Q116" s="381"/>
      <c r="R116" s="381"/>
      <c r="S116" s="381"/>
      <c r="T116" s="381"/>
      <c r="U116" s="381"/>
      <c r="V116" s="381"/>
      <c r="W116" s="381"/>
      <c r="X116" s="381"/>
      <c r="Y116" s="381"/>
      <c r="Z116" s="381"/>
      <c r="AA116" s="381"/>
      <c r="AB116" s="381"/>
      <c r="AC116" s="381"/>
      <c r="AD116" s="381"/>
    </row>
    <row r="117" ht="15.75" customHeight="1">
      <c r="A117" s="457"/>
      <c r="B117" s="19" t="s">
        <v>61</v>
      </c>
      <c r="C117" s="41" t="s">
        <v>851</v>
      </c>
      <c r="D117" s="711"/>
      <c r="E117" s="711"/>
      <c r="F117" s="711"/>
      <c r="G117" s="409" t="s">
        <v>1797</v>
      </c>
      <c r="H117" s="697" t="s">
        <v>1798</v>
      </c>
      <c r="I117" s="935"/>
      <c r="J117" s="923">
        <v>45509.0</v>
      </c>
      <c r="K117" s="156"/>
      <c r="L117" s="808" t="s">
        <v>1799</v>
      </c>
      <c r="M117" s="489" t="s">
        <v>1800</v>
      </c>
      <c r="N117" s="164"/>
      <c r="O117" s="788"/>
      <c r="P117" s="164"/>
      <c r="Q117" s="164"/>
      <c r="R117" s="381"/>
      <c r="S117" s="381"/>
      <c r="T117" s="381"/>
      <c r="U117" s="381"/>
      <c r="V117" s="381"/>
      <c r="W117" s="381"/>
      <c r="X117" s="381"/>
      <c r="Y117" s="381"/>
      <c r="Z117" s="381"/>
      <c r="AA117" s="381"/>
      <c r="AB117" s="381"/>
      <c r="AC117" s="381"/>
      <c r="AD117" s="381"/>
    </row>
    <row r="118" ht="15.75" customHeight="1">
      <c r="A118" s="457"/>
      <c r="B118" s="19" t="s">
        <v>97</v>
      </c>
      <c r="C118" s="41" t="s">
        <v>851</v>
      </c>
      <c r="D118" s="711"/>
      <c r="E118" s="711"/>
      <c r="F118" s="711"/>
      <c r="G118" s="409" t="s">
        <v>1801</v>
      </c>
      <c r="H118" s="697" t="s">
        <v>1802</v>
      </c>
      <c r="I118" s="935"/>
      <c r="J118" s="923">
        <v>45558.0</v>
      </c>
      <c r="K118" s="936"/>
      <c r="L118" s="808" t="s">
        <v>1640</v>
      </c>
      <c r="M118" s="738"/>
      <c r="N118" s="164"/>
      <c r="O118" s="164"/>
      <c r="P118" s="164"/>
      <c r="Q118" s="164"/>
      <c r="R118" s="164"/>
      <c r="S118" s="164"/>
      <c r="T118" s="164"/>
      <c r="U118" s="164"/>
      <c r="V118" s="164"/>
      <c r="W118" s="164"/>
      <c r="X118" s="164"/>
      <c r="Y118" s="164"/>
      <c r="Z118" s="164"/>
      <c r="AA118" s="164"/>
      <c r="AB118" s="164"/>
      <c r="AC118" s="164"/>
      <c r="AD118" s="164"/>
    </row>
    <row r="119" ht="15.75" customHeight="1">
      <c r="A119" s="457"/>
      <c r="B119" s="19" t="s">
        <v>115</v>
      </c>
      <c r="C119" s="41" t="s">
        <v>851</v>
      </c>
      <c r="D119" s="711"/>
      <c r="E119" s="711"/>
      <c r="F119" s="711"/>
      <c r="G119" s="409" t="s">
        <v>1803</v>
      </c>
      <c r="H119" s="697" t="s">
        <v>1804</v>
      </c>
      <c r="I119" s="935"/>
      <c r="J119" s="923">
        <v>45663.0</v>
      </c>
      <c r="K119" s="936"/>
      <c r="L119" s="808" t="s">
        <v>1805</v>
      </c>
      <c r="M119" s="937" t="s">
        <v>1109</v>
      </c>
      <c r="N119" s="164"/>
      <c r="O119" s="164"/>
      <c r="P119" s="164"/>
      <c r="Q119" s="164"/>
      <c r="R119" s="164"/>
      <c r="S119" s="164"/>
      <c r="T119" s="164"/>
      <c r="U119" s="164"/>
      <c r="V119" s="164"/>
      <c r="W119" s="164"/>
      <c r="X119" s="164"/>
      <c r="Y119" s="164"/>
      <c r="Z119" s="164"/>
      <c r="AA119" s="164"/>
      <c r="AB119" s="164"/>
      <c r="AC119" s="164"/>
      <c r="AD119" s="164"/>
    </row>
    <row r="120" ht="15.75" customHeight="1">
      <c r="A120" s="457"/>
      <c r="B120" s="19" t="s">
        <v>133</v>
      </c>
      <c r="C120" s="41" t="s">
        <v>851</v>
      </c>
      <c r="D120" s="711"/>
      <c r="E120" s="711"/>
      <c r="F120" s="711"/>
      <c r="G120" s="409" t="s">
        <v>1803</v>
      </c>
      <c r="H120" s="697" t="s">
        <v>1804</v>
      </c>
      <c r="I120" s="935"/>
      <c r="J120" s="923">
        <v>45663.0</v>
      </c>
      <c r="K120" s="938"/>
      <c r="L120" s="808" t="s">
        <v>1805</v>
      </c>
      <c r="M120" s="937" t="s">
        <v>1109</v>
      </c>
      <c r="N120" s="381"/>
      <c r="O120" s="164"/>
      <c r="P120" s="164"/>
      <c r="Q120" s="164"/>
      <c r="R120" s="164"/>
      <c r="S120" s="164"/>
      <c r="T120" s="164"/>
      <c r="U120" s="164"/>
      <c r="V120" s="164"/>
      <c r="W120" s="164"/>
      <c r="X120" s="164"/>
      <c r="Y120" s="164"/>
      <c r="Z120" s="164"/>
      <c r="AA120" s="164"/>
      <c r="AB120" s="164"/>
      <c r="AC120" s="164"/>
      <c r="AD120" s="164"/>
    </row>
    <row r="121" ht="15.75" customHeight="1">
      <c r="A121" s="457"/>
      <c r="B121" s="369" t="s">
        <v>163</v>
      </c>
      <c r="C121" s="369" t="s">
        <v>851</v>
      </c>
      <c r="D121" s="725"/>
      <c r="E121" s="861"/>
      <c r="F121" s="861"/>
      <c r="G121" s="439" t="s">
        <v>1806</v>
      </c>
      <c r="H121" s="34" t="s">
        <v>1807</v>
      </c>
      <c r="I121" s="862"/>
      <c r="J121" s="711">
        <v>45265.0</v>
      </c>
      <c r="K121" s="863"/>
      <c r="L121" s="602" t="s">
        <v>1532</v>
      </c>
      <c r="M121" s="716" t="s">
        <v>1808</v>
      </c>
      <c r="N121" s="381"/>
      <c r="O121" s="381"/>
      <c r="P121" s="164"/>
      <c r="Q121" s="164"/>
      <c r="R121" s="164"/>
      <c r="S121" s="164"/>
      <c r="T121" s="164"/>
      <c r="U121" s="164"/>
      <c r="V121" s="164"/>
      <c r="W121" s="164"/>
      <c r="X121" s="164"/>
      <c r="Y121" s="164"/>
      <c r="Z121" s="164"/>
      <c r="AA121" s="164"/>
      <c r="AB121" s="164"/>
      <c r="AC121" s="164"/>
      <c r="AD121" s="164"/>
    </row>
    <row r="122" ht="15.75" customHeight="1">
      <c r="A122" s="457"/>
      <c r="B122" s="19" t="s">
        <v>150</v>
      </c>
      <c r="C122" s="369" t="s">
        <v>851</v>
      </c>
      <c r="D122" s="711"/>
      <c r="E122" s="711"/>
      <c r="F122" s="711"/>
      <c r="G122" s="409" t="s">
        <v>1809</v>
      </c>
      <c r="H122" s="697" t="s">
        <v>1810</v>
      </c>
      <c r="I122" s="935"/>
      <c r="J122" s="923">
        <v>45660.0</v>
      </c>
      <c r="K122" s="938"/>
      <c r="L122" s="938"/>
      <c r="M122" s="937" t="s">
        <v>1109</v>
      </c>
      <c r="N122" s="381"/>
      <c r="O122" s="381"/>
      <c r="P122" s="381"/>
      <c r="Q122" s="164"/>
      <c r="R122" s="164"/>
      <c r="S122" s="164"/>
      <c r="T122" s="164"/>
      <c r="U122" s="164"/>
      <c r="V122" s="164"/>
      <c r="W122" s="164"/>
      <c r="X122" s="164"/>
      <c r="Y122" s="164"/>
      <c r="Z122" s="164"/>
      <c r="AA122" s="164"/>
      <c r="AB122" s="164"/>
      <c r="AC122" s="164"/>
      <c r="AD122" s="164"/>
    </row>
    <row r="123" ht="15.75" customHeight="1">
      <c r="A123" s="430"/>
      <c r="B123" s="19" t="s">
        <v>173</v>
      </c>
      <c r="C123" s="324" t="s">
        <v>851</v>
      </c>
      <c r="D123" s="711"/>
      <c r="E123" s="711"/>
      <c r="F123" s="711"/>
      <c r="G123" s="409" t="s">
        <v>1811</v>
      </c>
      <c r="H123" s="697" t="s">
        <v>1812</v>
      </c>
      <c r="I123" s="935"/>
      <c r="J123" s="923">
        <v>45674.0</v>
      </c>
      <c r="K123" s="938"/>
      <c r="L123" s="823" t="s">
        <v>977</v>
      </c>
      <c r="M123" s="937" t="s">
        <v>1109</v>
      </c>
      <c r="N123" s="381"/>
      <c r="O123" s="381"/>
      <c r="P123" s="381"/>
      <c r="Q123" s="381"/>
      <c r="R123" s="164"/>
      <c r="S123" s="164"/>
      <c r="T123" s="164"/>
      <c r="U123" s="164"/>
      <c r="V123" s="164"/>
      <c r="W123" s="164"/>
      <c r="X123" s="164"/>
      <c r="Y123" s="164"/>
      <c r="Z123" s="164"/>
      <c r="AA123" s="164"/>
      <c r="AB123" s="164"/>
      <c r="AC123" s="164"/>
      <c r="AD123" s="164"/>
    </row>
    <row r="124" ht="15.75" customHeight="1">
      <c r="A124" s="939"/>
      <c r="B124" s="939"/>
      <c r="C124" s="772"/>
      <c r="D124" s="772"/>
      <c r="E124" s="772"/>
      <c r="F124" s="772"/>
      <c r="G124" s="939"/>
      <c r="I124" s="940"/>
      <c r="J124" s="933"/>
      <c r="K124" s="939"/>
      <c r="L124" s="932"/>
      <c r="M124" s="381"/>
      <c r="N124" s="381"/>
      <c r="O124" s="381"/>
      <c r="P124" s="381"/>
      <c r="Q124" s="381"/>
      <c r="R124" s="381"/>
      <c r="S124" s="381"/>
      <c r="T124" s="381"/>
      <c r="U124" s="381"/>
      <c r="V124" s="381"/>
      <c r="W124" s="381"/>
      <c r="X124" s="381"/>
      <c r="Y124" s="381"/>
      <c r="Z124" s="381"/>
      <c r="AA124" s="381"/>
      <c r="AB124" s="381"/>
      <c r="AC124" s="381"/>
      <c r="AD124" s="381"/>
    </row>
    <row r="125" ht="15.75" customHeight="1">
      <c r="A125" s="164"/>
      <c r="B125" s="164"/>
      <c r="C125" s="941"/>
      <c r="D125" s="941"/>
      <c r="E125" s="942"/>
      <c r="F125" s="942"/>
      <c r="G125" s="164"/>
      <c r="H125" s="776"/>
      <c r="I125" s="776"/>
      <c r="J125" s="777"/>
      <c r="K125" s="164"/>
      <c r="L125" s="164"/>
      <c r="M125" s="164"/>
      <c r="N125" s="381"/>
      <c r="O125" s="381"/>
      <c r="P125" s="381"/>
      <c r="Q125" s="381"/>
      <c r="R125" s="164"/>
      <c r="S125" s="164"/>
      <c r="T125" s="164"/>
      <c r="U125" s="164"/>
      <c r="V125" s="164"/>
      <c r="W125" s="164"/>
      <c r="X125" s="164"/>
      <c r="Y125" s="164"/>
      <c r="Z125" s="164"/>
      <c r="AA125" s="164"/>
      <c r="AB125" s="164"/>
      <c r="AC125" s="164"/>
      <c r="AD125" s="164"/>
    </row>
    <row r="126" ht="15.75" customHeight="1">
      <c r="A126" s="607" t="s">
        <v>1813</v>
      </c>
      <c r="B126" s="41" t="s">
        <v>396</v>
      </c>
      <c r="C126" s="369" t="s">
        <v>851</v>
      </c>
      <c r="D126" s="725"/>
      <c r="E126" s="725"/>
      <c r="F126" s="725"/>
      <c r="G126" s="414" t="s">
        <v>1814</v>
      </c>
      <c r="H126" s="34" t="s">
        <v>1815</v>
      </c>
      <c r="I126" s="46"/>
      <c r="J126" s="711">
        <v>45349.0</v>
      </c>
      <c r="K126" s="863"/>
      <c r="L126" s="863"/>
      <c r="M126" s="164"/>
      <c r="N126" s="381"/>
      <c r="O126" s="381"/>
      <c r="P126" s="381"/>
      <c r="Q126" s="381"/>
      <c r="R126" s="164"/>
      <c r="S126" s="164"/>
      <c r="T126" s="164"/>
      <c r="U126" s="164"/>
      <c r="V126" s="164"/>
      <c r="W126" s="164"/>
      <c r="X126" s="164"/>
      <c r="Y126" s="164"/>
      <c r="Z126" s="164"/>
      <c r="AA126" s="164"/>
      <c r="AB126" s="164"/>
      <c r="AC126" s="164"/>
      <c r="AD126" s="164"/>
    </row>
    <row r="127" ht="15.75" customHeight="1">
      <c r="A127" s="457"/>
      <c r="B127" s="406" t="s">
        <v>421</v>
      </c>
      <c r="C127" s="369" t="s">
        <v>851</v>
      </c>
      <c r="D127" s="712"/>
      <c r="E127" s="710"/>
      <c r="F127" s="710"/>
      <c r="G127" s="406" t="s">
        <v>1816</v>
      </c>
      <c r="H127" s="406" t="s">
        <v>1817</v>
      </c>
      <c r="I127" s="710"/>
      <c r="J127" s="711">
        <v>45414.0</v>
      </c>
      <c r="K127" s="710"/>
      <c r="L127" s="602" t="s">
        <v>1284</v>
      </c>
      <c r="M127" s="489" t="s">
        <v>1818</v>
      </c>
      <c r="N127" s="381"/>
      <c r="O127" s="381"/>
      <c r="P127" s="381"/>
      <c r="Q127" s="381"/>
      <c r="R127" s="164"/>
      <c r="S127" s="164"/>
      <c r="T127" s="164"/>
      <c r="U127" s="164"/>
      <c r="V127" s="164"/>
      <c r="W127" s="164"/>
      <c r="X127" s="164"/>
      <c r="Y127" s="164"/>
      <c r="Z127" s="164"/>
      <c r="AA127" s="164"/>
      <c r="AB127" s="164"/>
      <c r="AC127" s="164"/>
      <c r="AD127" s="164"/>
    </row>
    <row r="128" ht="15.75" customHeight="1">
      <c r="A128" s="457"/>
      <c r="B128" s="41" t="s">
        <v>446</v>
      </c>
      <c r="C128" s="369" t="s">
        <v>851</v>
      </c>
      <c r="D128" s="711"/>
      <c r="E128" s="586"/>
      <c r="F128" s="586"/>
      <c r="G128" s="41" t="s">
        <v>1819</v>
      </c>
      <c r="H128" s="22" t="s">
        <v>1820</v>
      </c>
      <c r="I128" s="135"/>
      <c r="J128" s="711">
        <v>45475.0</v>
      </c>
      <c r="K128" s="885" t="s">
        <v>1821</v>
      </c>
      <c r="L128" s="489" t="s">
        <v>1822</v>
      </c>
      <c r="M128" s="164"/>
      <c r="N128" s="381"/>
      <c r="O128" s="381"/>
      <c r="P128" s="381"/>
      <c r="Q128" s="381"/>
      <c r="R128" s="164"/>
      <c r="S128" s="164"/>
      <c r="T128" s="164"/>
      <c r="U128" s="164"/>
      <c r="V128" s="164"/>
      <c r="W128" s="164"/>
      <c r="X128" s="164"/>
      <c r="Y128" s="164"/>
      <c r="Z128" s="164"/>
      <c r="AA128" s="164"/>
      <c r="AB128" s="164"/>
      <c r="AC128" s="164"/>
      <c r="AD128" s="164"/>
    </row>
    <row r="129" ht="15.75" customHeight="1">
      <c r="A129" s="457"/>
      <c r="B129" s="41" t="s">
        <v>471</v>
      </c>
      <c r="C129" s="369" t="s">
        <v>851</v>
      </c>
      <c r="D129" s="711"/>
      <c r="E129" s="586"/>
      <c r="F129" s="586"/>
      <c r="G129" s="439" t="s">
        <v>1823</v>
      </c>
      <c r="H129" s="34" t="s">
        <v>1824</v>
      </c>
      <c r="I129" s="135"/>
      <c r="J129" s="711">
        <v>45538.0</v>
      </c>
      <c r="K129" s="885"/>
      <c r="L129" s="808" t="s">
        <v>1825</v>
      </c>
      <c r="M129" s="164"/>
      <c r="N129" s="381"/>
      <c r="O129" s="381"/>
      <c r="P129" s="381"/>
      <c r="Q129" s="381"/>
      <c r="R129" s="164"/>
      <c r="S129" s="164"/>
      <c r="T129" s="164"/>
      <c r="U129" s="164"/>
      <c r="V129" s="164"/>
      <c r="W129" s="164"/>
      <c r="X129" s="164"/>
      <c r="Y129" s="164"/>
      <c r="Z129" s="164"/>
      <c r="AA129" s="164"/>
      <c r="AB129" s="164"/>
      <c r="AC129" s="164"/>
      <c r="AD129" s="164"/>
    </row>
    <row r="130" ht="15.75" customHeight="1">
      <c r="A130" s="457"/>
      <c r="B130" s="41" t="s">
        <v>496</v>
      </c>
      <c r="C130" s="312" t="s">
        <v>861</v>
      </c>
      <c r="D130" s="312" t="s">
        <v>1826</v>
      </c>
      <c r="E130" s="586"/>
      <c r="F130" s="586"/>
      <c r="G130" s="615" t="s">
        <v>1827</v>
      </c>
      <c r="H130" s="46" t="s">
        <v>1828</v>
      </c>
      <c r="I130" s="135"/>
      <c r="J130" s="711">
        <v>45580.0</v>
      </c>
      <c r="K130" s="885"/>
      <c r="L130" s="602" t="s">
        <v>1454</v>
      </c>
      <c r="M130" s="660" t="s">
        <v>1829</v>
      </c>
      <c r="N130" s="381"/>
      <c r="O130" s="381"/>
      <c r="P130" s="381"/>
      <c r="Q130" s="381"/>
      <c r="R130" s="164"/>
      <c r="S130" s="164"/>
      <c r="T130" s="164"/>
      <c r="U130" s="164"/>
      <c r="V130" s="164"/>
      <c r="W130" s="164"/>
      <c r="X130" s="164"/>
      <c r="Y130" s="164"/>
      <c r="Z130" s="164"/>
      <c r="AA130" s="164"/>
      <c r="AB130" s="164"/>
      <c r="AC130" s="164"/>
      <c r="AD130" s="164"/>
    </row>
    <row r="131" ht="15.75" customHeight="1">
      <c r="A131" s="457"/>
      <c r="B131" s="41" t="s">
        <v>521</v>
      </c>
      <c r="C131" s="41" t="s">
        <v>851</v>
      </c>
      <c r="D131" s="943"/>
      <c r="E131" s="586"/>
      <c r="F131" s="586"/>
      <c r="G131" s="615" t="s">
        <v>1830</v>
      </c>
      <c r="H131" s="624" t="s">
        <v>1831</v>
      </c>
      <c r="I131" s="135"/>
      <c r="J131" s="633">
        <v>45666.0</v>
      </c>
      <c r="K131" s="583"/>
      <c r="L131" s="583"/>
      <c r="M131" s="660" t="s">
        <v>1109</v>
      </c>
      <c r="N131" s="788"/>
      <c r="O131" s="381"/>
      <c r="P131" s="381"/>
      <c r="Q131" s="381"/>
      <c r="R131" s="164"/>
      <c r="S131" s="164"/>
      <c r="T131" s="164"/>
      <c r="U131" s="164"/>
      <c r="V131" s="164"/>
      <c r="W131" s="164"/>
      <c r="X131" s="164"/>
      <c r="Y131" s="164"/>
      <c r="Z131" s="164"/>
      <c r="AA131" s="164"/>
      <c r="AB131" s="164"/>
      <c r="AC131" s="164"/>
      <c r="AD131" s="164"/>
    </row>
    <row r="132" ht="15.75" customHeight="1">
      <c r="A132" s="457"/>
      <c r="B132" s="41" t="s">
        <v>545</v>
      </c>
      <c r="C132" s="41" t="s">
        <v>851</v>
      </c>
      <c r="D132" s="711"/>
      <c r="E132" s="711"/>
      <c r="F132" s="711"/>
      <c r="G132" s="474" t="s">
        <v>1832</v>
      </c>
      <c r="H132" s="41" t="s">
        <v>1833</v>
      </c>
      <c r="I132" s="751"/>
      <c r="J132" s="761">
        <v>45390.0</v>
      </c>
      <c r="K132" s="23"/>
      <c r="L132" s="808" t="s">
        <v>1834</v>
      </c>
      <c r="M132" s="639"/>
      <c r="N132" s="788"/>
      <c r="O132" s="164"/>
      <c r="P132" s="164"/>
      <c r="Q132" s="164"/>
      <c r="R132" s="164"/>
      <c r="S132" s="164"/>
      <c r="T132" s="164"/>
      <c r="U132" s="164"/>
      <c r="V132" s="164"/>
      <c r="W132" s="164"/>
      <c r="X132" s="164"/>
      <c r="Y132" s="164"/>
      <c r="Z132" s="164"/>
      <c r="AA132" s="164"/>
      <c r="AB132" s="164"/>
      <c r="AC132" s="164"/>
      <c r="AD132" s="164"/>
    </row>
    <row r="133" ht="17.25" customHeight="1">
      <c r="A133" s="430"/>
      <c r="B133" s="41" t="s">
        <v>1835</v>
      </c>
      <c r="C133" s="41"/>
      <c r="D133" s="711"/>
      <c r="E133" s="711"/>
      <c r="F133" s="711"/>
      <c r="G133" s="474" t="s">
        <v>1836</v>
      </c>
      <c r="H133" s="41" t="s">
        <v>1837</v>
      </c>
      <c r="I133" s="751"/>
      <c r="J133" s="761">
        <v>45713.0</v>
      </c>
      <c r="K133" s="23"/>
      <c r="L133" s="776"/>
      <c r="M133" s="639"/>
      <c r="N133" s="164"/>
      <c r="O133" s="164"/>
      <c r="P133" s="164"/>
      <c r="Q133" s="164"/>
      <c r="R133" s="164"/>
      <c r="S133" s="164"/>
      <c r="T133" s="164"/>
      <c r="U133" s="164"/>
      <c r="V133" s="164"/>
      <c r="W133" s="164"/>
      <c r="X133" s="164"/>
      <c r="Y133" s="164"/>
      <c r="Z133" s="164"/>
      <c r="AA133" s="164"/>
      <c r="AB133" s="164"/>
      <c r="AC133" s="164"/>
      <c r="AD133" s="164"/>
    </row>
    <row r="134" ht="15.75" customHeight="1">
      <c r="A134" s="164"/>
      <c r="B134" s="164"/>
      <c r="C134" s="941"/>
      <c r="D134" s="941"/>
      <c r="E134" s="942"/>
      <c r="F134" s="942"/>
      <c r="G134" s="164"/>
      <c r="H134" s="776"/>
      <c r="I134" s="776"/>
      <c r="J134" s="777"/>
      <c r="K134" s="164"/>
      <c r="L134" s="776"/>
      <c r="M134" s="164"/>
      <c r="N134" s="164"/>
      <c r="O134" s="164"/>
      <c r="P134" s="164"/>
      <c r="Q134" s="164"/>
      <c r="R134" s="164"/>
      <c r="S134" s="164"/>
      <c r="T134" s="164"/>
      <c r="U134" s="164"/>
      <c r="V134" s="164"/>
      <c r="W134" s="164"/>
      <c r="X134" s="164"/>
      <c r="Y134" s="164"/>
      <c r="Z134" s="164"/>
      <c r="AA134" s="164"/>
      <c r="AB134" s="164"/>
      <c r="AC134" s="164"/>
      <c r="AD134" s="164"/>
    </row>
    <row r="135" ht="15.75" customHeight="1">
      <c r="A135" s="607" t="s">
        <v>1838</v>
      </c>
      <c r="B135" s="717" t="s">
        <v>399</v>
      </c>
      <c r="C135" s="717" t="s">
        <v>851</v>
      </c>
      <c r="D135" s="719"/>
      <c r="E135" s="826"/>
      <c r="F135" s="826"/>
      <c r="G135" s="717" t="s">
        <v>1280</v>
      </c>
      <c r="H135" s="507" t="s">
        <v>1281</v>
      </c>
      <c r="I135" s="944"/>
      <c r="J135" s="764">
        <v>45293.0</v>
      </c>
      <c r="K135" s="945"/>
      <c r="L135" s="946" t="s">
        <v>1284</v>
      </c>
      <c r="M135" s="947"/>
      <c r="N135" s="164"/>
      <c r="O135" s="164"/>
      <c r="P135" s="164"/>
      <c r="Q135" s="164"/>
      <c r="R135" s="164"/>
      <c r="S135" s="164"/>
      <c r="T135" s="164"/>
      <c r="U135" s="164"/>
      <c r="V135" s="164"/>
      <c r="W135" s="164"/>
      <c r="X135" s="164"/>
      <c r="Y135" s="164"/>
      <c r="Z135" s="164"/>
      <c r="AA135" s="164"/>
      <c r="AB135" s="164"/>
      <c r="AC135" s="164"/>
      <c r="AD135" s="164"/>
    </row>
    <row r="136" ht="15.75" customHeight="1">
      <c r="A136" s="457"/>
      <c r="B136" s="948" t="s">
        <v>424</v>
      </c>
      <c r="C136" s="708" t="s">
        <v>851</v>
      </c>
      <c r="D136" s="707"/>
      <c r="E136" s="851"/>
      <c r="F136" s="851"/>
      <c r="G136" s="708" t="s">
        <v>1839</v>
      </c>
      <c r="H136" s="708" t="s">
        <v>1840</v>
      </c>
      <c r="I136" s="949"/>
      <c r="J136" s="764">
        <v>45293.0</v>
      </c>
      <c r="K136" s="950"/>
      <c r="L136" s="499"/>
      <c r="M136" s="947"/>
      <c r="N136" s="164"/>
      <c r="O136" s="164"/>
      <c r="P136" s="164"/>
      <c r="Q136" s="164"/>
      <c r="R136" s="164"/>
      <c r="S136" s="164"/>
      <c r="T136" s="164"/>
      <c r="U136" s="164"/>
      <c r="V136" s="164"/>
      <c r="W136" s="164"/>
      <c r="X136" s="164"/>
      <c r="Y136" s="164"/>
      <c r="Z136" s="164"/>
      <c r="AA136" s="164"/>
      <c r="AB136" s="164"/>
      <c r="AC136" s="164"/>
      <c r="AD136" s="164"/>
    </row>
    <row r="137" ht="15.75" customHeight="1">
      <c r="A137" s="457"/>
      <c r="B137" s="767" t="s">
        <v>449</v>
      </c>
      <c r="C137" s="406" t="s">
        <v>851</v>
      </c>
      <c r="D137" s="747"/>
      <c r="E137" s="747"/>
      <c r="F137" s="747"/>
      <c r="G137" s="439" t="s">
        <v>1841</v>
      </c>
      <c r="H137" s="236" t="s">
        <v>1842</v>
      </c>
      <c r="I137" s="790"/>
      <c r="J137" s="737">
        <v>45363.0</v>
      </c>
      <c r="K137" s="900"/>
      <c r="L137" s="602" t="s">
        <v>1140</v>
      </c>
      <c r="M137" s="947"/>
      <c r="N137" s="164"/>
      <c r="O137" s="164"/>
      <c r="P137" s="164"/>
      <c r="Q137" s="164"/>
      <c r="R137" s="164"/>
      <c r="S137" s="164"/>
      <c r="T137" s="164"/>
      <c r="U137" s="164"/>
      <c r="V137" s="164"/>
      <c r="W137" s="164"/>
      <c r="X137" s="164"/>
      <c r="Y137" s="164"/>
      <c r="Z137" s="164"/>
      <c r="AA137" s="164"/>
      <c r="AB137" s="164"/>
      <c r="AC137" s="164"/>
      <c r="AD137" s="164"/>
    </row>
    <row r="138" ht="15.75" customHeight="1">
      <c r="A138" s="457"/>
      <c r="B138" s="767" t="s">
        <v>474</v>
      </c>
      <c r="C138" s="406" t="s">
        <v>861</v>
      </c>
      <c r="D138" s="747"/>
      <c r="E138" s="747"/>
      <c r="F138" s="747"/>
      <c r="G138" s="369" t="s">
        <v>1843</v>
      </c>
      <c r="H138" s="135" t="s">
        <v>1844</v>
      </c>
      <c r="I138" s="856"/>
      <c r="J138" s="737">
        <v>44929.0</v>
      </c>
      <c r="K138" s="810"/>
      <c r="L138" s="824" t="s">
        <v>1845</v>
      </c>
      <c r="M138" s="824" t="s">
        <v>1846</v>
      </c>
      <c r="N138" s="164"/>
      <c r="O138" s="164"/>
      <c r="P138" s="164"/>
      <c r="Q138" s="164"/>
      <c r="R138" s="164"/>
      <c r="S138" s="164"/>
      <c r="T138" s="164"/>
      <c r="U138" s="164"/>
      <c r="V138" s="164"/>
      <c r="W138" s="164"/>
      <c r="X138" s="164"/>
      <c r="Y138" s="164"/>
      <c r="Z138" s="164"/>
      <c r="AA138" s="164"/>
      <c r="AB138" s="164"/>
      <c r="AC138" s="164"/>
      <c r="AD138" s="164"/>
    </row>
    <row r="139" ht="15.75" customHeight="1">
      <c r="A139" s="457"/>
      <c r="B139" s="119" t="s">
        <v>499</v>
      </c>
      <c r="C139" s="119" t="s">
        <v>851</v>
      </c>
      <c r="D139" s="486"/>
      <c r="E139" s="497"/>
      <c r="F139" s="497"/>
      <c r="G139" s="119" t="s">
        <v>1819</v>
      </c>
      <c r="H139" s="109" t="s">
        <v>1820</v>
      </c>
      <c r="I139" s="135" t="s">
        <v>1847</v>
      </c>
      <c r="J139" s="609">
        <v>44987.0</v>
      </c>
      <c r="K139" s="119"/>
      <c r="L139" s="623" t="s">
        <v>1848</v>
      </c>
      <c r="M139" s="951" t="s">
        <v>1849</v>
      </c>
      <c r="N139" s="493" t="s">
        <v>1850</v>
      </c>
      <c r="O139" s="164"/>
      <c r="P139" s="164"/>
      <c r="Q139" s="164"/>
      <c r="R139" s="164"/>
      <c r="S139" s="164"/>
      <c r="T139" s="164"/>
      <c r="U139" s="164"/>
      <c r="V139" s="164"/>
      <c r="W139" s="164"/>
      <c r="X139" s="164"/>
      <c r="Y139" s="164"/>
      <c r="Z139" s="164"/>
      <c r="AA139" s="164"/>
      <c r="AB139" s="164"/>
      <c r="AC139" s="164"/>
      <c r="AD139" s="164"/>
    </row>
    <row r="140" ht="15.75" customHeight="1">
      <c r="A140" s="457"/>
      <c r="B140" s="41" t="s">
        <v>524</v>
      </c>
      <c r="C140" s="18" t="s">
        <v>851</v>
      </c>
      <c r="D140" s="628" t="s">
        <v>1851</v>
      </c>
      <c r="E140" s="562"/>
      <c r="F140" s="18"/>
      <c r="G140" s="439" t="s">
        <v>1852</v>
      </c>
      <c r="H140" s="439" t="s">
        <v>1853</v>
      </c>
      <c r="I140" s="751"/>
      <c r="J140" s="761">
        <v>45362.0</v>
      </c>
      <c r="K140" s="753"/>
      <c r="L140" s="623" t="s">
        <v>1854</v>
      </c>
      <c r="M140" s="952"/>
      <c r="N140" s="690" t="s">
        <v>1426</v>
      </c>
      <c r="O140" s="164"/>
      <c r="P140" s="164"/>
      <c r="Q140" s="164"/>
      <c r="R140" s="164"/>
      <c r="S140" s="164"/>
      <c r="T140" s="164"/>
      <c r="U140" s="164"/>
      <c r="V140" s="164"/>
      <c r="W140" s="164"/>
      <c r="X140" s="164"/>
      <c r="Y140" s="164"/>
      <c r="Z140" s="164"/>
      <c r="AA140" s="164"/>
      <c r="AB140" s="164"/>
      <c r="AC140" s="164"/>
      <c r="AD140" s="164"/>
    </row>
    <row r="141" ht="15.75" customHeight="1">
      <c r="A141" s="457"/>
      <c r="B141" s="41" t="s">
        <v>548</v>
      </c>
      <c r="C141" s="18" t="s">
        <v>851</v>
      </c>
      <c r="D141" s="562"/>
      <c r="E141" s="562"/>
      <c r="F141" s="18"/>
      <c r="G141" s="510" t="s">
        <v>1855</v>
      </c>
      <c r="H141" s="601" t="s">
        <v>1856</v>
      </c>
      <c r="I141" s="751"/>
      <c r="J141" s="761">
        <v>45664.0</v>
      </c>
      <c r="K141" s="753"/>
      <c r="L141" s="753"/>
      <c r="M141" s="953" t="s">
        <v>1109</v>
      </c>
      <c r="N141" s="164"/>
      <c r="O141" s="164"/>
      <c r="P141" s="164"/>
      <c r="Q141" s="164"/>
      <c r="R141" s="164"/>
      <c r="S141" s="164"/>
      <c r="T141" s="164"/>
      <c r="U141" s="164"/>
      <c r="V141" s="164"/>
      <c r="W141" s="164"/>
      <c r="X141" s="164"/>
      <c r="Y141" s="164"/>
      <c r="Z141" s="164"/>
      <c r="AA141" s="164"/>
      <c r="AB141" s="164"/>
      <c r="AC141" s="164"/>
      <c r="AD141" s="164"/>
    </row>
    <row r="142" ht="15.75" customHeight="1">
      <c r="A142" s="430"/>
      <c r="B142" s="767" t="s">
        <v>571</v>
      </c>
      <c r="C142" s="41" t="s">
        <v>851</v>
      </c>
      <c r="D142" s="864"/>
      <c r="E142" s="864"/>
      <c r="F142" s="864"/>
      <c r="G142" s="414" t="s">
        <v>1857</v>
      </c>
      <c r="H142" s="749" t="s">
        <v>1858</v>
      </c>
      <c r="I142" s="765"/>
      <c r="J142" s="761">
        <v>45533.0</v>
      </c>
      <c r="K142" s="19"/>
      <c r="L142" s="808" t="s">
        <v>1825</v>
      </c>
      <c r="M142" s="716" t="s">
        <v>1859</v>
      </c>
      <c r="N142" s="164"/>
      <c r="O142" s="164"/>
      <c r="P142" s="164"/>
      <c r="Q142" s="164"/>
      <c r="R142" s="164"/>
      <c r="S142" s="164"/>
      <c r="T142" s="164"/>
      <c r="U142" s="164"/>
      <c r="V142" s="164"/>
      <c r="W142" s="164"/>
      <c r="X142" s="164"/>
      <c r="Y142" s="164"/>
      <c r="Z142" s="164"/>
      <c r="AA142" s="164"/>
      <c r="AB142" s="164"/>
      <c r="AC142" s="164"/>
      <c r="AD142" s="164"/>
    </row>
    <row r="143" ht="15.75" customHeight="1">
      <c r="A143" s="164"/>
      <c r="B143" s="164"/>
      <c r="C143" s="941"/>
      <c r="D143" s="941"/>
      <c r="E143" s="942"/>
      <c r="F143" s="942"/>
      <c r="G143" s="164"/>
      <c r="H143" s="776"/>
      <c r="I143" s="776"/>
      <c r="J143" s="777"/>
      <c r="K143" s="164"/>
      <c r="L143" s="776"/>
      <c r="M143" s="164"/>
      <c r="N143" s="164"/>
      <c r="O143" s="164"/>
      <c r="P143" s="164"/>
      <c r="Q143" s="164"/>
      <c r="R143" s="164"/>
      <c r="S143" s="164"/>
      <c r="T143" s="164"/>
      <c r="U143" s="164"/>
      <c r="V143" s="164"/>
      <c r="W143" s="164"/>
      <c r="X143" s="164"/>
      <c r="Y143" s="164"/>
      <c r="Z143" s="164"/>
      <c r="AA143" s="164"/>
      <c r="AB143" s="164"/>
      <c r="AC143" s="164"/>
      <c r="AD143" s="164"/>
    </row>
    <row r="144" ht="15.75" customHeight="1">
      <c r="A144" s="164"/>
      <c r="B144" s="164"/>
      <c r="C144" s="941"/>
      <c r="D144" s="941"/>
      <c r="E144" s="942"/>
      <c r="F144" s="942"/>
      <c r="G144" s="164"/>
      <c r="H144" s="776"/>
      <c r="I144" s="776"/>
      <c r="J144" s="777"/>
      <c r="K144" s="164"/>
      <c r="L144" s="776"/>
      <c r="M144" s="164"/>
      <c r="N144" s="164"/>
      <c r="O144" s="164"/>
      <c r="P144" s="164"/>
      <c r="Q144" s="164"/>
      <c r="R144" s="164"/>
      <c r="S144" s="164"/>
      <c r="T144" s="164"/>
      <c r="U144" s="164"/>
      <c r="V144" s="164"/>
      <c r="W144" s="164"/>
      <c r="X144" s="164"/>
      <c r="Y144" s="164"/>
      <c r="Z144" s="164"/>
      <c r="AA144" s="164"/>
      <c r="AB144" s="164"/>
      <c r="AC144" s="164"/>
      <c r="AD144" s="164"/>
    </row>
    <row r="145" ht="15.75" customHeight="1">
      <c r="A145" s="607" t="s">
        <v>1860</v>
      </c>
      <c r="B145" s="23" t="s">
        <v>400</v>
      </c>
      <c r="C145" s="744" t="s">
        <v>851</v>
      </c>
      <c r="D145" s="806"/>
      <c r="E145" s="806"/>
      <c r="F145" s="806"/>
      <c r="G145" s="369" t="s">
        <v>1861</v>
      </c>
      <c r="H145" s="659" t="s">
        <v>1862</v>
      </c>
      <c r="I145" s="767" t="s">
        <v>1863</v>
      </c>
      <c r="J145" s="764">
        <v>44987.0</v>
      </c>
      <c r="K145" s="822"/>
      <c r="L145" s="850" t="s">
        <v>1696</v>
      </c>
      <c r="M145" s="824" t="s">
        <v>1697</v>
      </c>
      <c r="N145" s="824" t="s">
        <v>1864</v>
      </c>
      <c r="O145" s="824" t="s">
        <v>1865</v>
      </c>
      <c r="P145" s="954" t="s">
        <v>1866</v>
      </c>
      <c r="Q145" s="164"/>
      <c r="R145" s="164"/>
      <c r="S145" s="164"/>
      <c r="T145" s="164"/>
      <c r="U145" s="164"/>
      <c r="V145" s="164"/>
      <c r="W145" s="164"/>
      <c r="X145" s="164"/>
      <c r="Y145" s="164"/>
      <c r="Z145" s="164"/>
      <c r="AA145" s="164"/>
      <c r="AB145" s="164"/>
      <c r="AC145" s="164"/>
      <c r="AD145" s="164"/>
    </row>
    <row r="146" ht="15.75" customHeight="1">
      <c r="A146" s="457"/>
      <c r="B146" s="19" t="s">
        <v>425</v>
      </c>
      <c r="C146" s="744" t="s">
        <v>851</v>
      </c>
      <c r="D146" s="843"/>
      <c r="E146" s="955" t="s">
        <v>1867</v>
      </c>
      <c r="F146" s="843"/>
      <c r="G146" s="34" t="s">
        <v>1868</v>
      </c>
      <c r="H146" s="236" t="s">
        <v>1869</v>
      </c>
      <c r="I146" s="924"/>
      <c r="J146" s="764">
        <v>45384.0</v>
      </c>
      <c r="K146" s="810"/>
      <c r="L146" s="488" t="s">
        <v>1870</v>
      </c>
      <c r="M146" s="956" t="s">
        <v>1871</v>
      </c>
      <c r="N146" s="957"/>
      <c r="O146" s="957"/>
      <c r="P146" s="957"/>
      <c r="Q146" s="957"/>
      <c r="R146" s="957"/>
      <c r="S146" s="957"/>
      <c r="T146" s="957"/>
      <c r="U146" s="957"/>
      <c r="V146" s="957"/>
      <c r="W146" s="957"/>
      <c r="X146" s="957"/>
      <c r="Y146" s="957"/>
      <c r="Z146" s="957"/>
      <c r="AA146" s="957"/>
      <c r="AB146" s="957"/>
      <c r="AC146" s="957"/>
      <c r="AD146" s="957"/>
    </row>
    <row r="147" ht="15.75" customHeight="1">
      <c r="A147" s="457"/>
      <c r="B147" s="19" t="s">
        <v>450</v>
      </c>
      <c r="C147" s="744" t="s">
        <v>851</v>
      </c>
      <c r="D147" s="707"/>
      <c r="E147" s="955" t="s">
        <v>1867</v>
      </c>
      <c r="F147" s="851"/>
      <c r="G147" s="439" t="s">
        <v>1872</v>
      </c>
      <c r="H147" s="236" t="s">
        <v>1873</v>
      </c>
      <c r="I147" s="949"/>
      <c r="J147" s="764">
        <v>45384.0</v>
      </c>
      <c r="K147" s="950"/>
      <c r="L147" s="610" t="s">
        <v>1874</v>
      </c>
      <c r="N147" s="957"/>
      <c r="O147" s="957"/>
      <c r="P147" s="957"/>
      <c r="Q147" s="957"/>
      <c r="R147" s="957"/>
      <c r="S147" s="957"/>
      <c r="T147" s="957"/>
      <c r="U147" s="957"/>
      <c r="V147" s="957"/>
      <c r="W147" s="957"/>
      <c r="X147" s="957"/>
      <c r="Y147" s="957"/>
      <c r="Z147" s="957"/>
      <c r="AA147" s="957"/>
      <c r="AB147" s="957"/>
      <c r="AC147" s="957"/>
      <c r="AD147" s="957"/>
    </row>
    <row r="148" ht="15.75" customHeight="1">
      <c r="A148" s="457"/>
      <c r="B148" s="19" t="s">
        <v>475</v>
      </c>
      <c r="C148" s="744" t="s">
        <v>851</v>
      </c>
      <c r="D148" s="958" t="s">
        <v>1095</v>
      </c>
      <c r="E148" s="851"/>
      <c r="F148" s="851"/>
      <c r="G148" s="439" t="s">
        <v>1875</v>
      </c>
      <c r="H148" s="236" t="s">
        <v>1876</v>
      </c>
      <c r="I148" s="949"/>
      <c r="J148" s="764">
        <v>45384.0</v>
      </c>
      <c r="K148" s="950"/>
      <c r="L148" s="488" t="s">
        <v>1870</v>
      </c>
      <c r="M148" s="489" t="s">
        <v>1877</v>
      </c>
      <c r="N148" s="957"/>
      <c r="O148" s="957"/>
      <c r="P148" s="957"/>
      <c r="Q148" s="957"/>
      <c r="R148" s="957"/>
      <c r="S148" s="957"/>
      <c r="T148" s="957"/>
      <c r="U148" s="957"/>
      <c r="V148" s="957"/>
      <c r="W148" s="957"/>
      <c r="X148" s="957"/>
      <c r="Y148" s="957"/>
      <c r="Z148" s="957"/>
      <c r="AA148" s="957"/>
      <c r="AB148" s="957"/>
      <c r="AC148" s="957"/>
      <c r="AD148" s="957"/>
    </row>
    <row r="149" ht="15.75" customHeight="1">
      <c r="A149" s="457"/>
      <c r="B149" s="19" t="s">
        <v>500</v>
      </c>
      <c r="C149" s="744" t="s">
        <v>851</v>
      </c>
      <c r="D149" s="959"/>
      <c r="E149" s="497"/>
      <c r="F149" s="497"/>
      <c r="G149" s="439" t="s">
        <v>1878</v>
      </c>
      <c r="H149" s="236" t="s">
        <v>1879</v>
      </c>
      <c r="I149" s="950"/>
      <c r="J149" s="764">
        <v>45384.0</v>
      </c>
      <c r="K149" s="900"/>
      <c r="L149" s="488" t="s">
        <v>1870</v>
      </c>
      <c r="M149" s="489" t="s">
        <v>1880</v>
      </c>
      <c r="N149" s="957"/>
      <c r="O149" s="957"/>
      <c r="P149" s="957"/>
      <c r="Q149" s="957"/>
      <c r="R149" s="957"/>
      <c r="S149" s="957"/>
      <c r="T149" s="957"/>
      <c r="U149" s="957"/>
      <c r="V149" s="957"/>
      <c r="W149" s="957"/>
      <c r="X149" s="957"/>
      <c r="Y149" s="957"/>
      <c r="Z149" s="957"/>
      <c r="AA149" s="957"/>
      <c r="AB149" s="957"/>
      <c r="AC149" s="957"/>
      <c r="AD149" s="957"/>
    </row>
    <row r="150" ht="15.75" customHeight="1">
      <c r="A150" s="457"/>
      <c r="B150" s="19" t="s">
        <v>525</v>
      </c>
      <c r="C150" s="744" t="s">
        <v>851</v>
      </c>
      <c r="D150" s="747"/>
      <c r="E150" s="747"/>
      <c r="F150" s="747"/>
      <c r="G150" s="439" t="s">
        <v>1881</v>
      </c>
      <c r="H150" s="236" t="s">
        <v>1882</v>
      </c>
      <c r="I150" s="960"/>
      <c r="J150" s="764">
        <v>45384.0</v>
      </c>
      <c r="K150" s="900"/>
      <c r="L150" s="488" t="s">
        <v>1870</v>
      </c>
      <c r="M150" s="489" t="s">
        <v>1880</v>
      </c>
      <c r="N150" s="946" t="s">
        <v>1322</v>
      </c>
      <c r="O150" s="957"/>
      <c r="P150" s="957"/>
      <c r="Q150" s="957"/>
      <c r="R150" s="957"/>
      <c r="S150" s="957"/>
      <c r="T150" s="957"/>
      <c r="U150" s="957"/>
      <c r="V150" s="957"/>
      <c r="W150" s="957"/>
      <c r="X150" s="957"/>
      <c r="Y150" s="957"/>
      <c r="Z150" s="957"/>
      <c r="AA150" s="957"/>
      <c r="AB150" s="957"/>
      <c r="AC150" s="957"/>
      <c r="AD150" s="957"/>
    </row>
    <row r="151" ht="15.75" customHeight="1">
      <c r="A151" s="457"/>
      <c r="B151" s="18" t="s">
        <v>549</v>
      </c>
      <c r="C151" s="119" t="s">
        <v>851</v>
      </c>
      <c r="D151" s="707"/>
      <c r="E151" s="851"/>
      <c r="F151" s="851"/>
      <c r="G151" s="749" t="s">
        <v>1883</v>
      </c>
      <c r="H151" s="668" t="s">
        <v>1884</v>
      </c>
      <c r="I151" s="767" t="s">
        <v>1863</v>
      </c>
      <c r="J151" s="764">
        <v>44994.0</v>
      </c>
      <c r="K151" s="900"/>
      <c r="L151" s="623" t="s">
        <v>1885</v>
      </c>
      <c r="M151" s="961"/>
      <c r="N151" s="961"/>
      <c r="O151" s="961"/>
      <c r="P151" s="961"/>
      <c r="Q151" s="961"/>
      <c r="R151" s="961"/>
      <c r="S151" s="961"/>
      <c r="T151" s="961"/>
      <c r="U151" s="961"/>
      <c r="V151" s="961"/>
      <c r="W151" s="961"/>
      <c r="X151" s="961"/>
      <c r="Y151" s="961"/>
      <c r="Z151" s="961"/>
      <c r="AA151" s="961"/>
      <c r="AB151" s="961"/>
      <c r="AC151" s="961"/>
      <c r="AD151" s="961"/>
    </row>
    <row r="152" ht="15.75" customHeight="1">
      <c r="A152" s="430"/>
      <c r="B152" s="18" t="s">
        <v>572</v>
      </c>
      <c r="C152" s="119" t="s">
        <v>851</v>
      </c>
      <c r="D152" s="962"/>
      <c r="E152" s="851"/>
      <c r="F152" s="851"/>
      <c r="G152" s="208" t="s">
        <v>1886</v>
      </c>
      <c r="H152" s="697" t="s">
        <v>1887</v>
      </c>
      <c r="I152" s="950"/>
      <c r="J152" s="764">
        <v>45433.0</v>
      </c>
      <c r="K152" s="764"/>
      <c r="L152" s="623" t="s">
        <v>1349</v>
      </c>
      <c r="M152" s="489" t="s">
        <v>1888</v>
      </c>
      <c r="N152" s="961"/>
      <c r="O152" s="961"/>
      <c r="P152" s="961"/>
      <c r="Q152" s="961"/>
      <c r="R152" s="961"/>
      <c r="S152" s="961"/>
      <c r="T152" s="961"/>
      <c r="U152" s="961"/>
      <c r="V152" s="961"/>
      <c r="W152" s="961"/>
      <c r="X152" s="961"/>
      <c r="Y152" s="961"/>
      <c r="Z152" s="961"/>
      <c r="AA152" s="961"/>
      <c r="AB152" s="961"/>
      <c r="AC152" s="961"/>
      <c r="AD152" s="961"/>
    </row>
    <row r="153" ht="15.75" customHeight="1">
      <c r="A153" s="963"/>
      <c r="B153" s="964"/>
      <c r="C153" s="963"/>
      <c r="D153" s="965"/>
      <c r="E153" s="966"/>
      <c r="F153" s="966"/>
      <c r="G153" s="967"/>
      <c r="H153" s="967"/>
      <c r="I153" s="968"/>
      <c r="J153" s="969"/>
      <c r="K153" s="970"/>
      <c r="L153" s="971"/>
      <c r="M153" s="972"/>
      <c r="N153" s="972"/>
      <c r="O153" s="972"/>
      <c r="P153" s="973"/>
      <c r="Q153" s="973"/>
      <c r="R153" s="973"/>
      <c r="S153" s="973"/>
      <c r="T153" s="973"/>
      <c r="U153" s="973"/>
      <c r="V153" s="973"/>
      <c r="W153" s="973"/>
      <c r="X153" s="973"/>
      <c r="Y153" s="973"/>
      <c r="Z153" s="973"/>
      <c r="AA153" s="973"/>
      <c r="AB153" s="973"/>
      <c r="AC153" s="973"/>
      <c r="AD153" s="973"/>
    </row>
    <row r="154" ht="15.75" customHeight="1">
      <c r="A154" s="974"/>
      <c r="B154" s="974"/>
      <c r="C154" s="975"/>
      <c r="D154" s="976"/>
      <c r="E154" s="975"/>
      <c r="F154" s="975"/>
      <c r="G154" s="974"/>
      <c r="H154" s="974"/>
      <c r="I154" s="974"/>
      <c r="J154" s="977"/>
      <c r="K154" s="978"/>
      <c r="L154" s="979"/>
      <c r="M154" s="704"/>
      <c r="N154" s="704"/>
      <c r="O154" s="704"/>
      <c r="P154" s="704"/>
      <c r="Q154" s="704"/>
      <c r="R154" s="704"/>
      <c r="S154" s="704"/>
      <c r="T154" s="704"/>
      <c r="U154" s="704"/>
      <c r="V154" s="704"/>
      <c r="W154" s="704"/>
      <c r="X154" s="704"/>
      <c r="Y154" s="704"/>
      <c r="Z154" s="704"/>
      <c r="AA154" s="704"/>
      <c r="AB154" s="704"/>
      <c r="AC154" s="704"/>
      <c r="AD154" s="704"/>
    </row>
    <row r="155" ht="15.75" customHeight="1">
      <c r="A155" s="980" t="s">
        <v>1889</v>
      </c>
      <c r="B155" s="708" t="s">
        <v>238</v>
      </c>
      <c r="C155" s="717" t="s">
        <v>851</v>
      </c>
      <c r="D155" s="962"/>
      <c r="E155" s="851"/>
      <c r="F155" s="851"/>
      <c r="G155" s="981" t="s">
        <v>1890</v>
      </c>
      <c r="H155" s="708" t="s">
        <v>1891</v>
      </c>
      <c r="I155" s="950"/>
      <c r="J155" s="492">
        <v>45439.0</v>
      </c>
      <c r="K155" s="900"/>
      <c r="L155" s="623" t="s">
        <v>1892</v>
      </c>
      <c r="M155" s="489" t="s">
        <v>1322</v>
      </c>
      <c r="N155" s="704"/>
      <c r="O155" s="704"/>
      <c r="P155" s="704"/>
      <c r="Q155" s="704"/>
      <c r="R155" s="704"/>
      <c r="S155" s="704"/>
      <c r="T155" s="704"/>
      <c r="U155" s="704"/>
      <c r="V155" s="704"/>
      <c r="W155" s="704"/>
      <c r="X155" s="704"/>
      <c r="Y155" s="704"/>
      <c r="Z155" s="704"/>
      <c r="AA155" s="704"/>
      <c r="AB155" s="704"/>
      <c r="AC155" s="704"/>
      <c r="AD155" s="704"/>
    </row>
    <row r="156" ht="15.75" customHeight="1">
      <c r="A156" s="82"/>
      <c r="B156" s="708" t="s">
        <v>248</v>
      </c>
      <c r="C156" s="717" t="s">
        <v>851</v>
      </c>
      <c r="D156" s="962"/>
      <c r="E156" s="851"/>
      <c r="F156" s="851"/>
      <c r="G156" s="981" t="s">
        <v>1893</v>
      </c>
      <c r="H156" s="708" t="s">
        <v>1894</v>
      </c>
      <c r="I156" s="950"/>
      <c r="J156" s="962">
        <v>45495.0</v>
      </c>
      <c r="K156" s="900"/>
      <c r="L156" s="623" t="s">
        <v>1768</v>
      </c>
      <c r="M156" s="704"/>
      <c r="N156" s="704"/>
      <c r="O156" s="704"/>
      <c r="P156" s="704"/>
      <c r="Q156" s="704"/>
      <c r="R156" s="704"/>
      <c r="S156" s="704"/>
      <c r="T156" s="704"/>
      <c r="U156" s="704"/>
      <c r="V156" s="704"/>
      <c r="W156" s="704"/>
      <c r="X156" s="704"/>
      <c r="Y156" s="704"/>
      <c r="Z156" s="704"/>
      <c r="AA156" s="704"/>
      <c r="AB156" s="704"/>
      <c r="AC156" s="704"/>
      <c r="AD156" s="704"/>
    </row>
    <row r="157" ht="15.75" customHeight="1">
      <c r="A157" s="82"/>
      <c r="B157" s="19" t="s">
        <v>258</v>
      </c>
      <c r="C157" s="406" t="s">
        <v>851</v>
      </c>
      <c r="D157" s="982"/>
      <c r="E157" s="747"/>
      <c r="F157" s="747"/>
      <c r="G157" s="406" t="s">
        <v>1895</v>
      </c>
      <c r="H157" s="789" t="s">
        <v>1896</v>
      </c>
      <c r="I157" s="742"/>
      <c r="J157" s="737">
        <v>44929.0</v>
      </c>
      <c r="K157" s="744" t="s">
        <v>1897</v>
      </c>
      <c r="L157" s="311"/>
      <c r="M157" s="704"/>
      <c r="N157" s="704"/>
      <c r="O157" s="704"/>
      <c r="P157" s="704"/>
      <c r="Q157" s="704"/>
      <c r="R157" s="704"/>
      <c r="S157" s="704"/>
      <c r="T157" s="704"/>
      <c r="U157" s="704"/>
      <c r="V157" s="704"/>
      <c r="W157" s="704"/>
      <c r="X157" s="704"/>
      <c r="Y157" s="704"/>
      <c r="Z157" s="704"/>
      <c r="AA157" s="704"/>
      <c r="AB157" s="704"/>
      <c r="AC157" s="704"/>
      <c r="AD157" s="704"/>
    </row>
    <row r="158" ht="15.75" customHeight="1">
      <c r="A158" s="82"/>
      <c r="B158" s="708" t="s">
        <v>268</v>
      </c>
      <c r="C158" s="406" t="s">
        <v>851</v>
      </c>
      <c r="D158" s="948"/>
      <c r="E158" s="851"/>
      <c r="F158" s="851"/>
      <c r="G158" s="767" t="s">
        <v>1898</v>
      </c>
      <c r="H158" s="659" t="s">
        <v>1899</v>
      </c>
      <c r="I158" s="950"/>
      <c r="J158" s="962">
        <v>44622.0</v>
      </c>
      <c r="K158" s="900"/>
      <c r="L158" s="311"/>
      <c r="M158" s="704"/>
      <c r="N158" s="704"/>
      <c r="O158" s="704"/>
      <c r="P158" s="704"/>
      <c r="Q158" s="704"/>
      <c r="R158" s="704"/>
      <c r="S158" s="704"/>
      <c r="T158" s="704"/>
      <c r="U158" s="704"/>
      <c r="V158" s="704"/>
      <c r="W158" s="704"/>
      <c r="X158" s="704"/>
      <c r="Y158" s="704"/>
      <c r="Z158" s="704"/>
      <c r="AA158" s="704"/>
      <c r="AB158" s="704"/>
      <c r="AC158" s="704"/>
      <c r="AD158" s="704"/>
    </row>
    <row r="159" ht="15.75" customHeight="1">
      <c r="A159" s="82"/>
      <c r="B159" s="708" t="s">
        <v>1900</v>
      </c>
      <c r="C159" s="406" t="s">
        <v>851</v>
      </c>
      <c r="D159" s="948" t="s">
        <v>1901</v>
      </c>
      <c r="E159" s="851"/>
      <c r="F159" s="851"/>
      <c r="G159" s="744" t="s">
        <v>1898</v>
      </c>
      <c r="H159" s="659" t="s">
        <v>1899</v>
      </c>
      <c r="I159" s="950"/>
      <c r="J159" s="962">
        <v>44622.0</v>
      </c>
      <c r="K159" s="900"/>
      <c r="L159" s="311"/>
      <c r="M159" s="704"/>
      <c r="N159" s="704"/>
      <c r="O159" s="704"/>
      <c r="P159" s="704"/>
      <c r="Q159" s="704"/>
      <c r="R159" s="704"/>
      <c r="S159" s="704"/>
      <c r="T159" s="704"/>
      <c r="U159" s="704"/>
      <c r="V159" s="704"/>
      <c r="W159" s="704"/>
      <c r="X159" s="704"/>
      <c r="Y159" s="704"/>
      <c r="Z159" s="704"/>
      <c r="AA159" s="704"/>
      <c r="AB159" s="704"/>
      <c r="AC159" s="704"/>
      <c r="AD159" s="704"/>
    </row>
    <row r="160" ht="15.75" customHeight="1">
      <c r="A160" s="82"/>
      <c r="B160" s="41" t="s">
        <v>288</v>
      </c>
      <c r="C160" s="371" t="s">
        <v>851</v>
      </c>
      <c r="D160" s="983"/>
      <c r="E160" s="743"/>
      <c r="F160" s="743"/>
      <c r="G160" s="984" t="s">
        <v>1902</v>
      </c>
      <c r="H160" s="985" t="s">
        <v>1903</v>
      </c>
      <c r="I160" s="887"/>
      <c r="J160" s="737">
        <v>44929.0</v>
      </c>
      <c r="K160" s="810"/>
      <c r="L160" s="871"/>
      <c r="M160" s="583"/>
      <c r="N160" s="704"/>
      <c r="O160" s="704"/>
      <c r="P160" s="704"/>
      <c r="Q160" s="704"/>
      <c r="R160" s="704"/>
      <c r="S160" s="704"/>
      <c r="T160" s="704"/>
      <c r="U160" s="704"/>
      <c r="V160" s="704"/>
      <c r="W160" s="704"/>
      <c r="X160" s="704"/>
      <c r="Y160" s="704"/>
      <c r="Z160" s="704"/>
      <c r="AA160" s="704"/>
      <c r="AB160" s="704"/>
      <c r="AC160" s="704"/>
      <c r="AD160" s="704"/>
    </row>
    <row r="161" ht="15.75" customHeight="1">
      <c r="A161" s="82"/>
      <c r="B161" s="19" t="s">
        <v>296</v>
      </c>
      <c r="C161" s="406" t="s">
        <v>851</v>
      </c>
      <c r="D161" s="982"/>
      <c r="E161" s="747"/>
      <c r="F161" s="747"/>
      <c r="G161" s="406" t="s">
        <v>1904</v>
      </c>
      <c r="H161" s="789" t="s">
        <v>1905</v>
      </c>
      <c r="I161" s="742"/>
      <c r="J161" s="737">
        <v>44929.0</v>
      </c>
      <c r="K161" s="19"/>
      <c r="L161" s="493" t="s">
        <v>1515</v>
      </c>
      <c r="M161" s="493" t="s">
        <v>1906</v>
      </c>
      <c r="N161" s="850" t="s">
        <v>1907</v>
      </c>
      <c r="O161" s="850" t="s">
        <v>1675</v>
      </c>
      <c r="P161" s="490" t="s">
        <v>1908</v>
      </c>
      <c r="Q161" s="850" t="s">
        <v>1909</v>
      </c>
      <c r="R161" s="850" t="s">
        <v>1910</v>
      </c>
      <c r="S161" s="704"/>
      <c r="T161" s="704"/>
      <c r="U161" s="704"/>
      <c r="V161" s="704"/>
      <c r="W161" s="704"/>
      <c r="X161" s="704"/>
      <c r="Y161" s="704"/>
      <c r="Z161" s="704"/>
      <c r="AA161" s="704"/>
      <c r="AB161" s="704"/>
      <c r="AC161" s="704"/>
      <c r="AD161" s="704"/>
    </row>
    <row r="162" ht="15.75" customHeight="1">
      <c r="A162" s="100"/>
      <c r="B162" s="19" t="s">
        <v>1911</v>
      </c>
      <c r="C162" s="406" t="s">
        <v>851</v>
      </c>
      <c r="D162" s="982"/>
      <c r="E162" s="747"/>
      <c r="F162" s="747"/>
      <c r="G162" s="406" t="s">
        <v>1912</v>
      </c>
      <c r="H162" s="789" t="s">
        <v>1913</v>
      </c>
      <c r="I162" s="742"/>
      <c r="J162" s="737">
        <v>45705.0</v>
      </c>
      <c r="K162" s="19"/>
      <c r="L162" s="871"/>
      <c r="M162" s="583"/>
      <c r="N162" s="704"/>
      <c r="O162" s="704"/>
      <c r="P162" s="704"/>
      <c r="Q162" s="704"/>
      <c r="R162" s="704"/>
      <c r="S162" s="704"/>
      <c r="T162" s="704"/>
      <c r="U162" s="704"/>
      <c r="V162" s="704"/>
      <c r="W162" s="704"/>
      <c r="X162" s="704"/>
      <c r="Y162" s="704"/>
      <c r="Z162" s="704"/>
      <c r="AA162" s="704"/>
      <c r="AB162" s="704"/>
      <c r="AC162" s="704"/>
      <c r="AD162" s="704"/>
    </row>
    <row r="163" ht="15.75" customHeight="1">
      <c r="A163" s="986"/>
      <c r="B163" s="987"/>
      <c r="C163" s="987"/>
      <c r="D163" s="988"/>
      <c r="E163" s="989"/>
      <c r="F163" s="989"/>
      <c r="G163" s="987"/>
      <c r="H163" s="987"/>
      <c r="I163" s="987"/>
      <c r="J163" s="990"/>
      <c r="K163" s="991"/>
      <c r="L163" s="986"/>
      <c r="M163" s="704"/>
      <c r="N163" s="704"/>
      <c r="O163" s="704"/>
      <c r="P163" s="704"/>
      <c r="Q163" s="704"/>
      <c r="R163" s="704"/>
      <c r="S163" s="704"/>
      <c r="T163" s="704"/>
      <c r="U163" s="704"/>
      <c r="V163" s="704"/>
      <c r="W163" s="704"/>
      <c r="X163" s="704"/>
      <c r="Y163" s="704"/>
      <c r="Z163" s="704"/>
      <c r="AA163" s="704"/>
      <c r="AB163" s="704"/>
      <c r="AC163" s="704"/>
      <c r="AD163" s="704"/>
    </row>
    <row r="164" ht="15.75" customHeight="1">
      <c r="A164" s="518" t="s">
        <v>196</v>
      </c>
      <c r="B164" s="517">
        <f>IFERROR(__xludf.DUMMYFUNCTION("COUNTUNIQUE(B8:B162)"),127.0)</f>
        <v>127</v>
      </c>
      <c r="C164" s="518"/>
      <c r="D164" s="992"/>
      <c r="E164" s="989"/>
      <c r="F164" s="989"/>
      <c r="G164" s="993"/>
      <c r="H164" s="993"/>
      <c r="I164" s="986"/>
      <c r="J164" s="523"/>
      <c r="K164" s="994"/>
      <c r="L164" s="995"/>
      <c r="M164" s="704"/>
      <c r="N164" s="704"/>
      <c r="O164" s="704"/>
      <c r="P164" s="704"/>
      <c r="Q164" s="704"/>
      <c r="R164" s="704"/>
      <c r="S164" s="704"/>
      <c r="T164" s="704"/>
      <c r="U164" s="704"/>
      <c r="V164" s="704"/>
      <c r="W164" s="704"/>
      <c r="X164" s="704"/>
      <c r="Y164" s="704"/>
      <c r="Z164" s="704"/>
      <c r="AA164" s="704"/>
      <c r="AB164" s="704"/>
      <c r="AC164" s="704"/>
      <c r="AD164" s="704"/>
    </row>
    <row r="165" ht="15.75" customHeight="1">
      <c r="A165" s="518"/>
      <c r="B165" s="517"/>
      <c r="C165" s="518"/>
      <c r="D165" s="992"/>
      <c r="E165" s="989"/>
      <c r="F165" s="989"/>
      <c r="G165" s="993"/>
      <c r="H165" s="993"/>
      <c r="I165" s="986"/>
      <c r="J165" s="523"/>
      <c r="K165" s="994"/>
      <c r="L165" s="995"/>
      <c r="M165" s="704"/>
      <c r="N165" s="704"/>
      <c r="O165" s="704"/>
      <c r="P165" s="957"/>
      <c r="Q165" s="957"/>
      <c r="R165" s="957"/>
      <c r="S165" s="957"/>
      <c r="T165" s="957"/>
      <c r="U165" s="957"/>
      <c r="V165" s="957"/>
      <c r="W165" s="957"/>
      <c r="X165" s="957"/>
      <c r="Y165" s="957"/>
      <c r="Z165" s="957"/>
      <c r="AA165" s="957"/>
      <c r="AB165" s="957"/>
      <c r="AC165" s="957"/>
      <c r="AD165" s="957"/>
    </row>
    <row r="166" ht="15.75" customHeight="1">
      <c r="A166" s="518"/>
      <c r="B166" s="517"/>
      <c r="C166" s="518"/>
      <c r="D166" s="992"/>
      <c r="E166" s="989"/>
      <c r="F166" s="989"/>
      <c r="G166" s="993"/>
      <c r="H166" s="993"/>
      <c r="I166" s="986"/>
      <c r="J166" s="523"/>
      <c r="K166" s="994"/>
      <c r="L166" s="995"/>
      <c r="M166" s="704"/>
      <c r="N166" s="704"/>
      <c r="O166" s="704"/>
      <c r="P166" s="957"/>
      <c r="Q166" s="957"/>
      <c r="R166" s="957"/>
      <c r="S166" s="957"/>
      <c r="T166" s="957"/>
      <c r="U166" s="957"/>
      <c r="V166" s="957"/>
      <c r="W166" s="957"/>
      <c r="X166" s="957"/>
      <c r="Y166" s="957"/>
      <c r="Z166" s="957"/>
      <c r="AA166" s="957"/>
      <c r="AB166" s="957"/>
      <c r="AC166" s="957"/>
      <c r="AD166" s="957"/>
    </row>
    <row r="167" ht="15.75" customHeight="1">
      <c r="A167" s="607" t="s">
        <v>1914</v>
      </c>
      <c r="B167" s="41" t="s">
        <v>419</v>
      </c>
      <c r="C167" s="744" t="s">
        <v>851</v>
      </c>
      <c r="D167" s="22"/>
      <c r="E167" s="22"/>
      <c r="F167" s="22"/>
      <c r="G167" s="369" t="s">
        <v>1603</v>
      </c>
      <c r="H167" s="599" t="s">
        <v>1604</v>
      </c>
      <c r="I167" s="843"/>
      <c r="J167" s="737">
        <v>45400.0</v>
      </c>
      <c r="K167" s="710"/>
      <c r="L167" s="844" t="s">
        <v>1510</v>
      </c>
      <c r="M167" s="845" t="s">
        <v>1605</v>
      </c>
      <c r="N167" s="350"/>
      <c r="O167" s="704"/>
      <c r="P167" s="957"/>
      <c r="Q167" s="957"/>
      <c r="R167" s="957"/>
      <c r="S167" s="957"/>
      <c r="T167" s="957"/>
      <c r="U167" s="957"/>
      <c r="V167" s="957"/>
      <c r="W167" s="957"/>
      <c r="X167" s="957"/>
      <c r="Y167" s="957"/>
      <c r="Z167" s="957"/>
      <c r="AA167" s="957"/>
      <c r="AB167" s="957"/>
      <c r="AC167" s="957"/>
      <c r="AD167" s="957"/>
    </row>
    <row r="168" ht="15.75" customHeight="1">
      <c r="A168" s="457"/>
      <c r="B168" s="598" t="s">
        <v>444</v>
      </c>
      <c r="C168" s="598" t="s">
        <v>851</v>
      </c>
      <c r="D168" s="996"/>
      <c r="E168" s="996"/>
      <c r="F168" s="996"/>
      <c r="G168" s="598" t="s">
        <v>1606</v>
      </c>
      <c r="H168" s="671" t="s">
        <v>1607</v>
      </c>
      <c r="I168" s="997"/>
      <c r="J168" s="998">
        <v>45421.0</v>
      </c>
      <c r="K168" s="999"/>
      <c r="L168" s="1000" t="s">
        <v>1210</v>
      </c>
      <c r="M168" s="1001"/>
      <c r="N168" s="1001"/>
      <c r="O168" s="704"/>
      <c r="P168" s="957"/>
      <c r="Q168" s="957"/>
      <c r="R168" s="957"/>
      <c r="S168" s="957"/>
      <c r="T168" s="957"/>
      <c r="U168" s="957"/>
      <c r="V168" s="957"/>
      <c r="W168" s="957"/>
      <c r="X168" s="957"/>
      <c r="Y168" s="957"/>
      <c r="Z168" s="957"/>
      <c r="AA168" s="957"/>
      <c r="AB168" s="957"/>
      <c r="AC168" s="957"/>
      <c r="AD168" s="957"/>
    </row>
    <row r="169" ht="15.75" customHeight="1">
      <c r="A169" s="457"/>
      <c r="B169" s="18" t="s">
        <v>469</v>
      </c>
      <c r="C169" s="744" t="s">
        <v>851</v>
      </c>
      <c r="D169" s="846"/>
      <c r="E169" s="847"/>
      <c r="F169" s="847"/>
      <c r="G169" s="18" t="s">
        <v>1608</v>
      </c>
      <c r="H169" s="135" t="s">
        <v>1609</v>
      </c>
      <c r="I169" s="848"/>
      <c r="J169" s="737">
        <v>45468.0</v>
      </c>
      <c r="K169" s="710"/>
      <c r="L169" s="844" t="s">
        <v>1610</v>
      </c>
      <c r="M169" s="716" t="s">
        <v>1611</v>
      </c>
      <c r="N169" s="350"/>
      <c r="O169" s="704"/>
      <c r="P169" s="957"/>
      <c r="Q169" s="957"/>
      <c r="R169" s="957"/>
      <c r="S169" s="957"/>
      <c r="T169" s="957"/>
      <c r="U169" s="957"/>
      <c r="V169" s="957"/>
      <c r="W169" s="957"/>
      <c r="X169" s="957"/>
      <c r="Y169" s="957"/>
      <c r="Z169" s="957"/>
      <c r="AA169" s="957"/>
      <c r="AB169" s="957"/>
      <c r="AC169" s="957"/>
      <c r="AD169" s="957"/>
    </row>
    <row r="170" ht="15.75" customHeight="1">
      <c r="A170" s="457"/>
      <c r="B170" s="41" t="s">
        <v>1620</v>
      </c>
      <c r="C170" s="744" t="s">
        <v>851</v>
      </c>
      <c r="D170" s="792"/>
      <c r="E170" s="792"/>
      <c r="F170" s="792"/>
      <c r="G170" s="156" t="s">
        <v>1621</v>
      </c>
      <c r="H170" s="793" t="s">
        <v>1622</v>
      </c>
      <c r="I170" s="135"/>
      <c r="J170" s="761">
        <v>45701.0</v>
      </c>
      <c r="K170" s="18"/>
      <c r="L170" s="750" t="s">
        <v>1623</v>
      </c>
      <c r="M170" s="704"/>
      <c r="N170" s="704"/>
      <c r="O170" s="704"/>
      <c r="P170" s="957"/>
      <c r="Q170" s="957"/>
      <c r="R170" s="957"/>
      <c r="S170" s="957"/>
      <c r="T170" s="957"/>
      <c r="U170" s="957"/>
      <c r="V170" s="957"/>
      <c r="W170" s="957"/>
      <c r="X170" s="957"/>
      <c r="Y170" s="957"/>
      <c r="Z170" s="957"/>
      <c r="AA170" s="957"/>
      <c r="AB170" s="957"/>
      <c r="AC170" s="957"/>
      <c r="AD170" s="957"/>
    </row>
    <row r="171" ht="15.75" customHeight="1">
      <c r="A171" s="457"/>
      <c r="B171" s="156" t="s">
        <v>393</v>
      </c>
      <c r="C171" s="166" t="s">
        <v>851</v>
      </c>
      <c r="D171" s="747"/>
      <c r="E171" s="820"/>
      <c r="F171" s="820"/>
      <c r="G171" s="821" t="s">
        <v>1573</v>
      </c>
      <c r="H171" s="41" t="s">
        <v>1574</v>
      </c>
      <c r="I171" s="659"/>
      <c r="J171" s="764">
        <v>44739.0</v>
      </c>
      <c r="K171" s="822"/>
      <c r="L171" s="823" t="s">
        <v>1575</v>
      </c>
      <c r="M171" s="716" t="s">
        <v>1576</v>
      </c>
      <c r="N171" s="824" t="s">
        <v>1577</v>
      </c>
      <c r="O171" s="824" t="s">
        <v>1578</v>
      </c>
      <c r="P171" s="1002"/>
      <c r="Q171" s="957"/>
      <c r="R171" s="957"/>
      <c r="S171" s="957"/>
      <c r="T171" s="957"/>
      <c r="U171" s="957"/>
      <c r="V171" s="957"/>
      <c r="W171" s="957"/>
      <c r="X171" s="957"/>
      <c r="Y171" s="957"/>
      <c r="Z171" s="957"/>
      <c r="AA171" s="957"/>
      <c r="AB171" s="957"/>
      <c r="AC171" s="957"/>
      <c r="AD171" s="957"/>
    </row>
    <row r="172" ht="15.75" customHeight="1">
      <c r="A172" s="457"/>
      <c r="B172" s="18" t="s">
        <v>443</v>
      </c>
      <c r="C172" s="41" t="s">
        <v>851</v>
      </c>
      <c r="D172" s="768"/>
      <c r="E172" s="768"/>
      <c r="F172" s="768"/>
      <c r="G172" s="41" t="s">
        <v>1579</v>
      </c>
      <c r="H172" s="767" t="s">
        <v>1580</v>
      </c>
      <c r="I172" s="769"/>
      <c r="J172" s="764">
        <v>45335.0</v>
      </c>
      <c r="K172" s="822"/>
      <c r="L172" s="602" t="s">
        <v>1581</v>
      </c>
      <c r="M172" s="350"/>
      <c r="N172" s="350"/>
      <c r="O172" s="704"/>
      <c r="P172" s="957"/>
      <c r="Q172" s="957"/>
      <c r="R172" s="957"/>
      <c r="S172" s="957"/>
      <c r="T172" s="957"/>
      <c r="U172" s="957"/>
      <c r="V172" s="957"/>
      <c r="W172" s="957"/>
      <c r="X172" s="957"/>
      <c r="Y172" s="957"/>
      <c r="Z172" s="957"/>
      <c r="AA172" s="957"/>
      <c r="AB172" s="957"/>
      <c r="AC172" s="957"/>
      <c r="AD172" s="957"/>
    </row>
    <row r="173" ht="15.75" customHeight="1">
      <c r="A173" s="457"/>
      <c r="B173" s="717" t="s">
        <v>493</v>
      </c>
      <c r="C173" s="371" t="s">
        <v>851</v>
      </c>
      <c r="D173" s="719"/>
      <c r="E173" s="826"/>
      <c r="F173" s="826"/>
      <c r="G173" s="615" t="s">
        <v>1588</v>
      </c>
      <c r="H173" s="46" t="s">
        <v>1589</v>
      </c>
      <c r="I173" s="135"/>
      <c r="J173" s="764">
        <v>45664.0</v>
      </c>
      <c r="K173" s="681"/>
      <c r="L173" s="508"/>
      <c r="M173" s="694" t="s">
        <v>1109</v>
      </c>
      <c r="N173" s="957"/>
      <c r="O173" s="957"/>
      <c r="P173" s="957"/>
      <c r="Q173" s="957"/>
      <c r="R173" s="957"/>
      <c r="S173" s="957"/>
      <c r="T173" s="957"/>
      <c r="U173" s="957"/>
      <c r="V173" s="957"/>
      <c r="W173" s="957"/>
      <c r="X173" s="957"/>
      <c r="Y173" s="957"/>
      <c r="Z173" s="957"/>
      <c r="AA173" s="957"/>
      <c r="AB173" s="957"/>
      <c r="AC173" s="957"/>
      <c r="AD173" s="957"/>
    </row>
    <row r="174" ht="15.75" customHeight="1">
      <c r="A174" s="430"/>
      <c r="B174" s="681" t="s">
        <v>1624</v>
      </c>
      <c r="C174" s="312" t="s">
        <v>861</v>
      </c>
      <c r="D174" s="707"/>
      <c r="E174" s="851"/>
      <c r="F174" s="851"/>
      <c r="G174" s="708" t="s">
        <v>1625</v>
      </c>
      <c r="H174" s="708" t="s">
        <v>1626</v>
      </c>
      <c r="I174" s="765" t="s">
        <v>1627</v>
      </c>
      <c r="J174" s="764">
        <v>45293.0</v>
      </c>
      <c r="K174" s="738"/>
      <c r="L174" s="871"/>
      <c r="M174" s="957"/>
      <c r="N174" s="704"/>
      <c r="O174" s="704"/>
      <c r="P174" s="957"/>
      <c r="Q174" s="957"/>
      <c r="R174" s="957"/>
      <c r="S174" s="957"/>
      <c r="T174" s="957"/>
      <c r="U174" s="957"/>
      <c r="V174" s="957"/>
      <c r="W174" s="957"/>
      <c r="X174" s="957"/>
      <c r="Y174" s="957"/>
      <c r="Z174" s="957"/>
      <c r="AA174" s="957"/>
      <c r="AB174" s="957"/>
      <c r="AC174" s="957"/>
      <c r="AD174" s="957"/>
    </row>
    <row r="175" ht="15.75" customHeight="1">
      <c r="A175" s="518"/>
      <c r="B175" s="517"/>
      <c r="C175" s="518"/>
      <c r="D175" s="992"/>
      <c r="E175" s="989"/>
      <c r="F175" s="989"/>
      <c r="G175" s="993"/>
      <c r="H175" s="993"/>
      <c r="I175" s="986"/>
      <c r="J175" s="523"/>
      <c r="K175" s="994"/>
      <c r="L175" s="995"/>
      <c r="M175" s="704"/>
      <c r="N175" s="704"/>
      <c r="O175" s="704"/>
      <c r="P175" s="957"/>
      <c r="Q175" s="957"/>
      <c r="R175" s="957"/>
      <c r="S175" s="957"/>
      <c r="T175" s="957"/>
      <c r="U175" s="957"/>
      <c r="V175" s="957"/>
      <c r="W175" s="957"/>
      <c r="X175" s="957"/>
      <c r="Y175" s="957"/>
      <c r="Z175" s="957"/>
      <c r="AA175" s="957"/>
      <c r="AB175" s="957"/>
      <c r="AC175" s="957"/>
      <c r="AD175" s="957"/>
    </row>
    <row r="176" ht="15.75" customHeight="1">
      <c r="A176" s="518"/>
      <c r="B176" s="517"/>
      <c r="C176" s="518"/>
      <c r="D176" s="992"/>
      <c r="E176" s="989"/>
      <c r="F176" s="989"/>
      <c r="G176" s="993"/>
      <c r="H176" s="993"/>
      <c r="I176" s="986"/>
      <c r="J176" s="523"/>
      <c r="K176" s="994"/>
      <c r="L176" s="995"/>
      <c r="M176" s="704"/>
      <c r="N176" s="704"/>
      <c r="O176" s="704"/>
      <c r="P176" s="957"/>
      <c r="Q176" s="957"/>
      <c r="R176" s="957"/>
      <c r="S176" s="957"/>
      <c r="T176" s="957"/>
      <c r="U176" s="957"/>
      <c r="V176" s="957"/>
      <c r="W176" s="957"/>
      <c r="X176" s="957"/>
      <c r="Y176" s="957"/>
      <c r="Z176" s="957"/>
      <c r="AA176" s="957"/>
      <c r="AB176" s="957"/>
      <c r="AC176" s="957"/>
      <c r="AD176" s="957"/>
    </row>
    <row r="177" ht="15.75" customHeight="1">
      <c r="A177" s="607" t="s">
        <v>1915</v>
      </c>
      <c r="B177" s="717" t="s">
        <v>1582</v>
      </c>
      <c r="C177" s="717" t="s">
        <v>851</v>
      </c>
      <c r="D177" s="719"/>
      <c r="E177" s="826"/>
      <c r="F177" s="826"/>
      <c r="G177" s="717" t="s">
        <v>1583</v>
      </c>
      <c r="H177" s="717" t="s">
        <v>1584</v>
      </c>
      <c r="I177" s="135" t="s">
        <v>1585</v>
      </c>
      <c r="J177" s="764">
        <v>44987.0</v>
      </c>
      <c r="K177" s="247" t="s">
        <v>1586</v>
      </c>
      <c r="L177" s="1003" t="s">
        <v>1587</v>
      </c>
      <c r="M177" s="1004"/>
      <c r="N177" s="350"/>
      <c r="O177" s="704"/>
      <c r="P177" s="957"/>
      <c r="Q177" s="957"/>
      <c r="R177" s="957"/>
      <c r="S177" s="957"/>
      <c r="T177" s="957"/>
      <c r="U177" s="957"/>
      <c r="V177" s="957"/>
      <c r="W177" s="957"/>
      <c r="X177" s="957"/>
      <c r="Y177" s="957"/>
      <c r="Z177" s="957"/>
      <c r="AA177" s="957"/>
      <c r="AB177" s="957"/>
      <c r="AC177" s="957"/>
      <c r="AD177" s="957"/>
    </row>
    <row r="178" ht="15.75" customHeight="1">
      <c r="A178" s="457"/>
      <c r="B178" s="41" t="s">
        <v>422</v>
      </c>
      <c r="C178" s="369" t="s">
        <v>851</v>
      </c>
      <c r="D178" s="792"/>
      <c r="E178" s="792"/>
      <c r="F178" s="792"/>
      <c r="G178" s="156" t="s">
        <v>1612</v>
      </c>
      <c r="H178" s="793" t="s">
        <v>1613</v>
      </c>
      <c r="I178" s="135" t="s">
        <v>1614</v>
      </c>
      <c r="J178" s="761">
        <v>44988.0</v>
      </c>
      <c r="K178" s="18"/>
      <c r="L178" s="693" t="s">
        <v>1531</v>
      </c>
      <c r="M178" s="610" t="s">
        <v>1615</v>
      </c>
      <c r="N178" s="850" t="s">
        <v>1616</v>
      </c>
      <c r="O178" s="850" t="s">
        <v>1617</v>
      </c>
      <c r="P178" s="957"/>
      <c r="Q178" s="957"/>
      <c r="R178" s="957"/>
      <c r="S178" s="957"/>
      <c r="T178" s="957"/>
      <c r="U178" s="957"/>
      <c r="V178" s="957"/>
      <c r="W178" s="957"/>
      <c r="X178" s="957"/>
      <c r="Y178" s="957"/>
      <c r="Z178" s="957"/>
      <c r="AA178" s="957"/>
      <c r="AB178" s="957"/>
      <c r="AC178" s="957"/>
      <c r="AD178" s="957"/>
    </row>
    <row r="179" ht="15.75" customHeight="1">
      <c r="A179" s="457"/>
      <c r="B179" s="717" t="s">
        <v>447</v>
      </c>
      <c r="C179" s="371" t="s">
        <v>851</v>
      </c>
      <c r="D179" s="719"/>
      <c r="E179" s="826"/>
      <c r="F179" s="826"/>
      <c r="G179" s="717" t="s">
        <v>1590</v>
      </c>
      <c r="H179" s="717" t="s">
        <v>1591</v>
      </c>
      <c r="I179" s="135"/>
      <c r="J179" s="764">
        <v>45664.0</v>
      </c>
      <c r="K179" s="681"/>
      <c r="L179" s="508"/>
      <c r="M179" s="694" t="s">
        <v>1109</v>
      </c>
      <c r="N179" s="957"/>
      <c r="O179" s="704"/>
      <c r="P179" s="957"/>
      <c r="Q179" s="957"/>
      <c r="R179" s="957"/>
      <c r="S179" s="957"/>
      <c r="T179" s="957"/>
      <c r="U179" s="957"/>
      <c r="V179" s="957"/>
      <c r="W179" s="957"/>
      <c r="X179" s="957"/>
      <c r="Y179" s="957"/>
      <c r="Z179" s="957"/>
      <c r="AA179" s="957"/>
      <c r="AB179" s="957"/>
      <c r="AC179" s="957"/>
      <c r="AD179" s="957"/>
    </row>
    <row r="180" ht="15.75" customHeight="1">
      <c r="A180" s="457"/>
      <c r="B180" s="717" t="s">
        <v>472</v>
      </c>
      <c r="C180" s="371" t="s">
        <v>851</v>
      </c>
      <c r="D180" s="719"/>
      <c r="E180" s="826"/>
      <c r="F180" s="826"/>
      <c r="G180" s="832" t="s">
        <v>1592</v>
      </c>
      <c r="H180" s="833" t="s">
        <v>1593</v>
      </c>
      <c r="I180" s="135"/>
      <c r="J180" s="764">
        <v>45673.0</v>
      </c>
      <c r="K180" s="681"/>
      <c r="L180" s="623" t="s">
        <v>1410</v>
      </c>
      <c r="M180" s="834" t="s">
        <v>1109</v>
      </c>
      <c r="N180" s="957"/>
      <c r="O180" s="835" t="s">
        <v>1594</v>
      </c>
      <c r="P180" s="957"/>
      <c r="Q180" s="957"/>
      <c r="R180" s="957"/>
      <c r="S180" s="957"/>
      <c r="T180" s="957"/>
      <c r="U180" s="957"/>
      <c r="V180" s="957"/>
      <c r="W180" s="957"/>
      <c r="X180" s="957"/>
      <c r="Y180" s="957"/>
      <c r="Z180" s="957"/>
      <c r="AA180" s="957"/>
      <c r="AB180" s="957"/>
      <c r="AC180" s="957"/>
      <c r="AD180" s="957"/>
    </row>
    <row r="181" ht="15.75" customHeight="1">
      <c r="A181" s="457"/>
      <c r="B181" s="41" t="s">
        <v>497</v>
      </c>
      <c r="C181" s="371" t="s">
        <v>851</v>
      </c>
      <c r="D181" s="768"/>
      <c r="E181" s="768"/>
      <c r="F181" s="768"/>
      <c r="G181" s="41" t="s">
        <v>1598</v>
      </c>
      <c r="H181" s="22" t="s">
        <v>1599</v>
      </c>
      <c r="I181" s="842"/>
      <c r="J181" s="737">
        <v>44929.0</v>
      </c>
      <c r="K181" s="754"/>
      <c r="L181" s="493" t="s">
        <v>1600</v>
      </c>
      <c r="M181" s="493" t="s">
        <v>1601</v>
      </c>
      <c r="N181" s="493" t="s">
        <v>1602</v>
      </c>
      <c r="O181" s="350"/>
      <c r="P181" s="957"/>
      <c r="Q181" s="957"/>
      <c r="R181" s="957"/>
      <c r="S181" s="957"/>
      <c r="T181" s="957"/>
      <c r="U181" s="957"/>
      <c r="V181" s="957"/>
      <c r="W181" s="957"/>
      <c r="X181" s="957"/>
      <c r="Y181" s="957"/>
      <c r="Z181" s="957"/>
      <c r="AA181" s="957"/>
      <c r="AB181" s="957"/>
      <c r="AC181" s="957"/>
      <c r="AD181" s="957"/>
    </row>
    <row r="182" ht="15.75" customHeight="1">
      <c r="A182" s="457"/>
      <c r="B182" s="717" t="s">
        <v>522</v>
      </c>
      <c r="C182" s="371" t="s">
        <v>851</v>
      </c>
      <c r="D182" s="719"/>
      <c r="E182" s="826"/>
      <c r="F182" s="826"/>
      <c r="G182" s="510" t="s">
        <v>1595</v>
      </c>
      <c r="H182" s="615" t="s">
        <v>1596</v>
      </c>
      <c r="I182" s="135"/>
      <c r="J182" s="764">
        <v>45694.0</v>
      </c>
      <c r="K182" s="681"/>
      <c r="L182" s="623" t="s">
        <v>1292</v>
      </c>
      <c r="N182" s="704"/>
      <c r="O182" s="704"/>
      <c r="P182" s="957"/>
      <c r="Q182" s="957"/>
      <c r="R182" s="957"/>
      <c r="S182" s="957"/>
      <c r="T182" s="957"/>
      <c r="U182" s="957"/>
      <c r="V182" s="957"/>
      <c r="W182" s="957"/>
      <c r="X182" s="957"/>
      <c r="Y182" s="957"/>
      <c r="Z182" s="957"/>
      <c r="AA182" s="957"/>
      <c r="AB182" s="957"/>
      <c r="AC182" s="957"/>
      <c r="AD182" s="957"/>
    </row>
    <row r="183" ht="15.75" customHeight="1">
      <c r="A183" s="457"/>
      <c r="B183" s="41" t="s">
        <v>546</v>
      </c>
      <c r="C183" s="369" t="s">
        <v>851</v>
      </c>
      <c r="D183" s="792"/>
      <c r="E183" s="792"/>
      <c r="F183" s="792"/>
      <c r="G183" s="156" t="s">
        <v>1618</v>
      </c>
      <c r="H183" s="793" t="s">
        <v>1619</v>
      </c>
      <c r="I183" s="135"/>
      <c r="J183" s="761">
        <v>45692.0</v>
      </c>
      <c r="K183" s="18"/>
      <c r="L183" s="750" t="s">
        <v>1378</v>
      </c>
      <c r="M183" s="704"/>
      <c r="N183" s="704"/>
      <c r="O183" s="704"/>
      <c r="P183" s="957"/>
      <c r="Q183" s="957"/>
      <c r="R183" s="957"/>
      <c r="S183" s="957"/>
      <c r="T183" s="957"/>
      <c r="U183" s="957"/>
      <c r="V183" s="957"/>
      <c r="W183" s="957"/>
      <c r="X183" s="957"/>
      <c r="Y183" s="957"/>
      <c r="Z183" s="957"/>
      <c r="AA183" s="957"/>
      <c r="AB183" s="957"/>
      <c r="AC183" s="957"/>
      <c r="AD183" s="957"/>
    </row>
    <row r="184" ht="15.75" customHeight="1">
      <c r="A184" s="430"/>
      <c r="B184" s="18" t="s">
        <v>569</v>
      </c>
      <c r="C184" s="369" t="s">
        <v>851</v>
      </c>
      <c r="D184" s="846"/>
      <c r="E184" s="847"/>
      <c r="F184" s="847"/>
      <c r="G184" s="156" t="s">
        <v>1618</v>
      </c>
      <c r="H184" s="793" t="s">
        <v>1619</v>
      </c>
      <c r="I184" s="848"/>
      <c r="J184" s="768">
        <v>45692.0</v>
      </c>
      <c r="K184" s="710"/>
      <c r="L184" s="750" t="s">
        <v>1378</v>
      </c>
      <c r="M184" s="350"/>
      <c r="N184" s="350"/>
      <c r="O184" s="704"/>
      <c r="P184" s="957"/>
      <c r="Q184" s="957"/>
      <c r="R184" s="957"/>
      <c r="S184" s="957"/>
      <c r="T184" s="957"/>
      <c r="U184" s="957"/>
      <c r="V184" s="957"/>
      <c r="W184" s="957"/>
      <c r="X184" s="957"/>
      <c r="Y184" s="957"/>
      <c r="Z184" s="957"/>
      <c r="AA184" s="957"/>
      <c r="AB184" s="957"/>
      <c r="AC184" s="957"/>
      <c r="AD184" s="957"/>
    </row>
    <row r="185" ht="15.75" customHeight="1">
      <c r="A185" s="518"/>
      <c r="B185" s="517"/>
      <c r="C185" s="518"/>
      <c r="D185" s="992"/>
      <c r="E185" s="989"/>
      <c r="F185" s="989"/>
      <c r="G185" s="993"/>
      <c r="H185" s="993"/>
      <c r="I185" s="986"/>
      <c r="J185" s="523"/>
      <c r="K185" s="994"/>
      <c r="L185" s="995"/>
      <c r="M185" s="704"/>
      <c r="N185" s="704"/>
      <c r="O185" s="704"/>
      <c r="P185" s="957"/>
      <c r="Q185" s="957"/>
      <c r="R185" s="957"/>
      <c r="S185" s="957"/>
      <c r="T185" s="957"/>
      <c r="U185" s="957"/>
      <c r="V185" s="957"/>
      <c r="W185" s="957"/>
      <c r="X185" s="957"/>
      <c r="Y185" s="957"/>
      <c r="Z185" s="957"/>
      <c r="AA185" s="957"/>
      <c r="AB185" s="957"/>
      <c r="AC185" s="957"/>
      <c r="AD185" s="957"/>
    </row>
    <row r="186" ht="15.75" customHeight="1">
      <c r="A186" s="518"/>
      <c r="B186" s="517"/>
      <c r="C186" s="518"/>
      <c r="D186" s="992"/>
      <c r="E186" s="989"/>
      <c r="F186" s="989"/>
      <c r="G186" s="993"/>
      <c r="H186" s="993"/>
      <c r="I186" s="986"/>
      <c r="J186" s="523"/>
      <c r="K186" s="994"/>
      <c r="L186" s="995"/>
      <c r="M186" s="704"/>
      <c r="N186" s="704"/>
      <c r="O186" s="704"/>
      <c r="P186" s="957"/>
      <c r="Q186" s="957"/>
      <c r="R186" s="957"/>
      <c r="S186" s="957"/>
      <c r="T186" s="957"/>
      <c r="U186" s="957"/>
      <c r="V186" s="957"/>
      <c r="W186" s="957"/>
      <c r="X186" s="957"/>
      <c r="Y186" s="957"/>
      <c r="Z186" s="957"/>
      <c r="AA186" s="957"/>
      <c r="AB186" s="957"/>
      <c r="AC186" s="957"/>
      <c r="AD186" s="957"/>
    </row>
    <row r="187" ht="15.75" customHeight="1">
      <c r="A187" s="518"/>
      <c r="B187" s="517"/>
      <c r="C187" s="518"/>
      <c r="D187" s="992"/>
      <c r="E187" s="989"/>
      <c r="F187" s="989"/>
      <c r="G187" s="993"/>
      <c r="H187" s="993"/>
      <c r="I187" s="986"/>
      <c r="J187" s="523"/>
      <c r="K187" s="994"/>
      <c r="L187" s="995"/>
      <c r="M187" s="704"/>
      <c r="N187" s="704"/>
      <c r="O187" s="704"/>
      <c r="P187" s="957"/>
      <c r="Q187" s="957"/>
      <c r="R187" s="957"/>
      <c r="S187" s="957"/>
      <c r="T187" s="957"/>
      <c r="U187" s="957"/>
      <c r="V187" s="957"/>
      <c r="W187" s="957"/>
      <c r="X187" s="957"/>
      <c r="Y187" s="957"/>
      <c r="Z187" s="957"/>
      <c r="AA187" s="957"/>
      <c r="AB187" s="957"/>
      <c r="AC187" s="957"/>
      <c r="AD187" s="957"/>
    </row>
    <row r="188" ht="15.75" customHeight="1">
      <c r="A188" s="518"/>
      <c r="B188" s="517"/>
      <c r="C188" s="518"/>
      <c r="D188" s="992"/>
      <c r="E188" s="989"/>
      <c r="F188" s="989"/>
      <c r="G188" s="993"/>
      <c r="H188" s="993"/>
      <c r="I188" s="986"/>
      <c r="J188" s="523"/>
      <c r="K188" s="994"/>
      <c r="L188" s="995"/>
      <c r="M188" s="704"/>
      <c r="N188" s="704"/>
      <c r="O188" s="704"/>
      <c r="P188" s="957"/>
      <c r="Q188" s="957"/>
      <c r="R188" s="957"/>
      <c r="S188" s="957"/>
      <c r="T188" s="957"/>
      <c r="U188" s="957"/>
      <c r="V188" s="957"/>
      <c r="W188" s="957"/>
      <c r="X188" s="957"/>
      <c r="Y188" s="957"/>
      <c r="Z188" s="957"/>
      <c r="AA188" s="957"/>
      <c r="AB188" s="957"/>
      <c r="AC188" s="957"/>
      <c r="AD188" s="957"/>
    </row>
    <row r="189" ht="15.75" customHeight="1">
      <c r="A189" s="518"/>
      <c r="B189" s="517"/>
      <c r="C189" s="518"/>
      <c r="D189" s="992"/>
      <c r="E189" s="989"/>
      <c r="F189" s="989"/>
      <c r="G189" s="993"/>
      <c r="H189" s="993"/>
      <c r="I189" s="986"/>
      <c r="J189" s="523"/>
      <c r="K189" s="994"/>
      <c r="L189" s="995"/>
      <c r="M189" s="704"/>
      <c r="N189" s="704"/>
      <c r="O189" s="704"/>
      <c r="P189" s="957"/>
      <c r="Q189" s="957"/>
      <c r="R189" s="957"/>
      <c r="S189" s="957"/>
      <c r="T189" s="957"/>
      <c r="U189" s="957"/>
      <c r="V189" s="957"/>
      <c r="W189" s="957"/>
      <c r="X189" s="957"/>
      <c r="Y189" s="957"/>
      <c r="Z189" s="957"/>
      <c r="AA189" s="957"/>
      <c r="AB189" s="957"/>
      <c r="AC189" s="957"/>
      <c r="AD189" s="957"/>
    </row>
    <row r="190" ht="15.75" customHeight="1">
      <c r="A190" s="518"/>
      <c r="B190" s="517"/>
      <c r="C190" s="518"/>
      <c r="D190" s="992"/>
      <c r="E190" s="989"/>
      <c r="F190" s="989"/>
      <c r="G190" s="993"/>
      <c r="H190" s="993"/>
      <c r="I190" s="986"/>
      <c r="J190" s="523"/>
      <c r="K190" s="994"/>
      <c r="L190" s="995"/>
      <c r="M190" s="704"/>
      <c r="N190" s="704"/>
      <c r="O190" s="704"/>
      <c r="P190" s="957"/>
      <c r="Q190" s="957"/>
      <c r="R190" s="957"/>
      <c r="S190" s="957"/>
      <c r="T190" s="957"/>
      <c r="U190" s="957"/>
      <c r="V190" s="957"/>
      <c r="W190" s="957"/>
      <c r="X190" s="957"/>
      <c r="Y190" s="957"/>
      <c r="Z190" s="957"/>
      <c r="AA190" s="957"/>
      <c r="AB190" s="957"/>
      <c r="AC190" s="957"/>
      <c r="AD190" s="957"/>
    </row>
    <row r="191" ht="15.75" customHeight="1">
      <c r="A191" s="518"/>
      <c r="B191" s="517"/>
      <c r="C191" s="518"/>
      <c r="D191" s="992"/>
      <c r="E191" s="989"/>
      <c r="F191" s="989"/>
      <c r="G191" s="993"/>
      <c r="H191" s="993"/>
      <c r="I191" s="986"/>
      <c r="J191" s="523"/>
      <c r="K191" s="994"/>
      <c r="L191" s="995"/>
      <c r="M191" s="704"/>
      <c r="N191" s="704"/>
      <c r="O191" s="704"/>
      <c r="P191" s="957"/>
      <c r="Q191" s="957"/>
      <c r="R191" s="957"/>
      <c r="S191" s="957"/>
      <c r="T191" s="957"/>
      <c r="U191" s="957"/>
      <c r="V191" s="957"/>
      <c r="W191" s="957"/>
      <c r="X191" s="957"/>
      <c r="Y191" s="957"/>
      <c r="Z191" s="957"/>
      <c r="AA191" s="957"/>
      <c r="AB191" s="957"/>
      <c r="AC191" s="957"/>
      <c r="AD191" s="957"/>
    </row>
    <row r="192" ht="15.75" customHeight="1">
      <c r="A192" s="518"/>
      <c r="B192" s="517"/>
      <c r="C192" s="518"/>
      <c r="D192" s="992"/>
      <c r="E192" s="989"/>
      <c r="F192" s="989"/>
      <c r="G192" s="993"/>
      <c r="H192" s="993"/>
      <c r="I192" s="986"/>
      <c r="J192" s="523"/>
      <c r="K192" s="994"/>
      <c r="L192" s="995"/>
      <c r="M192" s="704"/>
      <c r="N192" s="704"/>
      <c r="O192" s="704"/>
      <c r="P192" s="957"/>
      <c r="Q192" s="957"/>
      <c r="R192" s="957"/>
      <c r="S192" s="957"/>
      <c r="T192" s="957"/>
      <c r="U192" s="957"/>
      <c r="V192" s="957"/>
      <c r="W192" s="957"/>
      <c r="X192" s="957"/>
      <c r="Y192" s="957"/>
      <c r="Z192" s="957"/>
      <c r="AA192" s="957"/>
      <c r="AB192" s="957"/>
      <c r="AC192" s="957"/>
      <c r="AD192" s="957"/>
    </row>
    <row r="193" ht="15.75" customHeight="1">
      <c r="A193" s="518"/>
      <c r="B193" s="517"/>
      <c r="C193" s="518"/>
      <c r="D193" s="992"/>
      <c r="E193" s="989"/>
      <c r="F193" s="989"/>
      <c r="G193" s="993"/>
      <c r="H193" s="993"/>
      <c r="I193" s="986"/>
      <c r="J193" s="523"/>
      <c r="K193" s="994"/>
      <c r="L193" s="995"/>
      <c r="M193" s="704"/>
      <c r="N193" s="704"/>
      <c r="O193" s="704"/>
      <c r="P193" s="957"/>
      <c r="Q193" s="957"/>
      <c r="R193" s="957"/>
      <c r="S193" s="957"/>
      <c r="T193" s="957"/>
      <c r="U193" s="957"/>
      <c r="V193" s="957"/>
      <c r="W193" s="957"/>
      <c r="X193" s="957"/>
      <c r="Y193" s="957"/>
      <c r="Z193" s="957"/>
      <c r="AA193" s="957"/>
      <c r="AB193" s="957"/>
      <c r="AC193" s="957"/>
      <c r="AD193" s="957"/>
    </row>
    <row r="194" ht="15.75" customHeight="1">
      <c r="A194" s="518"/>
      <c r="B194" s="517"/>
      <c r="C194" s="518"/>
      <c r="D194" s="992"/>
      <c r="E194" s="989"/>
      <c r="F194" s="989"/>
      <c r="G194" s="993"/>
      <c r="H194" s="993"/>
      <c r="I194" s="986"/>
      <c r="J194" s="523"/>
      <c r="K194" s="994"/>
      <c r="L194" s="995"/>
      <c r="M194" s="704"/>
      <c r="N194" s="704"/>
      <c r="O194" s="704"/>
      <c r="P194" s="957"/>
      <c r="Q194" s="957"/>
      <c r="R194" s="957"/>
      <c r="S194" s="957"/>
      <c r="T194" s="957"/>
      <c r="U194" s="957"/>
      <c r="V194" s="957"/>
      <c r="W194" s="957"/>
      <c r="X194" s="957"/>
      <c r="Y194" s="957"/>
      <c r="Z194" s="957"/>
      <c r="AA194" s="957"/>
      <c r="AB194" s="957"/>
      <c r="AC194" s="957"/>
      <c r="AD194" s="957"/>
    </row>
    <row r="195" ht="15.75" customHeight="1">
      <c r="A195" s="518"/>
      <c r="B195" s="517"/>
      <c r="C195" s="518"/>
      <c r="D195" s="992"/>
      <c r="E195" s="989"/>
      <c r="F195" s="989"/>
      <c r="G195" s="993"/>
      <c r="H195" s="993"/>
      <c r="I195" s="986"/>
      <c r="J195" s="523"/>
      <c r="K195" s="994"/>
      <c r="L195" s="995"/>
      <c r="M195" s="704"/>
      <c r="N195" s="704"/>
      <c r="O195" s="704"/>
      <c r="P195" s="957"/>
      <c r="Q195" s="957"/>
      <c r="R195" s="957"/>
      <c r="S195" s="957"/>
      <c r="T195" s="957"/>
      <c r="U195" s="957"/>
      <c r="V195" s="957"/>
      <c r="W195" s="957"/>
      <c r="X195" s="957"/>
      <c r="Y195" s="957"/>
      <c r="Z195" s="957"/>
      <c r="AA195" s="957"/>
      <c r="AB195" s="957"/>
      <c r="AC195" s="957"/>
      <c r="AD195" s="957"/>
    </row>
    <row r="196" ht="15.75" customHeight="1">
      <c r="A196" s="518"/>
      <c r="B196" s="517"/>
      <c r="C196" s="518"/>
      <c r="D196" s="992"/>
      <c r="E196" s="989"/>
      <c r="F196" s="989"/>
      <c r="G196" s="993"/>
      <c r="H196" s="993"/>
      <c r="I196" s="986"/>
      <c r="J196" s="523"/>
      <c r="K196" s="994"/>
      <c r="L196" s="995"/>
      <c r="M196" s="704"/>
      <c r="N196" s="704"/>
      <c r="O196" s="704"/>
      <c r="P196" s="957"/>
      <c r="Q196" s="957"/>
      <c r="R196" s="957"/>
      <c r="S196" s="957"/>
      <c r="T196" s="957"/>
      <c r="U196" s="957"/>
      <c r="V196" s="957"/>
      <c r="W196" s="957"/>
      <c r="X196" s="957"/>
      <c r="Y196" s="957"/>
      <c r="Z196" s="957"/>
      <c r="AA196" s="957"/>
      <c r="AB196" s="957"/>
      <c r="AC196" s="957"/>
      <c r="AD196" s="957"/>
    </row>
    <row r="197" ht="15.75" customHeight="1">
      <c r="A197" s="518"/>
      <c r="B197" s="517"/>
      <c r="C197" s="518"/>
      <c r="D197" s="992"/>
      <c r="E197" s="989"/>
      <c r="F197" s="989"/>
      <c r="G197" s="993"/>
      <c r="H197" s="993"/>
      <c r="I197" s="986"/>
      <c r="J197" s="523"/>
      <c r="K197" s="994"/>
      <c r="L197" s="995"/>
      <c r="M197" s="704"/>
      <c r="N197" s="704"/>
      <c r="O197" s="704"/>
      <c r="P197" s="957"/>
      <c r="Q197" s="957"/>
      <c r="R197" s="957"/>
      <c r="S197" s="957"/>
      <c r="T197" s="957"/>
      <c r="U197" s="957"/>
      <c r="V197" s="957"/>
      <c r="W197" s="957"/>
      <c r="X197" s="957"/>
      <c r="Y197" s="957"/>
      <c r="Z197" s="957"/>
      <c r="AA197" s="957"/>
      <c r="AB197" s="957"/>
      <c r="AC197" s="957"/>
      <c r="AD197" s="957"/>
    </row>
    <row r="198" ht="15.75" customHeight="1">
      <c r="A198" s="518"/>
      <c r="B198" s="517"/>
      <c r="C198" s="518"/>
      <c r="D198" s="992"/>
      <c r="E198" s="989"/>
      <c r="F198" s="989"/>
      <c r="G198" s="993"/>
      <c r="H198" s="993"/>
      <c r="I198" s="986"/>
      <c r="J198" s="523"/>
      <c r="K198" s="994"/>
      <c r="L198" s="995"/>
      <c r="M198" s="704"/>
      <c r="N198" s="704"/>
      <c r="O198" s="704"/>
      <c r="P198" s="957"/>
      <c r="Q198" s="957"/>
      <c r="R198" s="957"/>
      <c r="S198" s="957"/>
      <c r="T198" s="957"/>
      <c r="U198" s="957"/>
      <c r="V198" s="957"/>
      <c r="W198" s="957"/>
      <c r="X198" s="957"/>
      <c r="Y198" s="957"/>
      <c r="Z198" s="957"/>
      <c r="AA198" s="957"/>
      <c r="AB198" s="957"/>
      <c r="AC198" s="957"/>
      <c r="AD198" s="957"/>
    </row>
    <row r="199" ht="15.75" customHeight="1">
      <c r="A199" s="518"/>
      <c r="B199" s="517"/>
      <c r="C199" s="518"/>
      <c r="D199" s="992"/>
      <c r="E199" s="989"/>
      <c r="F199" s="989"/>
      <c r="G199" s="993"/>
      <c r="H199" s="993"/>
      <c r="I199" s="986"/>
      <c r="J199" s="523"/>
      <c r="K199" s="994"/>
      <c r="L199" s="995"/>
      <c r="M199" s="704"/>
      <c r="N199" s="704"/>
      <c r="O199" s="704"/>
      <c r="P199" s="957"/>
      <c r="Q199" s="957"/>
      <c r="R199" s="957"/>
      <c r="S199" s="957"/>
      <c r="T199" s="957"/>
      <c r="U199" s="957"/>
      <c r="V199" s="957"/>
      <c r="W199" s="957"/>
      <c r="X199" s="957"/>
      <c r="Y199" s="957"/>
      <c r="Z199" s="957"/>
      <c r="AA199" s="957"/>
      <c r="AB199" s="957"/>
      <c r="AC199" s="957"/>
      <c r="AD199" s="957"/>
    </row>
    <row r="200" ht="15.75" customHeight="1">
      <c r="A200" s="518"/>
      <c r="B200" s="517"/>
      <c r="C200" s="518"/>
      <c r="D200" s="992"/>
      <c r="E200" s="989"/>
      <c r="F200" s="989"/>
      <c r="G200" s="993"/>
      <c r="H200" s="993"/>
      <c r="I200" s="986"/>
      <c r="J200" s="523"/>
      <c r="K200" s="994"/>
      <c r="L200" s="995"/>
      <c r="M200" s="704"/>
      <c r="N200" s="704"/>
      <c r="O200" s="704"/>
      <c r="P200" s="957"/>
      <c r="Q200" s="957"/>
      <c r="R200" s="957"/>
      <c r="S200" s="957"/>
      <c r="T200" s="957"/>
      <c r="U200" s="957"/>
      <c r="V200" s="957"/>
      <c r="W200" s="957"/>
      <c r="X200" s="957"/>
      <c r="Y200" s="957"/>
      <c r="Z200" s="957"/>
      <c r="AA200" s="957"/>
      <c r="AB200" s="957"/>
      <c r="AC200" s="957"/>
      <c r="AD200" s="957"/>
    </row>
    <row r="201" ht="15.75" customHeight="1">
      <c r="A201" s="518"/>
      <c r="B201" s="517"/>
      <c r="C201" s="518"/>
      <c r="D201" s="992"/>
      <c r="E201" s="989"/>
      <c r="F201" s="989"/>
      <c r="G201" s="993"/>
      <c r="H201" s="993"/>
      <c r="I201" s="986"/>
      <c r="J201" s="523"/>
      <c r="K201" s="994"/>
      <c r="L201" s="995"/>
      <c r="M201" s="704"/>
      <c r="N201" s="704"/>
      <c r="O201" s="704"/>
      <c r="P201" s="957"/>
      <c r="Q201" s="957"/>
      <c r="R201" s="957"/>
      <c r="S201" s="957"/>
      <c r="T201" s="957"/>
      <c r="U201" s="957"/>
      <c r="V201" s="957"/>
      <c r="W201" s="957"/>
      <c r="X201" s="957"/>
      <c r="Y201" s="957"/>
      <c r="Z201" s="957"/>
      <c r="AA201" s="957"/>
      <c r="AB201" s="957"/>
      <c r="AC201" s="957"/>
      <c r="AD201" s="957"/>
    </row>
    <row r="202" ht="15.75" customHeight="1">
      <c r="A202" s="518"/>
      <c r="B202" s="517"/>
      <c r="C202" s="518"/>
      <c r="D202" s="992"/>
      <c r="E202" s="989"/>
      <c r="F202" s="989"/>
      <c r="G202" s="993"/>
      <c r="H202" s="993"/>
      <c r="I202" s="986"/>
      <c r="J202" s="523"/>
      <c r="K202" s="994"/>
      <c r="L202" s="995"/>
      <c r="M202" s="704"/>
      <c r="N202" s="704"/>
      <c r="O202" s="704"/>
      <c r="P202" s="957"/>
      <c r="Q202" s="957"/>
      <c r="R202" s="957"/>
      <c r="S202" s="957"/>
      <c r="T202" s="957"/>
      <c r="U202" s="957"/>
      <c r="V202" s="957"/>
      <c r="W202" s="957"/>
      <c r="X202" s="957"/>
      <c r="Y202" s="957"/>
      <c r="Z202" s="957"/>
      <c r="AA202" s="957"/>
      <c r="AB202" s="957"/>
      <c r="AC202" s="957"/>
      <c r="AD202" s="957"/>
    </row>
    <row r="203" ht="15.75" customHeight="1">
      <c r="A203" s="518"/>
      <c r="B203" s="517"/>
      <c r="C203" s="518"/>
      <c r="D203" s="992"/>
      <c r="E203" s="989"/>
      <c r="F203" s="989"/>
      <c r="G203" s="993"/>
      <c r="H203" s="993"/>
      <c r="I203" s="986"/>
      <c r="J203" s="523"/>
      <c r="K203" s="994"/>
      <c r="L203" s="995"/>
      <c r="M203" s="704"/>
      <c r="N203" s="704"/>
      <c r="O203" s="704"/>
      <c r="P203" s="957"/>
      <c r="Q203" s="957"/>
      <c r="R203" s="957"/>
      <c r="S203" s="957"/>
      <c r="T203" s="957"/>
      <c r="U203" s="957"/>
      <c r="V203" s="957"/>
      <c r="W203" s="957"/>
      <c r="X203" s="957"/>
      <c r="Y203" s="957"/>
      <c r="Z203" s="957"/>
      <c r="AA203" s="957"/>
      <c r="AB203" s="957"/>
      <c r="AC203" s="957"/>
      <c r="AD203" s="957"/>
    </row>
    <row r="204" ht="15.75" customHeight="1">
      <c r="A204" s="518"/>
      <c r="B204" s="517"/>
      <c r="C204" s="518"/>
      <c r="D204" s="992"/>
      <c r="E204" s="989"/>
      <c r="F204" s="989"/>
      <c r="G204" s="993"/>
      <c r="H204" s="993"/>
      <c r="I204" s="986"/>
      <c r="J204" s="523"/>
      <c r="K204" s="994"/>
      <c r="L204" s="995"/>
      <c r="M204" s="704"/>
      <c r="N204" s="704"/>
      <c r="O204" s="704"/>
      <c r="P204" s="957"/>
      <c r="Q204" s="957"/>
      <c r="R204" s="957"/>
      <c r="S204" s="957"/>
      <c r="T204" s="957"/>
      <c r="U204" s="957"/>
      <c r="V204" s="957"/>
      <c r="W204" s="957"/>
      <c r="X204" s="957"/>
      <c r="Y204" s="957"/>
      <c r="Z204" s="957"/>
      <c r="AA204" s="957"/>
      <c r="AB204" s="957"/>
      <c r="AC204" s="957"/>
      <c r="AD204" s="957"/>
    </row>
    <row r="205" ht="15.75" customHeight="1">
      <c r="A205" s="518"/>
      <c r="B205" s="517"/>
      <c r="C205" s="518"/>
      <c r="D205" s="992"/>
      <c r="E205" s="989"/>
      <c r="F205" s="989"/>
      <c r="G205" s="993"/>
      <c r="H205" s="993"/>
      <c r="I205" s="986"/>
      <c r="J205" s="523"/>
      <c r="K205" s="994"/>
      <c r="L205" s="995"/>
      <c r="M205" s="704"/>
      <c r="N205" s="704"/>
      <c r="O205" s="704"/>
      <c r="P205" s="957"/>
      <c r="Q205" s="957"/>
      <c r="R205" s="957"/>
      <c r="S205" s="957"/>
      <c r="T205" s="957"/>
      <c r="U205" s="957"/>
      <c r="V205" s="957"/>
      <c r="W205" s="957"/>
      <c r="X205" s="957"/>
      <c r="Y205" s="957"/>
      <c r="Z205" s="957"/>
      <c r="AA205" s="957"/>
      <c r="AB205" s="957"/>
      <c r="AC205" s="957"/>
      <c r="AD205" s="957"/>
    </row>
    <row r="206" ht="15.75" customHeight="1">
      <c r="A206" s="518"/>
      <c r="B206" s="517"/>
      <c r="C206" s="518"/>
      <c r="D206" s="992"/>
      <c r="E206" s="989"/>
      <c r="F206" s="989"/>
      <c r="G206" s="993"/>
      <c r="H206" s="993"/>
      <c r="I206" s="986"/>
      <c r="J206" s="523"/>
      <c r="K206" s="994"/>
      <c r="L206" s="995"/>
      <c r="M206" s="704"/>
      <c r="N206" s="704"/>
      <c r="O206" s="704"/>
      <c r="P206" s="957"/>
      <c r="Q206" s="957"/>
      <c r="R206" s="957"/>
      <c r="S206" s="957"/>
      <c r="T206" s="957"/>
      <c r="U206" s="957"/>
      <c r="V206" s="957"/>
      <c r="W206" s="957"/>
      <c r="X206" s="957"/>
      <c r="Y206" s="957"/>
      <c r="Z206" s="957"/>
      <c r="AA206" s="957"/>
      <c r="AB206" s="957"/>
      <c r="AC206" s="957"/>
      <c r="AD206" s="957"/>
    </row>
    <row r="207" ht="15.75" customHeight="1">
      <c r="A207" s="518"/>
      <c r="B207" s="517"/>
      <c r="C207" s="518"/>
      <c r="D207" s="992"/>
      <c r="E207" s="989"/>
      <c r="F207" s="989"/>
      <c r="G207" s="993"/>
      <c r="H207" s="993"/>
      <c r="I207" s="986"/>
      <c r="J207" s="523"/>
      <c r="K207" s="994"/>
      <c r="L207" s="995"/>
      <c r="M207" s="704"/>
      <c r="N207" s="704"/>
      <c r="O207" s="704"/>
      <c r="P207" s="957"/>
      <c r="Q207" s="957"/>
      <c r="R207" s="957"/>
      <c r="S207" s="957"/>
      <c r="T207" s="957"/>
      <c r="U207" s="957"/>
      <c r="V207" s="957"/>
      <c r="W207" s="957"/>
      <c r="X207" s="957"/>
      <c r="Y207" s="957"/>
      <c r="Z207" s="957"/>
      <c r="AA207" s="957"/>
      <c r="AB207" s="957"/>
      <c r="AC207" s="957"/>
      <c r="AD207" s="957"/>
    </row>
    <row r="208" ht="15.75" customHeight="1">
      <c r="A208" s="518"/>
      <c r="B208" s="517"/>
      <c r="C208" s="518"/>
      <c r="D208" s="992"/>
      <c r="E208" s="989"/>
      <c r="F208" s="989"/>
      <c r="G208" s="993"/>
      <c r="H208" s="993"/>
      <c r="I208" s="986"/>
      <c r="J208" s="523"/>
      <c r="K208" s="994"/>
      <c r="L208" s="995"/>
      <c r="M208" s="704"/>
      <c r="N208" s="704"/>
      <c r="O208" s="704"/>
      <c r="P208" s="957"/>
      <c r="Q208" s="957"/>
      <c r="R208" s="957"/>
      <c r="S208" s="957"/>
      <c r="T208" s="957"/>
      <c r="U208" s="957"/>
      <c r="V208" s="957"/>
      <c r="W208" s="957"/>
      <c r="X208" s="957"/>
      <c r="Y208" s="957"/>
      <c r="Z208" s="957"/>
      <c r="AA208" s="957"/>
      <c r="AB208" s="957"/>
      <c r="AC208" s="957"/>
      <c r="AD208" s="957"/>
    </row>
    <row r="209" ht="15.75" customHeight="1">
      <c r="A209" s="518"/>
      <c r="B209" s="517"/>
      <c r="C209" s="518"/>
      <c r="D209" s="992"/>
      <c r="E209" s="989"/>
      <c r="F209" s="989"/>
      <c r="G209" s="993"/>
      <c r="H209" s="993"/>
      <c r="I209" s="986"/>
      <c r="J209" s="523"/>
      <c r="K209" s="994"/>
      <c r="L209" s="995"/>
      <c r="M209" s="704"/>
      <c r="N209" s="704"/>
      <c r="O209" s="704"/>
      <c r="P209" s="957"/>
      <c r="Q209" s="957"/>
      <c r="R209" s="957"/>
      <c r="S209" s="957"/>
      <c r="T209" s="957"/>
      <c r="U209" s="957"/>
      <c r="V209" s="957"/>
      <c r="W209" s="957"/>
      <c r="X209" s="957"/>
      <c r="Y209" s="957"/>
      <c r="Z209" s="957"/>
      <c r="AA209" s="957"/>
      <c r="AB209" s="957"/>
      <c r="AC209" s="957"/>
      <c r="AD209" s="957"/>
    </row>
    <row r="210" ht="15.75" customHeight="1">
      <c r="A210" s="518"/>
      <c r="B210" s="517"/>
      <c r="C210" s="518"/>
      <c r="D210" s="992"/>
      <c r="E210" s="989"/>
      <c r="F210" s="989"/>
      <c r="G210" s="993"/>
      <c r="H210" s="993"/>
      <c r="I210" s="986"/>
      <c r="J210" s="523"/>
      <c r="K210" s="994"/>
      <c r="L210" s="995"/>
      <c r="M210" s="704"/>
      <c r="N210" s="704"/>
      <c r="O210" s="704"/>
      <c r="P210" s="957"/>
      <c r="Q210" s="957"/>
      <c r="R210" s="957"/>
      <c r="S210" s="957"/>
      <c r="T210" s="957"/>
      <c r="U210" s="957"/>
      <c r="V210" s="957"/>
      <c r="W210" s="957"/>
      <c r="X210" s="957"/>
      <c r="Y210" s="957"/>
      <c r="Z210" s="957"/>
      <c r="AA210" s="957"/>
      <c r="AB210" s="957"/>
      <c r="AC210" s="957"/>
      <c r="AD210" s="957"/>
    </row>
    <row r="211" ht="15.75" customHeight="1">
      <c r="A211" s="518"/>
      <c r="B211" s="517"/>
      <c r="C211" s="518"/>
      <c r="D211" s="992"/>
      <c r="E211" s="989"/>
      <c r="F211" s="989"/>
      <c r="G211" s="993"/>
      <c r="H211" s="993"/>
      <c r="I211" s="986"/>
      <c r="J211" s="523"/>
      <c r="K211" s="994"/>
      <c r="L211" s="995"/>
      <c r="M211" s="704"/>
      <c r="N211" s="704"/>
      <c r="O211" s="704"/>
      <c r="P211" s="957"/>
      <c r="Q211" s="957"/>
      <c r="R211" s="957"/>
      <c r="S211" s="957"/>
      <c r="T211" s="957"/>
      <c r="U211" s="957"/>
      <c r="V211" s="957"/>
      <c r="W211" s="957"/>
      <c r="X211" s="957"/>
      <c r="Y211" s="957"/>
      <c r="Z211" s="957"/>
      <c r="AA211" s="957"/>
      <c r="AB211" s="957"/>
      <c r="AC211" s="957"/>
      <c r="AD211" s="957"/>
    </row>
    <row r="212" ht="15.75" customHeight="1">
      <c r="A212" s="518"/>
      <c r="B212" s="517"/>
      <c r="C212" s="518"/>
      <c r="D212" s="992"/>
      <c r="E212" s="989"/>
      <c r="F212" s="989"/>
      <c r="G212" s="993"/>
      <c r="H212" s="993"/>
      <c r="I212" s="986"/>
      <c r="J212" s="523"/>
      <c r="K212" s="994"/>
      <c r="L212" s="995"/>
      <c r="M212" s="704"/>
      <c r="N212" s="704"/>
      <c r="O212" s="704"/>
      <c r="P212" s="957"/>
      <c r="Q212" s="957"/>
      <c r="R212" s="957"/>
      <c r="S212" s="957"/>
      <c r="T212" s="957"/>
      <c r="U212" s="957"/>
      <c r="V212" s="957"/>
      <c r="W212" s="957"/>
      <c r="X212" s="957"/>
      <c r="Y212" s="957"/>
      <c r="Z212" s="957"/>
      <c r="AA212" s="957"/>
      <c r="AB212" s="957"/>
      <c r="AC212" s="957"/>
      <c r="AD212" s="957"/>
    </row>
    <row r="213" ht="15.75" customHeight="1">
      <c r="A213" s="518"/>
      <c r="B213" s="517"/>
      <c r="C213" s="518"/>
      <c r="D213" s="992"/>
      <c r="E213" s="989"/>
      <c r="F213" s="989"/>
      <c r="G213" s="993"/>
      <c r="H213" s="993"/>
      <c r="I213" s="986"/>
      <c r="J213" s="523"/>
      <c r="K213" s="994"/>
      <c r="L213" s="995"/>
      <c r="M213" s="704"/>
      <c r="N213" s="704"/>
      <c r="O213" s="704"/>
      <c r="P213" s="957"/>
      <c r="Q213" s="957"/>
      <c r="R213" s="957"/>
      <c r="S213" s="957"/>
      <c r="T213" s="957"/>
      <c r="U213" s="957"/>
      <c r="V213" s="957"/>
      <c r="W213" s="957"/>
      <c r="X213" s="957"/>
      <c r="Y213" s="957"/>
      <c r="Z213" s="957"/>
      <c r="AA213" s="957"/>
      <c r="AB213" s="957"/>
      <c r="AC213" s="957"/>
      <c r="AD213" s="957"/>
    </row>
    <row r="214" ht="15.75" customHeight="1">
      <c r="A214" s="518"/>
      <c r="B214" s="517"/>
      <c r="C214" s="518"/>
      <c r="D214" s="992"/>
      <c r="E214" s="989"/>
      <c r="F214" s="989"/>
      <c r="G214" s="993"/>
      <c r="H214" s="993"/>
      <c r="I214" s="986"/>
      <c r="J214" s="523"/>
      <c r="K214" s="994"/>
      <c r="L214" s="995"/>
      <c r="M214" s="704"/>
      <c r="N214" s="704"/>
      <c r="O214" s="704"/>
      <c r="P214" s="957"/>
      <c r="Q214" s="957"/>
      <c r="R214" s="957"/>
      <c r="S214" s="957"/>
      <c r="T214" s="957"/>
      <c r="U214" s="957"/>
      <c r="V214" s="957"/>
      <c r="W214" s="957"/>
      <c r="X214" s="957"/>
      <c r="Y214" s="957"/>
      <c r="Z214" s="957"/>
      <c r="AA214" s="957"/>
      <c r="AB214" s="957"/>
      <c r="AC214" s="957"/>
      <c r="AD214" s="957"/>
    </row>
    <row r="215" ht="15.75" customHeight="1">
      <c r="A215" s="518"/>
      <c r="B215" s="517"/>
      <c r="C215" s="518"/>
      <c r="D215" s="992"/>
      <c r="E215" s="989"/>
      <c r="F215" s="989"/>
      <c r="G215" s="993"/>
      <c r="H215" s="993"/>
      <c r="I215" s="986"/>
      <c r="J215" s="523"/>
      <c r="K215" s="994"/>
      <c r="L215" s="995"/>
      <c r="M215" s="704"/>
      <c r="N215" s="704"/>
      <c r="O215" s="704"/>
      <c r="P215" s="957"/>
      <c r="Q215" s="957"/>
      <c r="R215" s="957"/>
      <c r="S215" s="957"/>
      <c r="T215" s="957"/>
      <c r="U215" s="957"/>
      <c r="V215" s="957"/>
      <c r="W215" s="957"/>
      <c r="X215" s="957"/>
      <c r="Y215" s="957"/>
      <c r="Z215" s="957"/>
      <c r="AA215" s="957"/>
      <c r="AB215" s="957"/>
      <c r="AC215" s="957"/>
      <c r="AD215" s="957"/>
    </row>
    <row r="216" ht="15.75" customHeight="1">
      <c r="A216" s="518"/>
      <c r="B216" s="517"/>
      <c r="C216" s="518"/>
      <c r="D216" s="992"/>
      <c r="E216" s="989"/>
      <c r="F216" s="989"/>
      <c r="G216" s="993"/>
      <c r="H216" s="993"/>
      <c r="I216" s="986"/>
      <c r="J216" s="523"/>
      <c r="K216" s="994"/>
      <c r="L216" s="995"/>
      <c r="M216" s="704"/>
      <c r="N216" s="704"/>
      <c r="O216" s="704"/>
      <c r="P216" s="957"/>
      <c r="Q216" s="957"/>
      <c r="R216" s="957"/>
      <c r="S216" s="957"/>
      <c r="T216" s="957"/>
      <c r="U216" s="957"/>
      <c r="V216" s="957"/>
      <c r="W216" s="957"/>
      <c r="X216" s="957"/>
      <c r="Y216" s="957"/>
      <c r="Z216" s="957"/>
      <c r="AA216" s="957"/>
      <c r="AB216" s="957"/>
      <c r="AC216" s="957"/>
      <c r="AD216" s="957"/>
    </row>
    <row r="217" ht="15.75" customHeight="1">
      <c r="A217" s="518"/>
      <c r="B217" s="517"/>
      <c r="C217" s="518"/>
      <c r="D217" s="992"/>
      <c r="E217" s="989"/>
      <c r="F217" s="989"/>
      <c r="G217" s="993"/>
      <c r="H217" s="993"/>
      <c r="I217" s="986"/>
      <c r="J217" s="523"/>
      <c r="K217" s="994"/>
      <c r="L217" s="995"/>
      <c r="M217" s="704"/>
      <c r="N217" s="704"/>
      <c r="O217" s="704"/>
      <c r="P217" s="957"/>
      <c r="Q217" s="957"/>
      <c r="R217" s="957"/>
      <c r="S217" s="957"/>
      <c r="T217" s="957"/>
      <c r="U217" s="957"/>
      <c r="V217" s="957"/>
      <c r="W217" s="957"/>
      <c r="X217" s="957"/>
      <c r="Y217" s="957"/>
      <c r="Z217" s="957"/>
      <c r="AA217" s="957"/>
      <c r="AB217" s="957"/>
      <c r="AC217" s="957"/>
      <c r="AD217" s="957"/>
    </row>
    <row r="218" ht="15.75" customHeight="1">
      <c r="A218" s="518"/>
      <c r="B218" s="517"/>
      <c r="C218" s="518"/>
      <c r="D218" s="992"/>
      <c r="E218" s="989"/>
      <c r="F218" s="989"/>
      <c r="G218" s="993"/>
      <c r="H218" s="993"/>
      <c r="I218" s="986"/>
      <c r="J218" s="523"/>
      <c r="K218" s="994"/>
      <c r="L218" s="995"/>
      <c r="M218" s="704"/>
      <c r="N218" s="704"/>
      <c r="O218" s="704"/>
      <c r="P218" s="957"/>
      <c r="Q218" s="957"/>
      <c r="R218" s="957"/>
      <c r="S218" s="957"/>
      <c r="T218" s="957"/>
      <c r="U218" s="957"/>
      <c r="V218" s="957"/>
      <c r="W218" s="957"/>
      <c r="X218" s="957"/>
      <c r="Y218" s="957"/>
      <c r="Z218" s="957"/>
      <c r="AA218" s="957"/>
      <c r="AB218" s="957"/>
      <c r="AC218" s="957"/>
      <c r="AD218" s="957"/>
    </row>
    <row r="219" ht="15.75" customHeight="1">
      <c r="A219" s="518"/>
      <c r="B219" s="517"/>
      <c r="C219" s="518"/>
      <c r="D219" s="992"/>
      <c r="E219" s="989"/>
      <c r="F219" s="989"/>
      <c r="G219" s="993"/>
      <c r="H219" s="993"/>
      <c r="I219" s="986"/>
      <c r="J219" s="523"/>
      <c r="K219" s="994"/>
      <c r="L219" s="995"/>
      <c r="M219" s="704"/>
      <c r="N219" s="704"/>
      <c r="O219" s="704"/>
      <c r="P219" s="957"/>
      <c r="Q219" s="957"/>
      <c r="R219" s="957"/>
      <c r="S219" s="957"/>
      <c r="T219" s="957"/>
      <c r="U219" s="957"/>
      <c r="V219" s="957"/>
      <c r="W219" s="957"/>
      <c r="X219" s="957"/>
      <c r="Y219" s="957"/>
      <c r="Z219" s="957"/>
      <c r="AA219" s="957"/>
      <c r="AB219" s="957"/>
      <c r="AC219" s="957"/>
      <c r="AD219" s="957"/>
    </row>
    <row r="220" ht="15.75" customHeight="1">
      <c r="A220" s="518"/>
      <c r="B220" s="517"/>
      <c r="C220" s="518"/>
      <c r="D220" s="992"/>
      <c r="E220" s="989"/>
      <c r="F220" s="989"/>
      <c r="G220" s="993"/>
      <c r="H220" s="993"/>
      <c r="I220" s="986"/>
      <c r="J220" s="523"/>
      <c r="K220" s="994"/>
      <c r="L220" s="995"/>
      <c r="M220" s="704"/>
      <c r="N220" s="704"/>
      <c r="O220" s="704"/>
      <c r="P220" s="957"/>
      <c r="Q220" s="957"/>
      <c r="R220" s="957"/>
      <c r="S220" s="957"/>
      <c r="T220" s="957"/>
      <c r="U220" s="957"/>
      <c r="V220" s="957"/>
      <c r="W220" s="957"/>
      <c r="X220" s="957"/>
      <c r="Y220" s="957"/>
      <c r="Z220" s="957"/>
      <c r="AA220" s="957"/>
      <c r="AB220" s="957"/>
      <c r="AC220" s="957"/>
      <c r="AD220" s="957"/>
    </row>
    <row r="221" ht="15.75" customHeight="1">
      <c r="A221" s="518"/>
      <c r="B221" s="517"/>
      <c r="C221" s="518"/>
      <c r="D221" s="992"/>
      <c r="E221" s="989"/>
      <c r="F221" s="989"/>
      <c r="G221" s="993"/>
      <c r="H221" s="993"/>
      <c r="I221" s="986"/>
      <c r="J221" s="523"/>
      <c r="K221" s="994"/>
      <c r="L221" s="995"/>
      <c r="M221" s="704"/>
      <c r="N221" s="704"/>
      <c r="O221" s="704"/>
      <c r="P221" s="957"/>
      <c r="Q221" s="957"/>
      <c r="R221" s="957"/>
      <c r="S221" s="957"/>
      <c r="T221" s="957"/>
      <c r="U221" s="957"/>
      <c r="V221" s="957"/>
      <c r="W221" s="957"/>
      <c r="X221" s="957"/>
      <c r="Y221" s="957"/>
      <c r="Z221" s="957"/>
      <c r="AA221" s="957"/>
      <c r="AB221" s="957"/>
      <c r="AC221" s="957"/>
      <c r="AD221" s="957"/>
    </row>
    <row r="222" ht="15.75" customHeight="1">
      <c r="A222" s="518"/>
      <c r="B222" s="517"/>
      <c r="C222" s="518"/>
      <c r="D222" s="992"/>
      <c r="E222" s="989"/>
      <c r="F222" s="989"/>
      <c r="G222" s="993"/>
      <c r="H222" s="993"/>
      <c r="I222" s="986"/>
      <c r="J222" s="523"/>
      <c r="K222" s="994"/>
      <c r="L222" s="995"/>
      <c r="M222" s="704"/>
      <c r="N222" s="704"/>
      <c r="O222" s="704"/>
      <c r="P222" s="957"/>
      <c r="Q222" s="957"/>
      <c r="R222" s="957"/>
      <c r="S222" s="957"/>
      <c r="T222" s="957"/>
      <c r="U222" s="957"/>
      <c r="V222" s="957"/>
      <c r="W222" s="957"/>
      <c r="X222" s="957"/>
      <c r="Y222" s="957"/>
      <c r="Z222" s="957"/>
      <c r="AA222" s="957"/>
      <c r="AB222" s="957"/>
      <c r="AC222" s="957"/>
      <c r="AD222" s="957"/>
    </row>
    <row r="223" ht="15.75" customHeight="1">
      <c r="A223" s="518"/>
      <c r="B223" s="517"/>
      <c r="C223" s="518"/>
      <c r="D223" s="992"/>
      <c r="E223" s="989"/>
      <c r="F223" s="989"/>
      <c r="G223" s="993"/>
      <c r="H223" s="993"/>
      <c r="I223" s="986"/>
      <c r="J223" s="523"/>
      <c r="K223" s="994"/>
      <c r="L223" s="995"/>
      <c r="M223" s="704"/>
      <c r="N223" s="704"/>
      <c r="O223" s="704"/>
      <c r="P223" s="957"/>
      <c r="Q223" s="957"/>
      <c r="R223" s="957"/>
      <c r="S223" s="957"/>
      <c r="T223" s="957"/>
      <c r="U223" s="957"/>
      <c r="V223" s="957"/>
      <c r="W223" s="957"/>
      <c r="X223" s="957"/>
      <c r="Y223" s="957"/>
      <c r="Z223" s="957"/>
      <c r="AA223" s="957"/>
      <c r="AB223" s="957"/>
      <c r="AC223" s="957"/>
      <c r="AD223" s="957"/>
    </row>
    <row r="224" ht="15.75" customHeight="1">
      <c r="A224" s="518"/>
      <c r="B224" s="517"/>
      <c r="C224" s="518"/>
      <c r="D224" s="992"/>
      <c r="E224" s="989"/>
      <c r="F224" s="989"/>
      <c r="G224" s="993"/>
      <c r="H224" s="993"/>
      <c r="I224" s="986"/>
      <c r="J224" s="523"/>
      <c r="K224" s="994"/>
      <c r="L224" s="995"/>
      <c r="M224" s="704"/>
      <c r="N224" s="704"/>
      <c r="O224" s="704"/>
      <c r="P224" s="957"/>
      <c r="Q224" s="957"/>
      <c r="R224" s="957"/>
      <c r="S224" s="957"/>
      <c r="T224" s="957"/>
      <c r="U224" s="957"/>
      <c r="V224" s="957"/>
      <c r="W224" s="957"/>
      <c r="X224" s="957"/>
      <c r="Y224" s="957"/>
      <c r="Z224" s="957"/>
      <c r="AA224" s="957"/>
      <c r="AB224" s="957"/>
      <c r="AC224" s="957"/>
      <c r="AD224" s="957"/>
    </row>
    <row r="225" ht="15.75" customHeight="1">
      <c r="A225" s="518"/>
      <c r="B225" s="517"/>
      <c r="C225" s="518"/>
      <c r="D225" s="992"/>
      <c r="E225" s="989"/>
      <c r="F225" s="989"/>
      <c r="G225" s="993"/>
      <c r="H225" s="993"/>
      <c r="I225" s="986"/>
      <c r="J225" s="523"/>
      <c r="K225" s="994"/>
      <c r="L225" s="995"/>
      <c r="M225" s="704"/>
      <c r="N225" s="704"/>
      <c r="O225" s="704"/>
      <c r="P225" s="957"/>
      <c r="Q225" s="957"/>
      <c r="R225" s="957"/>
      <c r="S225" s="957"/>
      <c r="T225" s="957"/>
      <c r="U225" s="957"/>
      <c r="V225" s="957"/>
      <c r="W225" s="957"/>
      <c r="X225" s="957"/>
      <c r="Y225" s="957"/>
      <c r="Z225" s="957"/>
      <c r="AA225" s="957"/>
      <c r="AB225" s="957"/>
      <c r="AC225" s="957"/>
      <c r="AD225" s="957"/>
    </row>
    <row r="226" ht="15.75" customHeight="1">
      <c r="A226" s="518"/>
      <c r="B226" s="517"/>
      <c r="C226" s="518"/>
      <c r="D226" s="992"/>
      <c r="E226" s="989"/>
      <c r="F226" s="989"/>
      <c r="G226" s="993"/>
      <c r="H226" s="993"/>
      <c r="I226" s="986"/>
      <c r="J226" s="523"/>
      <c r="K226" s="994"/>
      <c r="L226" s="995"/>
      <c r="M226" s="704"/>
      <c r="N226" s="704"/>
      <c r="O226" s="704"/>
      <c r="P226" s="957"/>
      <c r="Q226" s="957"/>
      <c r="R226" s="957"/>
      <c r="S226" s="957"/>
      <c r="T226" s="957"/>
      <c r="U226" s="957"/>
      <c r="V226" s="957"/>
      <c r="W226" s="957"/>
      <c r="X226" s="957"/>
      <c r="Y226" s="957"/>
      <c r="Z226" s="957"/>
      <c r="AA226" s="957"/>
      <c r="AB226" s="957"/>
      <c r="AC226" s="957"/>
      <c r="AD226" s="957"/>
    </row>
    <row r="227" ht="15.75" customHeight="1">
      <c r="A227" s="518"/>
      <c r="B227" s="517"/>
      <c r="C227" s="518"/>
      <c r="D227" s="992"/>
      <c r="E227" s="989"/>
      <c r="F227" s="989"/>
      <c r="G227" s="993"/>
      <c r="H227" s="993"/>
      <c r="I227" s="986"/>
      <c r="J227" s="523"/>
      <c r="K227" s="994"/>
      <c r="L227" s="995"/>
      <c r="M227" s="704"/>
      <c r="N227" s="704"/>
      <c r="O227" s="704"/>
      <c r="P227" s="957"/>
      <c r="Q227" s="957"/>
      <c r="R227" s="957"/>
      <c r="S227" s="957"/>
      <c r="T227" s="957"/>
      <c r="U227" s="957"/>
      <c r="V227" s="957"/>
      <c r="W227" s="957"/>
      <c r="X227" s="957"/>
      <c r="Y227" s="957"/>
      <c r="Z227" s="957"/>
      <c r="AA227" s="957"/>
      <c r="AB227" s="957"/>
      <c r="AC227" s="957"/>
      <c r="AD227" s="957"/>
    </row>
    <row r="228" ht="15.75" customHeight="1">
      <c r="A228" s="518"/>
      <c r="B228" s="517"/>
      <c r="C228" s="518"/>
      <c r="D228" s="992"/>
      <c r="E228" s="989"/>
      <c r="F228" s="989"/>
      <c r="G228" s="993"/>
      <c r="H228" s="993"/>
      <c r="I228" s="986"/>
      <c r="J228" s="523"/>
      <c r="K228" s="994"/>
      <c r="L228" s="995"/>
      <c r="M228" s="704"/>
      <c r="N228" s="704"/>
      <c r="O228" s="704"/>
      <c r="P228" s="957"/>
      <c r="Q228" s="957"/>
      <c r="R228" s="957"/>
      <c r="S228" s="957"/>
      <c r="T228" s="957"/>
      <c r="U228" s="957"/>
      <c r="V228" s="957"/>
      <c r="W228" s="957"/>
      <c r="X228" s="957"/>
      <c r="Y228" s="957"/>
      <c r="Z228" s="957"/>
      <c r="AA228" s="957"/>
      <c r="AB228" s="957"/>
      <c r="AC228" s="957"/>
      <c r="AD228" s="957"/>
    </row>
    <row r="229" ht="15.75" customHeight="1">
      <c r="A229" s="518"/>
      <c r="B229" s="517"/>
      <c r="C229" s="518"/>
      <c r="D229" s="992"/>
      <c r="E229" s="989"/>
      <c r="F229" s="989"/>
      <c r="G229" s="993"/>
      <c r="H229" s="993"/>
      <c r="I229" s="986"/>
      <c r="J229" s="523"/>
      <c r="K229" s="994"/>
      <c r="L229" s="995"/>
      <c r="M229" s="704"/>
      <c r="N229" s="704"/>
      <c r="O229" s="704"/>
      <c r="P229" s="957"/>
      <c r="Q229" s="957"/>
      <c r="R229" s="957"/>
      <c r="S229" s="957"/>
      <c r="T229" s="957"/>
      <c r="U229" s="957"/>
      <c r="V229" s="957"/>
      <c r="W229" s="957"/>
      <c r="X229" s="957"/>
      <c r="Y229" s="957"/>
      <c r="Z229" s="957"/>
      <c r="AA229" s="957"/>
      <c r="AB229" s="957"/>
      <c r="AC229" s="957"/>
      <c r="AD229" s="957"/>
    </row>
    <row r="230" ht="15.75" customHeight="1">
      <c r="A230" s="518"/>
      <c r="B230" s="517"/>
      <c r="C230" s="518"/>
      <c r="D230" s="992"/>
      <c r="E230" s="989"/>
      <c r="F230" s="989"/>
      <c r="G230" s="993"/>
      <c r="H230" s="993"/>
      <c r="I230" s="986"/>
      <c r="J230" s="523"/>
      <c r="K230" s="994"/>
      <c r="L230" s="995"/>
      <c r="M230" s="704"/>
      <c r="N230" s="704"/>
      <c r="O230" s="704"/>
      <c r="P230" s="957"/>
      <c r="Q230" s="957"/>
      <c r="R230" s="957"/>
      <c r="S230" s="957"/>
      <c r="T230" s="957"/>
      <c r="U230" s="957"/>
      <c r="V230" s="957"/>
      <c r="W230" s="957"/>
      <c r="X230" s="957"/>
      <c r="Y230" s="957"/>
      <c r="Z230" s="957"/>
      <c r="AA230" s="957"/>
      <c r="AB230" s="957"/>
      <c r="AC230" s="957"/>
      <c r="AD230" s="957"/>
    </row>
    <row r="231" ht="15.75" customHeight="1">
      <c r="A231" s="518"/>
      <c r="B231" s="517"/>
      <c r="C231" s="518"/>
      <c r="D231" s="992"/>
      <c r="E231" s="989"/>
      <c r="F231" s="989"/>
      <c r="G231" s="993"/>
      <c r="H231" s="993"/>
      <c r="I231" s="986"/>
      <c r="J231" s="523"/>
      <c r="K231" s="994"/>
      <c r="L231" s="995"/>
      <c r="M231" s="704"/>
      <c r="N231" s="704"/>
      <c r="O231" s="704"/>
      <c r="P231" s="957"/>
      <c r="Q231" s="957"/>
      <c r="R231" s="957"/>
      <c r="S231" s="957"/>
      <c r="T231" s="957"/>
      <c r="U231" s="957"/>
      <c r="V231" s="957"/>
      <c r="W231" s="957"/>
      <c r="X231" s="957"/>
      <c r="Y231" s="957"/>
      <c r="Z231" s="957"/>
      <c r="AA231" s="957"/>
      <c r="AB231" s="957"/>
      <c r="AC231" s="957"/>
      <c r="AD231" s="957"/>
    </row>
    <row r="232" ht="15.75" customHeight="1">
      <c r="A232" s="518"/>
      <c r="B232" s="517"/>
      <c r="C232" s="518"/>
      <c r="D232" s="992"/>
      <c r="E232" s="989"/>
      <c r="F232" s="989"/>
      <c r="G232" s="993"/>
      <c r="H232" s="993"/>
      <c r="I232" s="986"/>
      <c r="J232" s="523"/>
      <c r="K232" s="994"/>
      <c r="L232" s="995"/>
      <c r="M232" s="704"/>
      <c r="N232" s="704"/>
      <c r="O232" s="704"/>
      <c r="P232" s="957"/>
      <c r="Q232" s="957"/>
      <c r="R232" s="957"/>
      <c r="S232" s="957"/>
      <c r="T232" s="957"/>
      <c r="U232" s="957"/>
      <c r="V232" s="957"/>
      <c r="W232" s="957"/>
      <c r="X232" s="957"/>
      <c r="Y232" s="957"/>
      <c r="Z232" s="957"/>
      <c r="AA232" s="957"/>
      <c r="AB232" s="957"/>
      <c r="AC232" s="957"/>
      <c r="AD232" s="957"/>
    </row>
    <row r="233" ht="15.75" customHeight="1">
      <c r="A233" s="518"/>
      <c r="B233" s="517"/>
      <c r="C233" s="518"/>
      <c r="D233" s="992"/>
      <c r="E233" s="989"/>
      <c r="F233" s="989"/>
      <c r="G233" s="993"/>
      <c r="H233" s="993"/>
      <c r="I233" s="986"/>
      <c r="J233" s="523"/>
      <c r="K233" s="994"/>
      <c r="L233" s="995"/>
      <c r="M233" s="704"/>
      <c r="N233" s="704"/>
      <c r="O233" s="704"/>
      <c r="P233" s="957"/>
      <c r="Q233" s="957"/>
      <c r="R233" s="957"/>
      <c r="S233" s="957"/>
      <c r="T233" s="957"/>
      <c r="U233" s="957"/>
      <c r="V233" s="957"/>
      <c r="W233" s="957"/>
      <c r="X233" s="957"/>
      <c r="Y233" s="957"/>
      <c r="Z233" s="957"/>
      <c r="AA233" s="957"/>
      <c r="AB233" s="957"/>
      <c r="AC233" s="957"/>
      <c r="AD233" s="957"/>
    </row>
    <row r="234" ht="15.75" customHeight="1">
      <c r="A234" s="518"/>
      <c r="B234" s="517"/>
      <c r="C234" s="518"/>
      <c r="D234" s="992"/>
      <c r="E234" s="989"/>
      <c r="F234" s="989"/>
      <c r="G234" s="993"/>
      <c r="H234" s="993"/>
      <c r="I234" s="986"/>
      <c r="J234" s="523"/>
      <c r="K234" s="994"/>
      <c r="L234" s="995"/>
      <c r="M234" s="704"/>
      <c r="N234" s="704"/>
      <c r="O234" s="704"/>
      <c r="P234" s="957"/>
      <c r="Q234" s="957"/>
      <c r="R234" s="957"/>
      <c r="S234" s="957"/>
      <c r="T234" s="957"/>
      <c r="U234" s="957"/>
      <c r="V234" s="957"/>
      <c r="W234" s="957"/>
      <c r="X234" s="957"/>
      <c r="Y234" s="957"/>
      <c r="Z234" s="957"/>
      <c r="AA234" s="957"/>
      <c r="AB234" s="957"/>
      <c r="AC234" s="957"/>
      <c r="AD234" s="957"/>
    </row>
    <row r="235" ht="15.75" customHeight="1">
      <c r="A235" s="518"/>
      <c r="B235" s="517"/>
      <c r="C235" s="518"/>
      <c r="D235" s="992"/>
      <c r="E235" s="989"/>
      <c r="F235" s="989"/>
      <c r="G235" s="993"/>
      <c r="H235" s="993"/>
      <c r="I235" s="986"/>
      <c r="J235" s="523"/>
      <c r="K235" s="994"/>
      <c r="L235" s="995"/>
      <c r="M235" s="704"/>
      <c r="N235" s="704"/>
      <c r="O235" s="704"/>
      <c r="P235" s="957"/>
      <c r="Q235" s="957"/>
      <c r="R235" s="957"/>
      <c r="S235" s="957"/>
      <c r="T235" s="957"/>
      <c r="U235" s="957"/>
      <c r="V235" s="957"/>
      <c r="W235" s="957"/>
      <c r="X235" s="957"/>
      <c r="Y235" s="957"/>
      <c r="Z235" s="957"/>
      <c r="AA235" s="957"/>
      <c r="AB235" s="957"/>
      <c r="AC235" s="957"/>
      <c r="AD235" s="957"/>
    </row>
    <row r="236" ht="15.75" customHeight="1">
      <c r="A236" s="518"/>
      <c r="B236" s="517"/>
      <c r="C236" s="518"/>
      <c r="D236" s="992"/>
      <c r="E236" s="989"/>
      <c r="F236" s="989"/>
      <c r="G236" s="993"/>
      <c r="H236" s="993"/>
      <c r="I236" s="986"/>
      <c r="J236" s="523"/>
      <c r="K236" s="994"/>
      <c r="L236" s="995"/>
      <c r="M236" s="704"/>
      <c r="N236" s="704"/>
      <c r="O236" s="704"/>
      <c r="P236" s="957"/>
      <c r="Q236" s="957"/>
      <c r="R236" s="957"/>
      <c r="S236" s="957"/>
      <c r="T236" s="957"/>
      <c r="U236" s="957"/>
      <c r="V236" s="957"/>
      <c r="W236" s="957"/>
      <c r="X236" s="957"/>
      <c r="Y236" s="957"/>
      <c r="Z236" s="957"/>
      <c r="AA236" s="957"/>
      <c r="AB236" s="957"/>
      <c r="AC236" s="957"/>
      <c r="AD236" s="957"/>
    </row>
    <row r="237" ht="15.75" customHeight="1">
      <c r="A237" s="518"/>
      <c r="B237" s="517"/>
      <c r="C237" s="518"/>
      <c r="D237" s="992"/>
      <c r="E237" s="989"/>
      <c r="F237" s="989"/>
      <c r="G237" s="993"/>
      <c r="H237" s="993"/>
      <c r="I237" s="986"/>
      <c r="J237" s="523"/>
      <c r="K237" s="994"/>
      <c r="L237" s="995"/>
      <c r="M237" s="704"/>
      <c r="N237" s="704"/>
      <c r="O237" s="704"/>
      <c r="P237" s="957"/>
      <c r="Q237" s="957"/>
      <c r="R237" s="957"/>
      <c r="S237" s="957"/>
      <c r="T237" s="957"/>
      <c r="U237" s="957"/>
      <c r="V237" s="957"/>
      <c r="W237" s="957"/>
      <c r="X237" s="957"/>
      <c r="Y237" s="957"/>
      <c r="Z237" s="957"/>
      <c r="AA237" s="957"/>
      <c r="AB237" s="957"/>
      <c r="AC237" s="957"/>
      <c r="AD237" s="957"/>
    </row>
    <row r="238" ht="15.75" customHeight="1">
      <c r="A238" s="518"/>
      <c r="B238" s="517"/>
      <c r="C238" s="518"/>
      <c r="D238" s="992"/>
      <c r="E238" s="989"/>
      <c r="F238" s="989"/>
      <c r="G238" s="993"/>
      <c r="H238" s="993"/>
      <c r="I238" s="986"/>
      <c r="J238" s="523"/>
      <c r="K238" s="994"/>
      <c r="L238" s="995"/>
      <c r="M238" s="704"/>
      <c r="N238" s="704"/>
      <c r="O238" s="704"/>
      <c r="P238" s="957"/>
      <c r="Q238" s="957"/>
      <c r="R238" s="957"/>
      <c r="S238" s="957"/>
      <c r="T238" s="957"/>
      <c r="U238" s="957"/>
      <c r="V238" s="957"/>
      <c r="W238" s="957"/>
      <c r="X238" s="957"/>
      <c r="Y238" s="957"/>
      <c r="Z238" s="957"/>
      <c r="AA238" s="957"/>
      <c r="AB238" s="957"/>
      <c r="AC238" s="957"/>
      <c r="AD238" s="957"/>
    </row>
    <row r="239" ht="15.75" customHeight="1">
      <c r="A239" s="518"/>
      <c r="B239" s="517"/>
      <c r="C239" s="518"/>
      <c r="D239" s="992"/>
      <c r="E239" s="989"/>
      <c r="F239" s="989"/>
      <c r="G239" s="993"/>
      <c r="H239" s="993"/>
      <c r="I239" s="986"/>
      <c r="J239" s="523"/>
      <c r="K239" s="994"/>
      <c r="L239" s="995"/>
      <c r="M239" s="704"/>
      <c r="N239" s="704"/>
      <c r="O239" s="704"/>
      <c r="P239" s="957"/>
      <c r="Q239" s="957"/>
      <c r="R239" s="957"/>
      <c r="S239" s="957"/>
      <c r="T239" s="957"/>
      <c r="U239" s="957"/>
      <c r="V239" s="957"/>
      <c r="W239" s="957"/>
      <c r="X239" s="957"/>
      <c r="Y239" s="957"/>
      <c r="Z239" s="957"/>
      <c r="AA239" s="957"/>
      <c r="AB239" s="957"/>
      <c r="AC239" s="957"/>
      <c r="AD239" s="957"/>
    </row>
    <row r="240" ht="15.75" customHeight="1">
      <c r="A240" s="518"/>
      <c r="B240" s="517"/>
      <c r="C240" s="518"/>
      <c r="D240" s="992"/>
      <c r="E240" s="989"/>
      <c r="F240" s="989"/>
      <c r="G240" s="993"/>
      <c r="H240" s="993"/>
      <c r="I240" s="986"/>
      <c r="J240" s="523"/>
      <c r="K240" s="994"/>
      <c r="L240" s="995"/>
      <c r="M240" s="704"/>
      <c r="N240" s="704"/>
      <c r="O240" s="704"/>
      <c r="P240" s="957"/>
      <c r="Q240" s="957"/>
      <c r="R240" s="957"/>
      <c r="S240" s="957"/>
      <c r="T240" s="957"/>
      <c r="U240" s="957"/>
      <c r="V240" s="957"/>
      <c r="W240" s="957"/>
      <c r="X240" s="957"/>
      <c r="Y240" s="957"/>
      <c r="Z240" s="957"/>
      <c r="AA240" s="957"/>
      <c r="AB240" s="957"/>
      <c r="AC240" s="957"/>
      <c r="AD240" s="957"/>
    </row>
    <row r="241" ht="15.75" customHeight="1">
      <c r="A241" s="518"/>
      <c r="B241" s="517"/>
      <c r="C241" s="518"/>
      <c r="D241" s="992"/>
      <c r="E241" s="989"/>
      <c r="F241" s="989"/>
      <c r="G241" s="993"/>
      <c r="H241" s="993"/>
      <c r="I241" s="986"/>
      <c r="J241" s="523"/>
      <c r="K241" s="994"/>
      <c r="L241" s="995"/>
      <c r="M241" s="704"/>
      <c r="N241" s="704"/>
      <c r="O241" s="704"/>
      <c r="P241" s="957"/>
      <c r="Q241" s="957"/>
      <c r="R241" s="957"/>
      <c r="S241" s="957"/>
      <c r="T241" s="957"/>
      <c r="U241" s="957"/>
      <c r="V241" s="957"/>
      <c r="W241" s="957"/>
      <c r="X241" s="957"/>
      <c r="Y241" s="957"/>
      <c r="Z241" s="957"/>
      <c r="AA241" s="957"/>
      <c r="AB241" s="957"/>
      <c r="AC241" s="957"/>
      <c r="AD241" s="957"/>
    </row>
    <row r="242" ht="15.75" customHeight="1">
      <c r="A242" s="518"/>
      <c r="B242" s="517"/>
      <c r="C242" s="518"/>
      <c r="D242" s="992"/>
      <c r="E242" s="989"/>
      <c r="F242" s="989"/>
      <c r="G242" s="993"/>
      <c r="H242" s="993"/>
      <c r="I242" s="986"/>
      <c r="J242" s="523"/>
      <c r="K242" s="994"/>
      <c r="L242" s="995"/>
      <c r="M242" s="704"/>
      <c r="N242" s="704"/>
      <c r="O242" s="704"/>
      <c r="P242" s="957"/>
      <c r="Q242" s="957"/>
      <c r="R242" s="957"/>
      <c r="S242" s="957"/>
      <c r="T242" s="957"/>
      <c r="U242" s="957"/>
      <c r="V242" s="957"/>
      <c r="W242" s="957"/>
      <c r="X242" s="957"/>
      <c r="Y242" s="957"/>
      <c r="Z242" s="957"/>
      <c r="AA242" s="957"/>
      <c r="AB242" s="957"/>
      <c r="AC242" s="957"/>
      <c r="AD242" s="957"/>
    </row>
    <row r="243" ht="15.75" customHeight="1">
      <c r="A243" s="518"/>
      <c r="B243" s="517"/>
      <c r="C243" s="518"/>
      <c r="D243" s="992"/>
      <c r="E243" s="989"/>
      <c r="F243" s="989"/>
      <c r="G243" s="993"/>
      <c r="H243" s="993"/>
      <c r="I243" s="986"/>
      <c r="J243" s="523"/>
      <c r="K243" s="994"/>
      <c r="L243" s="995"/>
      <c r="M243" s="704"/>
      <c r="N243" s="704"/>
      <c r="O243" s="704"/>
      <c r="P243" s="957"/>
      <c r="Q243" s="957"/>
      <c r="R243" s="957"/>
      <c r="S243" s="957"/>
      <c r="T243" s="957"/>
      <c r="U243" s="957"/>
      <c r="V243" s="957"/>
      <c r="W243" s="957"/>
      <c r="X243" s="957"/>
      <c r="Y243" s="957"/>
      <c r="Z243" s="957"/>
      <c r="AA243" s="957"/>
      <c r="AB243" s="957"/>
      <c r="AC243" s="957"/>
      <c r="AD243" s="957"/>
    </row>
    <row r="244" ht="15.75" customHeight="1">
      <c r="A244" s="518"/>
      <c r="B244" s="517"/>
      <c r="C244" s="518"/>
      <c r="D244" s="992"/>
      <c r="E244" s="989"/>
      <c r="F244" s="989"/>
      <c r="G244" s="993"/>
      <c r="H244" s="993"/>
      <c r="I244" s="986"/>
      <c r="J244" s="523"/>
      <c r="K244" s="994"/>
      <c r="L244" s="995"/>
      <c r="M244" s="704"/>
      <c r="N244" s="704"/>
      <c r="O244" s="704"/>
      <c r="P244" s="957"/>
      <c r="Q244" s="957"/>
      <c r="R244" s="957"/>
      <c r="S244" s="957"/>
      <c r="T244" s="957"/>
      <c r="U244" s="957"/>
      <c r="V244" s="957"/>
      <c r="W244" s="957"/>
      <c r="X244" s="957"/>
      <c r="Y244" s="957"/>
      <c r="Z244" s="957"/>
      <c r="AA244" s="957"/>
      <c r="AB244" s="957"/>
      <c r="AC244" s="957"/>
      <c r="AD244" s="957"/>
    </row>
    <row r="245" ht="15.75" customHeight="1">
      <c r="A245" s="518"/>
      <c r="B245" s="517"/>
      <c r="C245" s="518"/>
      <c r="D245" s="992"/>
      <c r="E245" s="989"/>
      <c r="F245" s="989"/>
      <c r="G245" s="993"/>
      <c r="H245" s="993"/>
      <c r="I245" s="986"/>
      <c r="J245" s="523"/>
      <c r="K245" s="994"/>
      <c r="L245" s="995"/>
      <c r="M245" s="704"/>
      <c r="N245" s="704"/>
      <c r="O245" s="704"/>
      <c r="P245" s="957"/>
      <c r="Q245" s="957"/>
      <c r="R245" s="957"/>
      <c r="S245" s="957"/>
      <c r="T245" s="957"/>
      <c r="U245" s="957"/>
      <c r="V245" s="957"/>
      <c r="W245" s="957"/>
      <c r="X245" s="957"/>
      <c r="Y245" s="957"/>
      <c r="Z245" s="957"/>
      <c r="AA245" s="957"/>
      <c r="AB245" s="957"/>
      <c r="AC245" s="957"/>
      <c r="AD245" s="957"/>
    </row>
    <row r="246" ht="15.75" customHeight="1">
      <c r="A246" s="518"/>
      <c r="B246" s="517"/>
      <c r="C246" s="518"/>
      <c r="D246" s="992"/>
      <c r="E246" s="989"/>
      <c r="F246" s="989"/>
      <c r="G246" s="993"/>
      <c r="H246" s="993"/>
      <c r="I246" s="986"/>
      <c r="J246" s="523"/>
      <c r="K246" s="994"/>
      <c r="L246" s="995"/>
      <c r="M246" s="704"/>
      <c r="N246" s="704"/>
      <c r="O246" s="704"/>
      <c r="P246" s="957"/>
      <c r="Q246" s="957"/>
      <c r="R246" s="957"/>
      <c r="S246" s="957"/>
      <c r="T246" s="957"/>
      <c r="U246" s="957"/>
      <c r="V246" s="957"/>
      <c r="W246" s="957"/>
      <c r="X246" s="957"/>
      <c r="Y246" s="957"/>
      <c r="Z246" s="957"/>
      <c r="AA246" s="957"/>
      <c r="AB246" s="957"/>
      <c r="AC246" s="957"/>
      <c r="AD246" s="957"/>
    </row>
    <row r="247" ht="15.75" customHeight="1">
      <c r="A247" s="518"/>
      <c r="B247" s="517"/>
      <c r="C247" s="518"/>
      <c r="D247" s="992"/>
      <c r="E247" s="989"/>
      <c r="F247" s="989"/>
      <c r="G247" s="993"/>
      <c r="H247" s="993"/>
      <c r="I247" s="986"/>
      <c r="J247" s="523"/>
      <c r="K247" s="994"/>
      <c r="L247" s="995"/>
      <c r="M247" s="704"/>
      <c r="N247" s="704"/>
      <c r="O247" s="704"/>
      <c r="P247" s="957"/>
      <c r="Q247" s="957"/>
      <c r="R247" s="957"/>
      <c r="S247" s="957"/>
      <c r="T247" s="957"/>
      <c r="U247" s="957"/>
      <c r="V247" s="957"/>
      <c r="W247" s="957"/>
      <c r="X247" s="957"/>
      <c r="Y247" s="957"/>
      <c r="Z247" s="957"/>
      <c r="AA247" s="957"/>
      <c r="AB247" s="957"/>
      <c r="AC247" s="957"/>
      <c r="AD247" s="957"/>
    </row>
    <row r="248" ht="15.75" customHeight="1">
      <c r="A248" s="518"/>
      <c r="B248" s="517"/>
      <c r="C248" s="518"/>
      <c r="D248" s="992"/>
      <c r="E248" s="989"/>
      <c r="F248" s="989"/>
      <c r="G248" s="993"/>
      <c r="H248" s="993"/>
      <c r="I248" s="986"/>
      <c r="J248" s="523"/>
      <c r="K248" s="994"/>
      <c r="L248" s="995"/>
      <c r="M248" s="704"/>
      <c r="N248" s="704"/>
      <c r="O248" s="704"/>
      <c r="P248" s="957"/>
      <c r="Q248" s="957"/>
      <c r="R248" s="957"/>
      <c r="S248" s="957"/>
      <c r="T248" s="957"/>
      <c r="U248" s="957"/>
      <c r="V248" s="957"/>
      <c r="W248" s="957"/>
      <c r="X248" s="957"/>
      <c r="Y248" s="957"/>
      <c r="Z248" s="957"/>
      <c r="AA248" s="957"/>
      <c r="AB248" s="957"/>
      <c r="AC248" s="957"/>
      <c r="AD248" s="957"/>
    </row>
    <row r="249" ht="15.75" customHeight="1">
      <c r="A249" s="518"/>
      <c r="B249" s="517"/>
      <c r="C249" s="518"/>
      <c r="D249" s="992"/>
      <c r="E249" s="989"/>
      <c r="F249" s="989"/>
      <c r="G249" s="993"/>
      <c r="H249" s="993"/>
      <c r="I249" s="986"/>
      <c r="J249" s="523"/>
      <c r="K249" s="994"/>
      <c r="L249" s="995"/>
      <c r="M249" s="704"/>
      <c r="N249" s="704"/>
      <c r="O249" s="704"/>
      <c r="P249" s="957"/>
      <c r="Q249" s="957"/>
      <c r="R249" s="957"/>
      <c r="S249" s="957"/>
      <c r="T249" s="957"/>
      <c r="U249" s="957"/>
      <c r="V249" s="957"/>
      <c r="W249" s="957"/>
      <c r="X249" s="957"/>
      <c r="Y249" s="957"/>
      <c r="Z249" s="957"/>
      <c r="AA249" s="957"/>
      <c r="AB249" s="957"/>
      <c r="AC249" s="957"/>
      <c r="AD249" s="957"/>
    </row>
    <row r="250" ht="15.75" customHeight="1">
      <c r="A250" s="518"/>
      <c r="B250" s="517"/>
      <c r="C250" s="518"/>
      <c r="D250" s="992"/>
      <c r="E250" s="989"/>
      <c r="F250" s="989"/>
      <c r="G250" s="993"/>
      <c r="H250" s="993"/>
      <c r="I250" s="986"/>
      <c r="J250" s="523"/>
      <c r="K250" s="994"/>
      <c r="L250" s="995"/>
      <c r="M250" s="704"/>
      <c r="N250" s="704"/>
      <c r="O250" s="704"/>
      <c r="P250" s="957"/>
      <c r="Q250" s="957"/>
      <c r="R250" s="957"/>
      <c r="S250" s="957"/>
      <c r="T250" s="957"/>
      <c r="U250" s="957"/>
      <c r="V250" s="957"/>
      <c r="W250" s="957"/>
      <c r="X250" s="957"/>
      <c r="Y250" s="957"/>
      <c r="Z250" s="957"/>
      <c r="AA250" s="957"/>
      <c r="AB250" s="957"/>
      <c r="AC250" s="957"/>
      <c r="AD250" s="957"/>
    </row>
    <row r="251" ht="15.75" customHeight="1">
      <c r="A251" s="518"/>
      <c r="B251" s="517"/>
      <c r="C251" s="518"/>
      <c r="D251" s="992"/>
      <c r="E251" s="989"/>
      <c r="F251" s="989"/>
      <c r="G251" s="993"/>
      <c r="H251" s="993"/>
      <c r="I251" s="986"/>
      <c r="J251" s="523"/>
      <c r="K251" s="994"/>
      <c r="L251" s="995"/>
      <c r="M251" s="704"/>
      <c r="N251" s="704"/>
      <c r="O251" s="704"/>
      <c r="P251" s="957"/>
      <c r="Q251" s="957"/>
      <c r="R251" s="957"/>
      <c r="S251" s="957"/>
      <c r="T251" s="957"/>
      <c r="U251" s="957"/>
      <c r="V251" s="957"/>
      <c r="W251" s="957"/>
      <c r="X251" s="957"/>
      <c r="Y251" s="957"/>
      <c r="Z251" s="957"/>
      <c r="AA251" s="957"/>
      <c r="AB251" s="957"/>
      <c r="AC251" s="957"/>
      <c r="AD251" s="957"/>
    </row>
    <row r="252" ht="15.75" customHeight="1">
      <c r="A252" s="518"/>
      <c r="B252" s="517"/>
      <c r="C252" s="518"/>
      <c r="D252" s="992"/>
      <c r="E252" s="989"/>
      <c r="F252" s="989"/>
      <c r="G252" s="993"/>
      <c r="H252" s="993"/>
      <c r="I252" s="986"/>
      <c r="J252" s="523"/>
      <c r="K252" s="994"/>
      <c r="L252" s="995"/>
      <c r="M252" s="704"/>
      <c r="N252" s="704"/>
      <c r="O252" s="704"/>
      <c r="P252" s="957"/>
      <c r="Q252" s="957"/>
      <c r="R252" s="957"/>
      <c r="S252" s="957"/>
      <c r="T252" s="957"/>
      <c r="U252" s="957"/>
      <c r="V252" s="957"/>
      <c r="W252" s="957"/>
      <c r="X252" s="957"/>
      <c r="Y252" s="957"/>
      <c r="Z252" s="957"/>
      <c r="AA252" s="957"/>
      <c r="AB252" s="957"/>
      <c r="AC252" s="957"/>
      <c r="AD252" s="957"/>
    </row>
    <row r="253" ht="15.75" customHeight="1">
      <c r="A253" s="518"/>
      <c r="B253" s="517"/>
      <c r="C253" s="518"/>
      <c r="D253" s="992"/>
      <c r="E253" s="989"/>
      <c r="F253" s="989"/>
      <c r="G253" s="993"/>
      <c r="H253" s="993"/>
      <c r="I253" s="986"/>
      <c r="J253" s="523"/>
      <c r="K253" s="994"/>
      <c r="L253" s="995"/>
      <c r="M253" s="704"/>
      <c r="N253" s="704"/>
      <c r="O253" s="704"/>
      <c r="P253" s="957"/>
      <c r="Q253" s="957"/>
      <c r="R253" s="957"/>
      <c r="S253" s="957"/>
      <c r="T253" s="957"/>
      <c r="U253" s="957"/>
      <c r="V253" s="957"/>
      <c r="W253" s="957"/>
      <c r="X253" s="957"/>
      <c r="Y253" s="957"/>
      <c r="Z253" s="957"/>
      <c r="AA253" s="957"/>
      <c r="AB253" s="957"/>
      <c r="AC253" s="957"/>
      <c r="AD253" s="957"/>
    </row>
    <row r="254" ht="15.75" customHeight="1">
      <c r="A254" s="518"/>
      <c r="B254" s="517"/>
      <c r="C254" s="518"/>
      <c r="D254" s="992"/>
      <c r="E254" s="989"/>
      <c r="F254" s="989"/>
      <c r="G254" s="993"/>
      <c r="H254" s="993"/>
      <c r="I254" s="986"/>
      <c r="J254" s="523"/>
      <c r="K254" s="994"/>
      <c r="L254" s="995"/>
      <c r="M254" s="704"/>
      <c r="N254" s="704"/>
      <c r="O254" s="704"/>
      <c r="P254" s="957"/>
      <c r="Q254" s="957"/>
      <c r="R254" s="957"/>
      <c r="S254" s="957"/>
      <c r="T254" s="957"/>
      <c r="U254" s="957"/>
      <c r="V254" s="957"/>
      <c r="W254" s="957"/>
      <c r="X254" s="957"/>
      <c r="Y254" s="957"/>
      <c r="Z254" s="957"/>
      <c r="AA254" s="957"/>
      <c r="AB254" s="957"/>
      <c r="AC254" s="957"/>
      <c r="AD254" s="957"/>
    </row>
    <row r="255" ht="15.75" customHeight="1">
      <c r="A255" s="518"/>
      <c r="B255" s="517"/>
      <c r="C255" s="518"/>
      <c r="D255" s="992"/>
      <c r="E255" s="989"/>
      <c r="F255" s="989"/>
      <c r="G255" s="993"/>
      <c r="H255" s="993"/>
      <c r="I255" s="986"/>
      <c r="J255" s="523"/>
      <c r="K255" s="994"/>
      <c r="L255" s="995"/>
      <c r="M255" s="704"/>
      <c r="N255" s="704"/>
      <c r="O255" s="704"/>
      <c r="P255" s="957"/>
      <c r="Q255" s="957"/>
      <c r="R255" s="957"/>
      <c r="S255" s="957"/>
      <c r="T255" s="957"/>
      <c r="U255" s="957"/>
      <c r="V255" s="957"/>
      <c r="W255" s="957"/>
      <c r="X255" s="957"/>
      <c r="Y255" s="957"/>
      <c r="Z255" s="957"/>
      <c r="AA255" s="957"/>
      <c r="AB255" s="957"/>
      <c r="AC255" s="957"/>
      <c r="AD255" s="957"/>
    </row>
    <row r="256" ht="15.75" customHeight="1">
      <c r="A256" s="518"/>
      <c r="B256" s="517"/>
      <c r="C256" s="518"/>
      <c r="D256" s="992"/>
      <c r="E256" s="989"/>
      <c r="F256" s="989"/>
      <c r="G256" s="993"/>
      <c r="H256" s="993"/>
      <c r="I256" s="986"/>
      <c r="J256" s="523"/>
      <c r="K256" s="994"/>
      <c r="L256" s="995"/>
      <c r="M256" s="704"/>
      <c r="N256" s="704"/>
      <c r="O256" s="704"/>
      <c r="P256" s="957"/>
      <c r="Q256" s="957"/>
      <c r="R256" s="957"/>
      <c r="S256" s="957"/>
      <c r="T256" s="957"/>
      <c r="U256" s="957"/>
      <c r="V256" s="957"/>
      <c r="W256" s="957"/>
      <c r="X256" s="957"/>
      <c r="Y256" s="957"/>
      <c r="Z256" s="957"/>
      <c r="AA256" s="957"/>
      <c r="AB256" s="957"/>
      <c r="AC256" s="957"/>
      <c r="AD256" s="957"/>
    </row>
    <row r="257" ht="15.75" customHeight="1">
      <c r="A257" s="518"/>
      <c r="B257" s="517"/>
      <c r="C257" s="518"/>
      <c r="D257" s="992"/>
      <c r="E257" s="989"/>
      <c r="F257" s="989"/>
      <c r="G257" s="993"/>
      <c r="H257" s="993"/>
      <c r="I257" s="986"/>
      <c r="J257" s="523"/>
      <c r="K257" s="994"/>
      <c r="L257" s="995"/>
      <c r="M257" s="704"/>
      <c r="N257" s="704"/>
      <c r="O257" s="704"/>
      <c r="P257" s="957"/>
      <c r="Q257" s="957"/>
      <c r="R257" s="957"/>
      <c r="S257" s="957"/>
      <c r="T257" s="957"/>
      <c r="U257" s="957"/>
      <c r="V257" s="957"/>
      <c r="W257" s="957"/>
      <c r="X257" s="957"/>
      <c r="Y257" s="957"/>
      <c r="Z257" s="957"/>
      <c r="AA257" s="957"/>
      <c r="AB257" s="957"/>
      <c r="AC257" s="957"/>
      <c r="AD257" s="957"/>
    </row>
    <row r="258" ht="15.75" customHeight="1">
      <c r="A258" s="518"/>
      <c r="B258" s="517"/>
      <c r="C258" s="518"/>
      <c r="D258" s="992"/>
      <c r="E258" s="989"/>
      <c r="F258" s="989"/>
      <c r="G258" s="993"/>
      <c r="H258" s="993"/>
      <c r="I258" s="986"/>
      <c r="J258" s="523"/>
      <c r="K258" s="994"/>
      <c r="L258" s="995"/>
      <c r="M258" s="704"/>
      <c r="N258" s="704"/>
      <c r="O258" s="704"/>
      <c r="P258" s="957"/>
      <c r="Q258" s="957"/>
      <c r="R258" s="957"/>
      <c r="S258" s="957"/>
      <c r="T258" s="957"/>
      <c r="U258" s="957"/>
      <c r="V258" s="957"/>
      <c r="W258" s="957"/>
      <c r="X258" s="957"/>
      <c r="Y258" s="957"/>
      <c r="Z258" s="957"/>
      <c r="AA258" s="957"/>
      <c r="AB258" s="957"/>
      <c r="AC258" s="957"/>
      <c r="AD258" s="957"/>
    </row>
    <row r="259" ht="15.75" customHeight="1">
      <c r="A259" s="518"/>
      <c r="B259" s="517"/>
      <c r="C259" s="518"/>
      <c r="D259" s="992"/>
      <c r="E259" s="989"/>
      <c r="F259" s="989"/>
      <c r="G259" s="993"/>
      <c r="H259" s="993"/>
      <c r="I259" s="986"/>
      <c r="J259" s="523"/>
      <c r="K259" s="994"/>
      <c r="L259" s="995"/>
      <c r="M259" s="704"/>
      <c r="N259" s="704"/>
      <c r="O259" s="704"/>
      <c r="P259" s="957"/>
      <c r="Q259" s="957"/>
      <c r="R259" s="957"/>
      <c r="S259" s="957"/>
      <c r="T259" s="957"/>
      <c r="U259" s="957"/>
      <c r="V259" s="957"/>
      <c r="W259" s="957"/>
      <c r="X259" s="957"/>
      <c r="Y259" s="957"/>
      <c r="Z259" s="957"/>
      <c r="AA259" s="957"/>
      <c r="AB259" s="957"/>
      <c r="AC259" s="957"/>
      <c r="AD259" s="957"/>
    </row>
    <row r="260" ht="15.75" customHeight="1">
      <c r="A260" s="518"/>
      <c r="B260" s="517"/>
      <c r="C260" s="518"/>
      <c r="D260" s="992"/>
      <c r="E260" s="989"/>
      <c r="F260" s="989"/>
      <c r="G260" s="993"/>
      <c r="H260" s="993"/>
      <c r="I260" s="986"/>
      <c r="J260" s="523"/>
      <c r="K260" s="994"/>
      <c r="L260" s="995"/>
      <c r="M260" s="704"/>
      <c r="N260" s="704"/>
      <c r="O260" s="704"/>
      <c r="P260" s="957"/>
      <c r="Q260" s="957"/>
      <c r="R260" s="957"/>
      <c r="S260" s="957"/>
      <c r="T260" s="957"/>
      <c r="U260" s="957"/>
      <c r="V260" s="957"/>
      <c r="W260" s="957"/>
      <c r="X260" s="957"/>
      <c r="Y260" s="957"/>
      <c r="Z260" s="957"/>
      <c r="AA260" s="957"/>
      <c r="AB260" s="957"/>
      <c r="AC260" s="957"/>
      <c r="AD260" s="957"/>
    </row>
    <row r="261" ht="15.75" customHeight="1">
      <c r="A261" s="518"/>
      <c r="B261" s="517"/>
      <c r="C261" s="518"/>
      <c r="D261" s="992"/>
      <c r="E261" s="989"/>
      <c r="F261" s="989"/>
      <c r="G261" s="993"/>
      <c r="H261" s="993"/>
      <c r="I261" s="986"/>
      <c r="J261" s="523"/>
      <c r="K261" s="994"/>
      <c r="L261" s="995"/>
      <c r="M261" s="704"/>
      <c r="N261" s="704"/>
      <c r="O261" s="704"/>
      <c r="P261" s="957"/>
      <c r="Q261" s="957"/>
      <c r="R261" s="957"/>
      <c r="S261" s="957"/>
      <c r="T261" s="957"/>
      <c r="U261" s="957"/>
      <c r="V261" s="957"/>
      <c r="W261" s="957"/>
      <c r="X261" s="957"/>
      <c r="Y261" s="957"/>
      <c r="Z261" s="957"/>
      <c r="AA261" s="957"/>
      <c r="AB261" s="957"/>
      <c r="AC261" s="957"/>
      <c r="AD261" s="957"/>
    </row>
    <row r="262" ht="15.75" customHeight="1">
      <c r="A262" s="518"/>
      <c r="B262" s="517"/>
      <c r="C262" s="518"/>
      <c r="D262" s="992"/>
      <c r="E262" s="989"/>
      <c r="F262" s="989"/>
      <c r="G262" s="993"/>
      <c r="H262" s="993"/>
      <c r="I262" s="986"/>
      <c r="J262" s="523"/>
      <c r="K262" s="994"/>
      <c r="L262" s="995"/>
      <c r="M262" s="704"/>
      <c r="N262" s="704"/>
      <c r="O262" s="704"/>
      <c r="P262" s="957"/>
      <c r="Q262" s="957"/>
      <c r="R262" s="957"/>
      <c r="S262" s="957"/>
      <c r="T262" s="957"/>
      <c r="U262" s="957"/>
      <c r="V262" s="957"/>
      <c r="W262" s="957"/>
      <c r="X262" s="957"/>
      <c r="Y262" s="957"/>
      <c r="Z262" s="957"/>
      <c r="AA262" s="957"/>
      <c r="AB262" s="957"/>
      <c r="AC262" s="957"/>
      <c r="AD262" s="957"/>
    </row>
    <row r="263" ht="15.75" customHeight="1">
      <c r="A263" s="518"/>
      <c r="B263" s="517"/>
      <c r="C263" s="518"/>
      <c r="D263" s="992"/>
      <c r="E263" s="989"/>
      <c r="F263" s="989"/>
      <c r="G263" s="993"/>
      <c r="H263" s="993"/>
      <c r="I263" s="986"/>
      <c r="J263" s="523"/>
      <c r="K263" s="994"/>
      <c r="L263" s="995"/>
      <c r="M263" s="704"/>
      <c r="N263" s="704"/>
      <c r="O263" s="704"/>
      <c r="P263" s="957"/>
      <c r="Q263" s="957"/>
      <c r="R263" s="957"/>
      <c r="S263" s="957"/>
      <c r="T263" s="957"/>
      <c r="U263" s="957"/>
      <c r="V263" s="957"/>
      <c r="W263" s="957"/>
      <c r="X263" s="957"/>
      <c r="Y263" s="957"/>
      <c r="Z263" s="957"/>
      <c r="AA263" s="957"/>
      <c r="AB263" s="957"/>
      <c r="AC263" s="957"/>
      <c r="AD263" s="957"/>
    </row>
    <row r="264" ht="15.75" customHeight="1">
      <c r="A264" s="518"/>
      <c r="B264" s="517"/>
      <c r="C264" s="518"/>
      <c r="D264" s="992"/>
      <c r="E264" s="989"/>
      <c r="F264" s="989"/>
      <c r="G264" s="993"/>
      <c r="H264" s="993"/>
      <c r="I264" s="986"/>
      <c r="J264" s="523"/>
      <c r="K264" s="994"/>
      <c r="L264" s="995"/>
      <c r="M264" s="704"/>
      <c r="N264" s="704"/>
      <c r="O264" s="704"/>
      <c r="P264" s="957"/>
      <c r="Q264" s="957"/>
      <c r="R264" s="957"/>
      <c r="S264" s="957"/>
      <c r="T264" s="957"/>
      <c r="U264" s="957"/>
      <c r="V264" s="957"/>
      <c r="W264" s="957"/>
      <c r="X264" s="957"/>
      <c r="Y264" s="957"/>
      <c r="Z264" s="957"/>
      <c r="AA264" s="957"/>
      <c r="AB264" s="957"/>
      <c r="AC264" s="957"/>
      <c r="AD264" s="957"/>
    </row>
    <row r="265" ht="15.75" customHeight="1">
      <c r="A265" s="518"/>
      <c r="B265" s="517"/>
      <c r="C265" s="518"/>
      <c r="D265" s="992"/>
      <c r="E265" s="989"/>
      <c r="F265" s="989"/>
      <c r="G265" s="993"/>
      <c r="H265" s="993"/>
      <c r="I265" s="986"/>
      <c r="J265" s="523"/>
      <c r="K265" s="994"/>
      <c r="L265" s="995"/>
      <c r="M265" s="704"/>
      <c r="N265" s="704"/>
      <c r="O265" s="704"/>
      <c r="P265" s="957"/>
      <c r="Q265" s="957"/>
      <c r="R265" s="957"/>
      <c r="S265" s="957"/>
      <c r="T265" s="957"/>
      <c r="U265" s="957"/>
      <c r="V265" s="957"/>
      <c r="W265" s="957"/>
      <c r="X265" s="957"/>
      <c r="Y265" s="957"/>
      <c r="Z265" s="957"/>
      <c r="AA265" s="957"/>
      <c r="AB265" s="957"/>
      <c r="AC265" s="957"/>
      <c r="AD265" s="957"/>
    </row>
    <row r="266" ht="15.75" customHeight="1">
      <c r="A266" s="518"/>
      <c r="B266" s="517"/>
      <c r="C266" s="518"/>
      <c r="D266" s="992"/>
      <c r="E266" s="989"/>
      <c r="F266" s="989"/>
      <c r="G266" s="993"/>
      <c r="H266" s="993"/>
      <c r="I266" s="986"/>
      <c r="J266" s="523"/>
      <c r="K266" s="994"/>
      <c r="L266" s="995"/>
      <c r="M266" s="704"/>
      <c r="N266" s="704"/>
      <c r="O266" s="704"/>
      <c r="P266" s="957"/>
      <c r="Q266" s="957"/>
      <c r="R266" s="957"/>
      <c r="S266" s="957"/>
      <c r="T266" s="957"/>
      <c r="U266" s="957"/>
      <c r="V266" s="957"/>
      <c r="W266" s="957"/>
      <c r="X266" s="957"/>
      <c r="Y266" s="957"/>
      <c r="Z266" s="957"/>
      <c r="AA266" s="957"/>
      <c r="AB266" s="957"/>
      <c r="AC266" s="957"/>
      <c r="AD266" s="957"/>
    </row>
    <row r="267" ht="15.75" customHeight="1">
      <c r="A267" s="518"/>
      <c r="B267" s="517"/>
      <c r="C267" s="518"/>
      <c r="D267" s="992"/>
      <c r="E267" s="989"/>
      <c r="F267" s="989"/>
      <c r="G267" s="993"/>
      <c r="H267" s="993"/>
      <c r="I267" s="986"/>
      <c r="J267" s="523"/>
      <c r="K267" s="994"/>
      <c r="L267" s="995"/>
      <c r="M267" s="704"/>
      <c r="N267" s="704"/>
      <c r="O267" s="704"/>
      <c r="P267" s="957"/>
      <c r="Q267" s="957"/>
      <c r="R267" s="957"/>
      <c r="S267" s="957"/>
      <c r="T267" s="957"/>
      <c r="U267" s="957"/>
      <c r="V267" s="957"/>
      <c r="W267" s="957"/>
      <c r="X267" s="957"/>
      <c r="Y267" s="957"/>
      <c r="Z267" s="957"/>
      <c r="AA267" s="957"/>
      <c r="AB267" s="957"/>
      <c r="AC267" s="957"/>
      <c r="AD267" s="957"/>
    </row>
    <row r="268" ht="15.75" customHeight="1">
      <c r="A268" s="518"/>
      <c r="B268" s="517"/>
      <c r="C268" s="518"/>
      <c r="D268" s="992"/>
      <c r="E268" s="989"/>
      <c r="F268" s="989"/>
      <c r="G268" s="993"/>
      <c r="H268" s="993"/>
      <c r="I268" s="986"/>
      <c r="J268" s="523"/>
      <c r="K268" s="994"/>
      <c r="L268" s="995"/>
      <c r="M268" s="704"/>
      <c r="N268" s="704"/>
      <c r="O268" s="704"/>
      <c r="P268" s="957"/>
      <c r="Q268" s="957"/>
      <c r="R268" s="957"/>
      <c r="S268" s="957"/>
      <c r="T268" s="957"/>
      <c r="U268" s="957"/>
      <c r="V268" s="957"/>
      <c r="W268" s="957"/>
      <c r="X268" s="957"/>
      <c r="Y268" s="957"/>
      <c r="Z268" s="957"/>
      <c r="AA268" s="957"/>
      <c r="AB268" s="957"/>
      <c r="AC268" s="957"/>
      <c r="AD268" s="957"/>
    </row>
    <row r="269" ht="15.75" customHeight="1">
      <c r="A269" s="518"/>
      <c r="B269" s="517"/>
      <c r="C269" s="518"/>
      <c r="D269" s="992"/>
      <c r="E269" s="989"/>
      <c r="F269" s="989"/>
      <c r="G269" s="993"/>
      <c r="H269" s="993"/>
      <c r="I269" s="986"/>
      <c r="J269" s="523"/>
      <c r="K269" s="994"/>
      <c r="L269" s="995"/>
      <c r="M269" s="704"/>
      <c r="N269" s="704"/>
      <c r="O269" s="704"/>
      <c r="P269" s="957"/>
      <c r="Q269" s="957"/>
      <c r="R269" s="957"/>
      <c r="S269" s="957"/>
      <c r="T269" s="957"/>
      <c r="U269" s="957"/>
      <c r="V269" s="957"/>
      <c r="W269" s="957"/>
      <c r="X269" s="957"/>
      <c r="Y269" s="957"/>
      <c r="Z269" s="957"/>
      <c r="AA269" s="957"/>
      <c r="AB269" s="957"/>
      <c r="AC269" s="957"/>
      <c r="AD269" s="957"/>
    </row>
    <row r="270" ht="15.75" customHeight="1">
      <c r="A270" s="518"/>
      <c r="B270" s="517"/>
      <c r="C270" s="518"/>
      <c r="D270" s="992"/>
      <c r="E270" s="989"/>
      <c r="F270" s="989"/>
      <c r="G270" s="993"/>
      <c r="H270" s="993"/>
      <c r="I270" s="986"/>
      <c r="J270" s="523"/>
      <c r="K270" s="994"/>
      <c r="L270" s="995"/>
      <c r="M270" s="704"/>
      <c r="N270" s="704"/>
      <c r="O270" s="704"/>
      <c r="P270" s="957"/>
      <c r="Q270" s="957"/>
      <c r="R270" s="957"/>
      <c r="S270" s="957"/>
      <c r="T270" s="957"/>
      <c r="U270" s="957"/>
      <c r="V270" s="957"/>
      <c r="W270" s="957"/>
      <c r="X270" s="957"/>
      <c r="Y270" s="957"/>
      <c r="Z270" s="957"/>
      <c r="AA270" s="957"/>
      <c r="AB270" s="957"/>
      <c r="AC270" s="957"/>
      <c r="AD270" s="957"/>
    </row>
    <row r="271" ht="15.75" customHeight="1">
      <c r="A271" s="518"/>
      <c r="B271" s="517"/>
      <c r="C271" s="518"/>
      <c r="D271" s="992"/>
      <c r="E271" s="989"/>
      <c r="F271" s="989"/>
      <c r="G271" s="993"/>
      <c r="H271" s="993"/>
      <c r="I271" s="986"/>
      <c r="J271" s="523"/>
      <c r="K271" s="994"/>
      <c r="L271" s="995"/>
      <c r="M271" s="704"/>
      <c r="N271" s="704"/>
      <c r="O271" s="704"/>
      <c r="P271" s="957"/>
      <c r="Q271" s="957"/>
      <c r="R271" s="957"/>
      <c r="S271" s="957"/>
      <c r="T271" s="957"/>
      <c r="U271" s="957"/>
      <c r="V271" s="957"/>
      <c r="W271" s="957"/>
      <c r="X271" s="957"/>
      <c r="Y271" s="957"/>
      <c r="Z271" s="957"/>
      <c r="AA271" s="957"/>
      <c r="AB271" s="957"/>
      <c r="AC271" s="957"/>
      <c r="AD271" s="957"/>
    </row>
    <row r="272" ht="15.75" customHeight="1">
      <c r="A272" s="518"/>
      <c r="B272" s="517"/>
      <c r="C272" s="518"/>
      <c r="D272" s="992"/>
      <c r="E272" s="989"/>
      <c r="F272" s="989"/>
      <c r="G272" s="993"/>
      <c r="H272" s="993"/>
      <c r="I272" s="986"/>
      <c r="J272" s="523"/>
      <c r="K272" s="994"/>
      <c r="L272" s="995"/>
      <c r="M272" s="704"/>
      <c r="N272" s="704"/>
      <c r="O272" s="704"/>
      <c r="P272" s="957"/>
      <c r="Q272" s="957"/>
      <c r="R272" s="957"/>
      <c r="S272" s="957"/>
      <c r="T272" s="957"/>
      <c r="U272" s="957"/>
      <c r="V272" s="957"/>
      <c r="W272" s="957"/>
      <c r="X272" s="957"/>
      <c r="Y272" s="957"/>
      <c r="Z272" s="957"/>
      <c r="AA272" s="957"/>
      <c r="AB272" s="957"/>
      <c r="AC272" s="957"/>
      <c r="AD272" s="957"/>
    </row>
    <row r="273" ht="15.75" customHeight="1">
      <c r="A273" s="518"/>
      <c r="B273" s="517"/>
      <c r="C273" s="518"/>
      <c r="D273" s="992"/>
      <c r="E273" s="989"/>
      <c r="F273" s="989"/>
      <c r="G273" s="993"/>
      <c r="H273" s="993"/>
      <c r="I273" s="986"/>
      <c r="J273" s="523"/>
      <c r="K273" s="994"/>
      <c r="L273" s="995"/>
      <c r="M273" s="704"/>
      <c r="N273" s="704"/>
      <c r="O273" s="704"/>
      <c r="P273" s="957"/>
      <c r="Q273" s="957"/>
      <c r="R273" s="957"/>
      <c r="S273" s="957"/>
      <c r="T273" s="957"/>
      <c r="U273" s="957"/>
      <c r="V273" s="957"/>
      <c r="W273" s="957"/>
      <c r="X273" s="957"/>
      <c r="Y273" s="957"/>
      <c r="Z273" s="957"/>
      <c r="AA273" s="957"/>
      <c r="AB273" s="957"/>
      <c r="AC273" s="957"/>
      <c r="AD273" s="957"/>
    </row>
    <row r="274" ht="15.75" customHeight="1">
      <c r="A274" s="518"/>
      <c r="B274" s="517"/>
      <c r="C274" s="518"/>
      <c r="D274" s="992"/>
      <c r="E274" s="989"/>
      <c r="F274" s="989"/>
      <c r="G274" s="993"/>
      <c r="H274" s="993"/>
      <c r="I274" s="986"/>
      <c r="J274" s="523"/>
      <c r="K274" s="994"/>
      <c r="L274" s="995"/>
      <c r="M274" s="704"/>
      <c r="N274" s="704"/>
      <c r="O274" s="704"/>
      <c r="P274" s="957"/>
      <c r="Q274" s="957"/>
      <c r="R274" s="957"/>
      <c r="S274" s="957"/>
      <c r="T274" s="957"/>
      <c r="U274" s="957"/>
      <c r="V274" s="957"/>
      <c r="W274" s="957"/>
      <c r="X274" s="957"/>
      <c r="Y274" s="957"/>
      <c r="Z274" s="957"/>
      <c r="AA274" s="957"/>
      <c r="AB274" s="957"/>
      <c r="AC274" s="957"/>
      <c r="AD274" s="957"/>
    </row>
    <row r="275" ht="15.75" customHeight="1">
      <c r="A275" s="518"/>
      <c r="B275" s="517"/>
      <c r="C275" s="518"/>
      <c r="D275" s="992"/>
      <c r="E275" s="989"/>
      <c r="F275" s="989"/>
      <c r="G275" s="993"/>
      <c r="H275" s="993"/>
      <c r="I275" s="986"/>
      <c r="J275" s="523"/>
      <c r="K275" s="994"/>
      <c r="L275" s="995"/>
      <c r="M275" s="704"/>
      <c r="N275" s="704"/>
      <c r="O275" s="704"/>
      <c r="P275" s="957"/>
      <c r="Q275" s="957"/>
      <c r="R275" s="957"/>
      <c r="S275" s="957"/>
      <c r="T275" s="957"/>
      <c r="U275" s="957"/>
      <c r="V275" s="957"/>
      <c r="W275" s="957"/>
      <c r="X275" s="957"/>
      <c r="Y275" s="957"/>
      <c r="Z275" s="957"/>
      <c r="AA275" s="957"/>
      <c r="AB275" s="957"/>
      <c r="AC275" s="957"/>
      <c r="AD275" s="957"/>
    </row>
    <row r="276" ht="15.75" customHeight="1">
      <c r="A276" s="518"/>
      <c r="B276" s="517"/>
      <c r="C276" s="518"/>
      <c r="D276" s="992"/>
      <c r="E276" s="989"/>
      <c r="F276" s="989"/>
      <c r="G276" s="993"/>
      <c r="H276" s="993"/>
      <c r="I276" s="986"/>
      <c r="J276" s="523"/>
      <c r="K276" s="994"/>
      <c r="L276" s="995"/>
      <c r="M276" s="704"/>
      <c r="N276" s="704"/>
      <c r="O276" s="704"/>
      <c r="P276" s="957"/>
      <c r="Q276" s="957"/>
      <c r="R276" s="957"/>
      <c r="S276" s="957"/>
      <c r="T276" s="957"/>
      <c r="U276" s="957"/>
      <c r="V276" s="957"/>
      <c r="W276" s="957"/>
      <c r="X276" s="957"/>
      <c r="Y276" s="957"/>
      <c r="Z276" s="957"/>
      <c r="AA276" s="957"/>
      <c r="AB276" s="957"/>
      <c r="AC276" s="957"/>
      <c r="AD276" s="957"/>
    </row>
    <row r="277" ht="15.75" customHeight="1">
      <c r="A277" s="518"/>
      <c r="B277" s="517"/>
      <c r="C277" s="518"/>
      <c r="D277" s="992"/>
      <c r="E277" s="989"/>
      <c r="F277" s="989"/>
      <c r="G277" s="993"/>
      <c r="H277" s="993"/>
      <c r="I277" s="986"/>
      <c r="J277" s="523"/>
      <c r="K277" s="994"/>
      <c r="L277" s="995"/>
      <c r="M277" s="704"/>
      <c r="N277" s="704"/>
      <c r="O277" s="704"/>
      <c r="P277" s="957"/>
      <c r="Q277" s="957"/>
      <c r="R277" s="957"/>
      <c r="S277" s="957"/>
      <c r="T277" s="957"/>
      <c r="U277" s="957"/>
      <c r="V277" s="957"/>
      <c r="W277" s="957"/>
      <c r="X277" s="957"/>
      <c r="Y277" s="957"/>
      <c r="Z277" s="957"/>
      <c r="AA277" s="957"/>
      <c r="AB277" s="957"/>
      <c r="AC277" s="957"/>
      <c r="AD277" s="957"/>
    </row>
    <row r="278" ht="15.75" customHeight="1">
      <c r="A278" s="518"/>
      <c r="B278" s="517"/>
      <c r="C278" s="518"/>
      <c r="D278" s="992"/>
      <c r="E278" s="989"/>
      <c r="F278" s="989"/>
      <c r="G278" s="993"/>
      <c r="H278" s="993"/>
      <c r="I278" s="986"/>
      <c r="J278" s="523"/>
      <c r="K278" s="994"/>
      <c r="L278" s="995"/>
      <c r="M278" s="704"/>
      <c r="N278" s="704"/>
      <c r="O278" s="704"/>
      <c r="P278" s="957"/>
      <c r="Q278" s="957"/>
      <c r="R278" s="957"/>
      <c r="S278" s="957"/>
      <c r="T278" s="957"/>
      <c r="U278" s="957"/>
      <c r="V278" s="957"/>
      <c r="W278" s="957"/>
      <c r="X278" s="957"/>
      <c r="Y278" s="957"/>
      <c r="Z278" s="957"/>
      <c r="AA278" s="957"/>
      <c r="AB278" s="957"/>
      <c r="AC278" s="957"/>
      <c r="AD278" s="957"/>
    </row>
    <row r="279" ht="15.75" customHeight="1">
      <c r="A279" s="518"/>
      <c r="B279" s="517"/>
      <c r="C279" s="518"/>
      <c r="D279" s="992"/>
      <c r="E279" s="989"/>
      <c r="F279" s="989"/>
      <c r="G279" s="993"/>
      <c r="H279" s="993"/>
      <c r="I279" s="986"/>
      <c r="J279" s="523"/>
      <c r="K279" s="994"/>
      <c r="L279" s="995"/>
      <c r="M279" s="704"/>
      <c r="N279" s="704"/>
      <c r="O279" s="704"/>
      <c r="P279" s="957"/>
      <c r="Q279" s="957"/>
      <c r="R279" s="957"/>
      <c r="S279" s="957"/>
      <c r="T279" s="957"/>
      <c r="U279" s="957"/>
      <c r="V279" s="957"/>
      <c r="W279" s="957"/>
      <c r="X279" s="957"/>
      <c r="Y279" s="957"/>
      <c r="Z279" s="957"/>
      <c r="AA279" s="957"/>
      <c r="AB279" s="957"/>
      <c r="AC279" s="957"/>
      <c r="AD279" s="957"/>
    </row>
    <row r="280" ht="15.75" customHeight="1">
      <c r="A280" s="518"/>
      <c r="B280" s="517"/>
      <c r="C280" s="518"/>
      <c r="D280" s="992"/>
      <c r="E280" s="989"/>
      <c r="F280" s="989"/>
      <c r="G280" s="993"/>
      <c r="H280" s="993"/>
      <c r="I280" s="986"/>
      <c r="J280" s="523"/>
      <c r="K280" s="994"/>
      <c r="L280" s="995"/>
      <c r="M280" s="704"/>
      <c r="N280" s="704"/>
      <c r="O280" s="704"/>
      <c r="P280" s="957"/>
      <c r="Q280" s="957"/>
      <c r="R280" s="957"/>
      <c r="S280" s="957"/>
      <c r="T280" s="957"/>
      <c r="U280" s="957"/>
      <c r="V280" s="957"/>
      <c r="W280" s="957"/>
      <c r="X280" s="957"/>
      <c r="Y280" s="957"/>
      <c r="Z280" s="957"/>
      <c r="AA280" s="957"/>
      <c r="AB280" s="957"/>
      <c r="AC280" s="957"/>
      <c r="AD280" s="957"/>
    </row>
    <row r="281" ht="15.75" customHeight="1">
      <c r="A281" s="518"/>
      <c r="B281" s="517"/>
      <c r="C281" s="518"/>
      <c r="D281" s="992"/>
      <c r="E281" s="989"/>
      <c r="F281" s="989"/>
      <c r="G281" s="993"/>
      <c r="H281" s="993"/>
      <c r="I281" s="986"/>
      <c r="J281" s="523"/>
      <c r="K281" s="994"/>
      <c r="L281" s="995"/>
      <c r="M281" s="704"/>
      <c r="N281" s="704"/>
      <c r="O281" s="704"/>
      <c r="P281" s="957"/>
      <c r="Q281" s="957"/>
      <c r="R281" s="957"/>
      <c r="S281" s="957"/>
      <c r="T281" s="957"/>
      <c r="U281" s="957"/>
      <c r="V281" s="957"/>
      <c r="W281" s="957"/>
      <c r="X281" s="957"/>
      <c r="Y281" s="957"/>
      <c r="Z281" s="957"/>
      <c r="AA281" s="957"/>
      <c r="AB281" s="957"/>
      <c r="AC281" s="957"/>
      <c r="AD281" s="957"/>
    </row>
    <row r="282" ht="15.75" customHeight="1">
      <c r="A282" s="518"/>
      <c r="B282" s="517"/>
      <c r="C282" s="518"/>
      <c r="D282" s="992"/>
      <c r="E282" s="989"/>
      <c r="F282" s="989"/>
      <c r="G282" s="993"/>
      <c r="H282" s="993"/>
      <c r="I282" s="986"/>
      <c r="J282" s="523"/>
      <c r="K282" s="994"/>
      <c r="L282" s="995"/>
      <c r="M282" s="704"/>
      <c r="N282" s="704"/>
      <c r="O282" s="704"/>
      <c r="P282" s="957"/>
      <c r="Q282" s="957"/>
      <c r="R282" s="957"/>
      <c r="S282" s="957"/>
      <c r="T282" s="957"/>
      <c r="U282" s="957"/>
      <c r="V282" s="957"/>
      <c r="W282" s="957"/>
      <c r="X282" s="957"/>
      <c r="Y282" s="957"/>
      <c r="Z282" s="957"/>
      <c r="AA282" s="957"/>
      <c r="AB282" s="957"/>
      <c r="AC282" s="957"/>
      <c r="AD282" s="957"/>
    </row>
    <row r="283" ht="15.75" customHeight="1">
      <c r="A283" s="518"/>
      <c r="B283" s="517"/>
      <c r="C283" s="518"/>
      <c r="D283" s="992"/>
      <c r="E283" s="989"/>
      <c r="F283" s="989"/>
      <c r="G283" s="993"/>
      <c r="H283" s="993"/>
      <c r="I283" s="986"/>
      <c r="J283" s="523"/>
      <c r="K283" s="994"/>
      <c r="L283" s="995"/>
      <c r="M283" s="704"/>
      <c r="N283" s="704"/>
      <c r="O283" s="704"/>
      <c r="P283" s="957"/>
      <c r="Q283" s="957"/>
      <c r="R283" s="957"/>
      <c r="S283" s="957"/>
      <c r="T283" s="957"/>
      <c r="U283" s="957"/>
      <c r="V283" s="957"/>
      <c r="W283" s="957"/>
      <c r="X283" s="957"/>
      <c r="Y283" s="957"/>
      <c r="Z283" s="957"/>
      <c r="AA283" s="957"/>
      <c r="AB283" s="957"/>
      <c r="AC283" s="957"/>
      <c r="AD283" s="957"/>
    </row>
    <row r="284" ht="15.75" customHeight="1">
      <c r="A284" s="518"/>
      <c r="B284" s="517"/>
      <c r="C284" s="518"/>
      <c r="D284" s="992"/>
      <c r="E284" s="989"/>
      <c r="F284" s="989"/>
      <c r="G284" s="993"/>
      <c r="H284" s="993"/>
      <c r="I284" s="986"/>
      <c r="J284" s="523"/>
      <c r="K284" s="994"/>
      <c r="L284" s="995"/>
      <c r="M284" s="704"/>
      <c r="N284" s="704"/>
      <c r="O284" s="704"/>
      <c r="P284" s="957"/>
      <c r="Q284" s="957"/>
      <c r="R284" s="957"/>
      <c r="S284" s="957"/>
      <c r="T284" s="957"/>
      <c r="U284" s="957"/>
      <c r="V284" s="957"/>
      <c r="W284" s="957"/>
      <c r="X284" s="957"/>
      <c r="Y284" s="957"/>
      <c r="Z284" s="957"/>
      <c r="AA284" s="957"/>
      <c r="AB284" s="957"/>
      <c r="AC284" s="957"/>
      <c r="AD284" s="957"/>
    </row>
    <row r="285" ht="15.75" customHeight="1">
      <c r="A285" s="518"/>
      <c r="B285" s="517"/>
      <c r="C285" s="518"/>
      <c r="D285" s="992"/>
      <c r="E285" s="989"/>
      <c r="F285" s="989"/>
      <c r="G285" s="993"/>
      <c r="H285" s="993"/>
      <c r="I285" s="986"/>
      <c r="J285" s="523"/>
      <c r="K285" s="994"/>
      <c r="L285" s="995"/>
      <c r="M285" s="704"/>
      <c r="N285" s="704"/>
      <c r="O285" s="704"/>
      <c r="P285" s="957"/>
      <c r="Q285" s="957"/>
      <c r="R285" s="957"/>
      <c r="S285" s="957"/>
      <c r="T285" s="957"/>
      <c r="U285" s="957"/>
      <c r="V285" s="957"/>
      <c r="W285" s="957"/>
      <c r="X285" s="957"/>
      <c r="Y285" s="957"/>
      <c r="Z285" s="957"/>
      <c r="AA285" s="957"/>
      <c r="AB285" s="957"/>
      <c r="AC285" s="957"/>
      <c r="AD285" s="957"/>
    </row>
    <row r="286" ht="15.75" customHeight="1">
      <c r="A286" s="518"/>
      <c r="B286" s="517"/>
      <c r="C286" s="518"/>
      <c r="D286" s="992"/>
      <c r="E286" s="989"/>
      <c r="F286" s="989"/>
      <c r="G286" s="993"/>
      <c r="H286" s="993"/>
      <c r="I286" s="986"/>
      <c r="J286" s="523"/>
      <c r="K286" s="994"/>
      <c r="L286" s="995"/>
      <c r="M286" s="704"/>
      <c r="N286" s="704"/>
      <c r="O286" s="704"/>
      <c r="P286" s="957"/>
      <c r="Q286" s="957"/>
      <c r="R286" s="957"/>
      <c r="S286" s="957"/>
      <c r="T286" s="957"/>
      <c r="U286" s="957"/>
      <c r="V286" s="957"/>
      <c r="W286" s="957"/>
      <c r="X286" s="957"/>
      <c r="Y286" s="957"/>
      <c r="Z286" s="957"/>
      <c r="AA286" s="957"/>
      <c r="AB286" s="957"/>
      <c r="AC286" s="957"/>
      <c r="AD286" s="957"/>
    </row>
    <row r="287" ht="15.75" customHeight="1">
      <c r="A287" s="518"/>
      <c r="B287" s="517"/>
      <c r="C287" s="518"/>
      <c r="D287" s="992"/>
      <c r="E287" s="989"/>
      <c r="F287" s="989"/>
      <c r="G287" s="993"/>
      <c r="H287" s="993"/>
      <c r="I287" s="986"/>
      <c r="J287" s="523"/>
      <c r="K287" s="994"/>
      <c r="L287" s="995"/>
      <c r="M287" s="704"/>
      <c r="N287" s="704"/>
      <c r="O287" s="704"/>
      <c r="P287" s="957"/>
      <c r="Q287" s="957"/>
      <c r="R287" s="957"/>
      <c r="S287" s="957"/>
      <c r="T287" s="957"/>
      <c r="U287" s="957"/>
      <c r="V287" s="957"/>
      <c r="W287" s="957"/>
      <c r="X287" s="957"/>
      <c r="Y287" s="957"/>
      <c r="Z287" s="957"/>
      <c r="AA287" s="957"/>
      <c r="AB287" s="957"/>
      <c r="AC287" s="957"/>
      <c r="AD287" s="957"/>
    </row>
    <row r="288" ht="15.75" customHeight="1">
      <c r="A288" s="518"/>
      <c r="B288" s="517"/>
      <c r="C288" s="518"/>
      <c r="D288" s="992"/>
      <c r="E288" s="989"/>
      <c r="F288" s="989"/>
      <c r="G288" s="993"/>
      <c r="H288" s="993"/>
      <c r="I288" s="986"/>
      <c r="J288" s="523"/>
      <c r="K288" s="994"/>
      <c r="L288" s="995"/>
      <c r="M288" s="704"/>
      <c r="N288" s="704"/>
      <c r="O288" s="704"/>
      <c r="P288" s="957"/>
      <c r="Q288" s="957"/>
      <c r="R288" s="957"/>
      <c r="S288" s="957"/>
      <c r="T288" s="957"/>
      <c r="U288" s="957"/>
      <c r="V288" s="957"/>
      <c r="W288" s="957"/>
      <c r="X288" s="957"/>
      <c r="Y288" s="957"/>
      <c r="Z288" s="957"/>
      <c r="AA288" s="957"/>
      <c r="AB288" s="957"/>
      <c r="AC288" s="957"/>
      <c r="AD288" s="957"/>
    </row>
    <row r="289" ht="15.75" customHeight="1">
      <c r="A289" s="518"/>
      <c r="B289" s="517"/>
      <c r="C289" s="518"/>
      <c r="D289" s="992"/>
      <c r="E289" s="989"/>
      <c r="F289" s="989"/>
      <c r="G289" s="993"/>
      <c r="H289" s="993"/>
      <c r="I289" s="986"/>
      <c r="J289" s="523"/>
      <c r="K289" s="994"/>
      <c r="L289" s="995"/>
      <c r="M289" s="704"/>
      <c r="N289" s="704"/>
      <c r="O289" s="704"/>
      <c r="P289" s="957"/>
      <c r="Q289" s="957"/>
      <c r="R289" s="957"/>
      <c r="S289" s="957"/>
      <c r="T289" s="957"/>
      <c r="U289" s="957"/>
      <c r="V289" s="957"/>
      <c r="W289" s="957"/>
      <c r="X289" s="957"/>
      <c r="Y289" s="957"/>
      <c r="Z289" s="957"/>
      <c r="AA289" s="957"/>
      <c r="AB289" s="957"/>
      <c r="AC289" s="957"/>
      <c r="AD289" s="957"/>
    </row>
    <row r="290" ht="15.75" customHeight="1">
      <c r="A290" s="518"/>
      <c r="B290" s="517"/>
      <c r="C290" s="518"/>
      <c r="D290" s="992"/>
      <c r="E290" s="989"/>
      <c r="F290" s="989"/>
      <c r="G290" s="993"/>
      <c r="H290" s="993"/>
      <c r="I290" s="986"/>
      <c r="J290" s="523"/>
      <c r="K290" s="994"/>
      <c r="L290" s="995"/>
      <c r="M290" s="704"/>
      <c r="N290" s="704"/>
      <c r="O290" s="704"/>
      <c r="P290" s="957"/>
      <c r="Q290" s="957"/>
      <c r="R290" s="957"/>
      <c r="S290" s="957"/>
      <c r="T290" s="957"/>
      <c r="U290" s="957"/>
      <c r="V290" s="957"/>
      <c r="W290" s="957"/>
      <c r="X290" s="957"/>
      <c r="Y290" s="957"/>
      <c r="Z290" s="957"/>
      <c r="AA290" s="957"/>
      <c r="AB290" s="957"/>
      <c r="AC290" s="957"/>
      <c r="AD290" s="957"/>
    </row>
    <row r="291" ht="15.75" customHeight="1">
      <c r="A291" s="518"/>
      <c r="B291" s="517"/>
      <c r="C291" s="518"/>
      <c r="D291" s="992"/>
      <c r="E291" s="989"/>
      <c r="F291" s="989"/>
      <c r="G291" s="993"/>
      <c r="H291" s="993"/>
      <c r="I291" s="986"/>
      <c r="J291" s="523"/>
      <c r="K291" s="994"/>
      <c r="L291" s="995"/>
      <c r="M291" s="704"/>
      <c r="N291" s="704"/>
      <c r="O291" s="704"/>
      <c r="P291" s="957"/>
      <c r="Q291" s="957"/>
      <c r="R291" s="957"/>
      <c r="S291" s="957"/>
      <c r="T291" s="957"/>
      <c r="U291" s="957"/>
      <c r="V291" s="957"/>
      <c r="W291" s="957"/>
      <c r="X291" s="957"/>
      <c r="Y291" s="957"/>
      <c r="Z291" s="957"/>
      <c r="AA291" s="957"/>
      <c r="AB291" s="957"/>
      <c r="AC291" s="957"/>
      <c r="AD291" s="957"/>
    </row>
    <row r="292" ht="15.75" customHeight="1">
      <c r="A292" s="518"/>
      <c r="B292" s="517"/>
      <c r="C292" s="518"/>
      <c r="D292" s="992"/>
      <c r="E292" s="989"/>
      <c r="F292" s="989"/>
      <c r="G292" s="993"/>
      <c r="H292" s="993"/>
      <c r="I292" s="986"/>
      <c r="J292" s="523"/>
      <c r="K292" s="994"/>
      <c r="L292" s="995"/>
      <c r="M292" s="704"/>
      <c r="N292" s="704"/>
      <c r="O292" s="704"/>
      <c r="P292" s="957"/>
      <c r="Q292" s="957"/>
      <c r="R292" s="957"/>
      <c r="S292" s="957"/>
      <c r="T292" s="957"/>
      <c r="U292" s="957"/>
      <c r="V292" s="957"/>
      <c r="W292" s="957"/>
      <c r="X292" s="957"/>
      <c r="Y292" s="957"/>
      <c r="Z292" s="957"/>
      <c r="AA292" s="957"/>
      <c r="AB292" s="957"/>
      <c r="AC292" s="957"/>
      <c r="AD292" s="957"/>
    </row>
    <row r="293" ht="15.75" customHeight="1">
      <c r="A293" s="518"/>
      <c r="B293" s="517"/>
      <c r="C293" s="518"/>
      <c r="D293" s="992"/>
      <c r="E293" s="989"/>
      <c r="F293" s="989"/>
      <c r="G293" s="993"/>
      <c r="H293" s="993"/>
      <c r="I293" s="986"/>
      <c r="J293" s="523"/>
      <c r="K293" s="994"/>
      <c r="L293" s="995"/>
      <c r="M293" s="704"/>
      <c r="N293" s="704"/>
      <c r="O293" s="704"/>
      <c r="P293" s="957"/>
      <c r="Q293" s="957"/>
      <c r="R293" s="957"/>
      <c r="S293" s="957"/>
      <c r="T293" s="957"/>
      <c r="U293" s="957"/>
      <c r="V293" s="957"/>
      <c r="W293" s="957"/>
      <c r="X293" s="957"/>
      <c r="Y293" s="957"/>
      <c r="Z293" s="957"/>
      <c r="AA293" s="957"/>
      <c r="AB293" s="957"/>
      <c r="AC293" s="957"/>
      <c r="AD293" s="957"/>
    </row>
    <row r="294" ht="15.75" customHeight="1">
      <c r="A294" s="518"/>
      <c r="B294" s="517"/>
      <c r="C294" s="518"/>
      <c r="D294" s="992"/>
      <c r="E294" s="989"/>
      <c r="F294" s="989"/>
      <c r="G294" s="993"/>
      <c r="H294" s="993"/>
      <c r="I294" s="986"/>
      <c r="J294" s="523"/>
      <c r="K294" s="994"/>
      <c r="L294" s="995"/>
      <c r="M294" s="704"/>
      <c r="N294" s="704"/>
      <c r="O294" s="704"/>
      <c r="P294" s="957"/>
      <c r="Q294" s="957"/>
      <c r="R294" s="957"/>
      <c r="S294" s="957"/>
      <c r="T294" s="957"/>
      <c r="U294" s="957"/>
      <c r="V294" s="957"/>
      <c r="W294" s="957"/>
      <c r="X294" s="957"/>
      <c r="Y294" s="957"/>
      <c r="Z294" s="957"/>
      <c r="AA294" s="957"/>
      <c r="AB294" s="957"/>
      <c r="AC294" s="957"/>
      <c r="AD294" s="957"/>
    </row>
    <row r="295" ht="15.75" customHeight="1">
      <c r="A295" s="518"/>
      <c r="B295" s="517"/>
      <c r="C295" s="518"/>
      <c r="D295" s="992"/>
      <c r="E295" s="989"/>
      <c r="F295" s="989"/>
      <c r="G295" s="993"/>
      <c r="H295" s="993"/>
      <c r="I295" s="986"/>
      <c r="J295" s="523"/>
      <c r="K295" s="994"/>
      <c r="L295" s="995"/>
      <c r="M295" s="704"/>
      <c r="N295" s="704"/>
      <c r="O295" s="704"/>
      <c r="P295" s="957"/>
      <c r="Q295" s="957"/>
      <c r="R295" s="957"/>
      <c r="S295" s="957"/>
      <c r="T295" s="957"/>
      <c r="U295" s="957"/>
      <c r="V295" s="957"/>
      <c r="W295" s="957"/>
      <c r="X295" s="957"/>
      <c r="Y295" s="957"/>
      <c r="Z295" s="957"/>
      <c r="AA295" s="957"/>
      <c r="AB295" s="957"/>
      <c r="AC295" s="957"/>
      <c r="AD295" s="957"/>
    </row>
    <row r="296" ht="15.75" customHeight="1">
      <c r="A296" s="518"/>
      <c r="B296" s="517"/>
      <c r="C296" s="518"/>
      <c r="D296" s="992"/>
      <c r="E296" s="989"/>
      <c r="F296" s="989"/>
      <c r="G296" s="993"/>
      <c r="H296" s="993"/>
      <c r="I296" s="986"/>
      <c r="J296" s="523"/>
      <c r="K296" s="994"/>
      <c r="L296" s="995"/>
      <c r="M296" s="704"/>
      <c r="N296" s="704"/>
      <c r="O296" s="704"/>
      <c r="P296" s="957"/>
      <c r="Q296" s="957"/>
      <c r="R296" s="957"/>
      <c r="S296" s="957"/>
      <c r="T296" s="957"/>
      <c r="U296" s="957"/>
      <c r="V296" s="957"/>
      <c r="W296" s="957"/>
      <c r="X296" s="957"/>
      <c r="Y296" s="957"/>
      <c r="Z296" s="957"/>
      <c r="AA296" s="957"/>
      <c r="AB296" s="957"/>
      <c r="AC296" s="957"/>
      <c r="AD296" s="957"/>
    </row>
    <row r="297" ht="15.75" customHeight="1">
      <c r="A297" s="518"/>
      <c r="B297" s="517"/>
      <c r="C297" s="518"/>
      <c r="D297" s="992"/>
      <c r="E297" s="989"/>
      <c r="F297" s="989"/>
      <c r="G297" s="993"/>
      <c r="H297" s="993"/>
      <c r="I297" s="986"/>
      <c r="J297" s="523"/>
      <c r="K297" s="994"/>
      <c r="L297" s="995"/>
      <c r="M297" s="704"/>
      <c r="N297" s="704"/>
      <c r="O297" s="704"/>
      <c r="P297" s="957"/>
      <c r="Q297" s="957"/>
      <c r="R297" s="957"/>
      <c r="S297" s="957"/>
      <c r="T297" s="957"/>
      <c r="U297" s="957"/>
      <c r="V297" s="957"/>
      <c r="W297" s="957"/>
      <c r="X297" s="957"/>
      <c r="Y297" s="957"/>
      <c r="Z297" s="957"/>
      <c r="AA297" s="957"/>
      <c r="AB297" s="957"/>
      <c r="AC297" s="957"/>
      <c r="AD297" s="957"/>
    </row>
    <row r="298" ht="15.75" customHeight="1">
      <c r="A298" s="518"/>
      <c r="B298" s="517"/>
      <c r="C298" s="518"/>
      <c r="D298" s="992"/>
      <c r="E298" s="989"/>
      <c r="F298" s="989"/>
      <c r="G298" s="993"/>
      <c r="H298" s="993"/>
      <c r="I298" s="986"/>
      <c r="J298" s="523"/>
      <c r="K298" s="994"/>
      <c r="L298" s="995"/>
      <c r="M298" s="704"/>
      <c r="N298" s="704"/>
      <c r="O298" s="704"/>
      <c r="P298" s="957"/>
      <c r="Q298" s="957"/>
      <c r="R298" s="957"/>
      <c r="S298" s="957"/>
      <c r="T298" s="957"/>
      <c r="U298" s="957"/>
      <c r="V298" s="957"/>
      <c r="W298" s="957"/>
      <c r="X298" s="957"/>
      <c r="Y298" s="957"/>
      <c r="Z298" s="957"/>
      <c r="AA298" s="957"/>
      <c r="AB298" s="957"/>
      <c r="AC298" s="957"/>
      <c r="AD298" s="957"/>
    </row>
    <row r="299" ht="15.75" customHeight="1">
      <c r="A299" s="518"/>
      <c r="B299" s="517"/>
      <c r="C299" s="518"/>
      <c r="D299" s="992"/>
      <c r="E299" s="989"/>
      <c r="F299" s="989"/>
      <c r="G299" s="993"/>
      <c r="H299" s="993"/>
      <c r="I299" s="986"/>
      <c r="J299" s="523"/>
      <c r="K299" s="994"/>
      <c r="L299" s="995"/>
      <c r="M299" s="704"/>
      <c r="N299" s="704"/>
      <c r="O299" s="704"/>
      <c r="P299" s="957"/>
      <c r="Q299" s="957"/>
      <c r="R299" s="957"/>
      <c r="S299" s="957"/>
      <c r="T299" s="957"/>
      <c r="U299" s="957"/>
      <c r="V299" s="957"/>
      <c r="W299" s="957"/>
      <c r="X299" s="957"/>
      <c r="Y299" s="957"/>
      <c r="Z299" s="957"/>
      <c r="AA299" s="957"/>
      <c r="AB299" s="957"/>
      <c r="AC299" s="957"/>
      <c r="AD299" s="957"/>
    </row>
    <row r="300" ht="15.75" customHeight="1">
      <c r="A300" s="518"/>
      <c r="B300" s="517"/>
      <c r="C300" s="518"/>
      <c r="D300" s="992"/>
      <c r="E300" s="989"/>
      <c r="F300" s="989"/>
      <c r="G300" s="993"/>
      <c r="H300" s="993"/>
      <c r="I300" s="986"/>
      <c r="J300" s="523"/>
      <c r="K300" s="994"/>
      <c r="L300" s="995"/>
      <c r="M300" s="704"/>
      <c r="N300" s="704"/>
      <c r="O300" s="704"/>
      <c r="P300" s="957"/>
      <c r="Q300" s="957"/>
      <c r="R300" s="957"/>
      <c r="S300" s="957"/>
      <c r="T300" s="957"/>
      <c r="U300" s="957"/>
      <c r="V300" s="957"/>
      <c r="W300" s="957"/>
      <c r="X300" s="957"/>
      <c r="Y300" s="957"/>
      <c r="Z300" s="957"/>
      <c r="AA300" s="957"/>
      <c r="AB300" s="957"/>
      <c r="AC300" s="957"/>
      <c r="AD300" s="957"/>
    </row>
    <row r="301" ht="15.75" customHeight="1">
      <c r="A301" s="518"/>
      <c r="B301" s="517"/>
      <c r="C301" s="518"/>
      <c r="D301" s="992"/>
      <c r="E301" s="989"/>
      <c r="F301" s="989"/>
      <c r="G301" s="993"/>
      <c r="H301" s="993"/>
      <c r="I301" s="986"/>
      <c r="J301" s="523"/>
      <c r="K301" s="994"/>
      <c r="L301" s="995"/>
      <c r="M301" s="704"/>
      <c r="N301" s="704"/>
      <c r="O301" s="704"/>
      <c r="P301" s="957"/>
      <c r="Q301" s="957"/>
      <c r="R301" s="957"/>
      <c r="S301" s="957"/>
      <c r="T301" s="957"/>
      <c r="U301" s="957"/>
      <c r="V301" s="957"/>
      <c r="W301" s="957"/>
      <c r="X301" s="957"/>
      <c r="Y301" s="957"/>
      <c r="Z301" s="957"/>
      <c r="AA301" s="957"/>
      <c r="AB301" s="957"/>
      <c r="AC301" s="957"/>
      <c r="AD301" s="957"/>
    </row>
    <row r="302" ht="15.75" customHeight="1">
      <c r="A302" s="518"/>
      <c r="B302" s="517"/>
      <c r="C302" s="518"/>
      <c r="D302" s="992"/>
      <c r="E302" s="989"/>
      <c r="F302" s="989"/>
      <c r="G302" s="993"/>
      <c r="H302" s="993"/>
      <c r="I302" s="986"/>
      <c r="J302" s="523"/>
      <c r="K302" s="994"/>
      <c r="L302" s="995"/>
      <c r="M302" s="704"/>
      <c r="N302" s="704"/>
      <c r="O302" s="704"/>
      <c r="P302" s="957"/>
      <c r="Q302" s="957"/>
      <c r="R302" s="957"/>
      <c r="S302" s="957"/>
      <c r="T302" s="957"/>
      <c r="U302" s="957"/>
      <c r="V302" s="957"/>
      <c r="W302" s="957"/>
      <c r="X302" s="957"/>
      <c r="Y302" s="957"/>
      <c r="Z302" s="957"/>
      <c r="AA302" s="957"/>
      <c r="AB302" s="957"/>
      <c r="AC302" s="957"/>
      <c r="AD302" s="957"/>
    </row>
    <row r="303" ht="15.75" customHeight="1">
      <c r="A303" s="518"/>
      <c r="B303" s="517"/>
      <c r="C303" s="518"/>
      <c r="D303" s="992"/>
      <c r="E303" s="989"/>
      <c r="F303" s="989"/>
      <c r="G303" s="993"/>
      <c r="H303" s="993"/>
      <c r="I303" s="986"/>
      <c r="J303" s="523"/>
      <c r="K303" s="994"/>
      <c r="L303" s="995"/>
      <c r="M303" s="704"/>
      <c r="N303" s="704"/>
      <c r="O303" s="704"/>
      <c r="P303" s="957"/>
      <c r="Q303" s="957"/>
      <c r="R303" s="957"/>
      <c r="S303" s="957"/>
      <c r="T303" s="957"/>
      <c r="U303" s="957"/>
      <c r="V303" s="957"/>
      <c r="W303" s="957"/>
      <c r="X303" s="957"/>
      <c r="Y303" s="957"/>
      <c r="Z303" s="957"/>
      <c r="AA303" s="957"/>
      <c r="AB303" s="957"/>
      <c r="AC303" s="957"/>
      <c r="AD303" s="957"/>
    </row>
    <row r="304" ht="15.75" customHeight="1">
      <c r="A304" s="518"/>
      <c r="B304" s="517"/>
      <c r="C304" s="518"/>
      <c r="D304" s="992"/>
      <c r="E304" s="989"/>
      <c r="F304" s="989"/>
      <c r="G304" s="993"/>
      <c r="H304" s="993"/>
      <c r="I304" s="986"/>
      <c r="J304" s="523"/>
      <c r="K304" s="994"/>
      <c r="L304" s="995"/>
      <c r="M304" s="704"/>
      <c r="N304" s="704"/>
      <c r="O304" s="704"/>
      <c r="P304" s="957"/>
      <c r="Q304" s="957"/>
      <c r="R304" s="957"/>
      <c r="S304" s="957"/>
      <c r="T304" s="957"/>
      <c r="U304" s="957"/>
      <c r="V304" s="957"/>
      <c r="W304" s="957"/>
      <c r="X304" s="957"/>
      <c r="Y304" s="957"/>
      <c r="Z304" s="957"/>
      <c r="AA304" s="957"/>
      <c r="AB304" s="957"/>
      <c r="AC304" s="957"/>
      <c r="AD304" s="957"/>
    </row>
    <row r="305" ht="15.75" customHeight="1">
      <c r="A305" s="518"/>
      <c r="B305" s="517"/>
      <c r="C305" s="518"/>
      <c r="D305" s="992"/>
      <c r="E305" s="989"/>
      <c r="F305" s="989"/>
      <c r="G305" s="993"/>
      <c r="H305" s="993"/>
      <c r="I305" s="986"/>
      <c r="J305" s="523"/>
      <c r="K305" s="994"/>
      <c r="L305" s="995"/>
      <c r="M305" s="704"/>
      <c r="N305" s="704"/>
      <c r="O305" s="704"/>
      <c r="P305" s="957"/>
      <c r="Q305" s="957"/>
      <c r="R305" s="957"/>
      <c r="S305" s="957"/>
      <c r="T305" s="957"/>
      <c r="U305" s="957"/>
      <c r="V305" s="957"/>
      <c r="W305" s="957"/>
      <c r="X305" s="957"/>
      <c r="Y305" s="957"/>
      <c r="Z305" s="957"/>
      <c r="AA305" s="957"/>
      <c r="AB305" s="957"/>
      <c r="AC305" s="957"/>
      <c r="AD305" s="957"/>
    </row>
    <row r="306" ht="15.75" customHeight="1">
      <c r="A306" s="518"/>
      <c r="B306" s="517"/>
      <c r="C306" s="518"/>
      <c r="D306" s="992"/>
      <c r="E306" s="989"/>
      <c r="F306" s="989"/>
      <c r="G306" s="993"/>
      <c r="H306" s="993"/>
      <c r="I306" s="986"/>
      <c r="J306" s="523"/>
      <c r="K306" s="994"/>
      <c r="L306" s="995"/>
      <c r="M306" s="704"/>
      <c r="N306" s="704"/>
      <c r="O306" s="704"/>
      <c r="P306" s="957"/>
      <c r="Q306" s="957"/>
      <c r="R306" s="957"/>
      <c r="S306" s="957"/>
      <c r="T306" s="957"/>
      <c r="U306" s="957"/>
      <c r="V306" s="957"/>
      <c r="W306" s="957"/>
      <c r="X306" s="957"/>
      <c r="Y306" s="957"/>
      <c r="Z306" s="957"/>
      <c r="AA306" s="957"/>
      <c r="AB306" s="957"/>
      <c r="AC306" s="957"/>
      <c r="AD306" s="957"/>
    </row>
    <row r="307" ht="15.75" customHeight="1">
      <c r="A307" s="518"/>
      <c r="B307" s="517"/>
      <c r="C307" s="518"/>
      <c r="D307" s="992"/>
      <c r="E307" s="989"/>
      <c r="F307" s="989"/>
      <c r="G307" s="993"/>
      <c r="H307" s="993"/>
      <c r="I307" s="986"/>
      <c r="J307" s="523"/>
      <c r="K307" s="994"/>
      <c r="L307" s="995"/>
      <c r="M307" s="704"/>
      <c r="N307" s="704"/>
      <c r="O307" s="704"/>
      <c r="P307" s="957"/>
      <c r="Q307" s="957"/>
      <c r="R307" s="957"/>
      <c r="S307" s="957"/>
      <c r="T307" s="957"/>
      <c r="U307" s="957"/>
      <c r="V307" s="957"/>
      <c r="W307" s="957"/>
      <c r="X307" s="957"/>
      <c r="Y307" s="957"/>
      <c r="Z307" s="957"/>
      <c r="AA307" s="957"/>
      <c r="AB307" s="957"/>
      <c r="AC307" s="957"/>
      <c r="AD307" s="957"/>
    </row>
    <row r="308" ht="15.75" customHeight="1">
      <c r="A308" s="518"/>
      <c r="B308" s="517"/>
      <c r="C308" s="518"/>
      <c r="D308" s="992"/>
      <c r="E308" s="989"/>
      <c r="F308" s="989"/>
      <c r="G308" s="993"/>
      <c r="H308" s="993"/>
      <c r="I308" s="986"/>
      <c r="J308" s="523"/>
      <c r="K308" s="994"/>
      <c r="L308" s="995"/>
      <c r="M308" s="704"/>
      <c r="N308" s="704"/>
      <c r="O308" s="704"/>
      <c r="P308" s="957"/>
      <c r="Q308" s="957"/>
      <c r="R308" s="957"/>
      <c r="S308" s="957"/>
      <c r="T308" s="957"/>
      <c r="U308" s="957"/>
      <c r="V308" s="957"/>
      <c r="W308" s="957"/>
      <c r="X308" s="957"/>
      <c r="Y308" s="957"/>
      <c r="Z308" s="957"/>
      <c r="AA308" s="957"/>
      <c r="AB308" s="957"/>
      <c r="AC308" s="957"/>
      <c r="AD308" s="957"/>
    </row>
    <row r="309" ht="15.75" customHeight="1">
      <c r="A309" s="518"/>
      <c r="B309" s="517"/>
      <c r="C309" s="518"/>
      <c r="D309" s="992"/>
      <c r="E309" s="989"/>
      <c r="F309" s="989"/>
      <c r="G309" s="993"/>
      <c r="H309" s="993"/>
      <c r="I309" s="986"/>
      <c r="J309" s="523"/>
      <c r="K309" s="994"/>
      <c r="L309" s="995"/>
      <c r="M309" s="704"/>
      <c r="N309" s="704"/>
      <c r="O309" s="704"/>
      <c r="P309" s="957"/>
      <c r="Q309" s="957"/>
      <c r="R309" s="957"/>
      <c r="S309" s="957"/>
      <c r="T309" s="957"/>
      <c r="U309" s="957"/>
      <c r="V309" s="957"/>
      <c r="W309" s="957"/>
      <c r="X309" s="957"/>
      <c r="Y309" s="957"/>
      <c r="Z309" s="957"/>
      <c r="AA309" s="957"/>
      <c r="AB309" s="957"/>
      <c r="AC309" s="957"/>
      <c r="AD309" s="957"/>
    </row>
    <row r="310" ht="15.75" customHeight="1">
      <c r="A310" s="518"/>
      <c r="B310" s="517"/>
      <c r="C310" s="518"/>
      <c r="D310" s="992"/>
      <c r="E310" s="989"/>
      <c r="F310" s="989"/>
      <c r="G310" s="993"/>
      <c r="H310" s="993"/>
      <c r="I310" s="986"/>
      <c r="J310" s="523"/>
      <c r="K310" s="994"/>
      <c r="L310" s="995"/>
      <c r="M310" s="704"/>
      <c r="N310" s="704"/>
      <c r="O310" s="704"/>
      <c r="P310" s="957"/>
      <c r="Q310" s="957"/>
      <c r="R310" s="957"/>
      <c r="S310" s="957"/>
      <c r="T310" s="957"/>
      <c r="U310" s="957"/>
      <c r="V310" s="957"/>
      <c r="W310" s="957"/>
      <c r="X310" s="957"/>
      <c r="Y310" s="957"/>
      <c r="Z310" s="957"/>
      <c r="AA310" s="957"/>
      <c r="AB310" s="957"/>
      <c r="AC310" s="957"/>
      <c r="AD310" s="957"/>
    </row>
    <row r="311" ht="15.75" customHeight="1">
      <c r="A311" s="518"/>
      <c r="B311" s="517"/>
      <c r="C311" s="518"/>
      <c r="D311" s="992"/>
      <c r="E311" s="989"/>
      <c r="F311" s="989"/>
      <c r="G311" s="993"/>
      <c r="H311" s="993"/>
      <c r="I311" s="986"/>
      <c r="J311" s="523"/>
      <c r="K311" s="994"/>
      <c r="L311" s="995"/>
      <c r="M311" s="704"/>
      <c r="N311" s="704"/>
      <c r="O311" s="704"/>
      <c r="P311" s="957"/>
      <c r="Q311" s="957"/>
      <c r="R311" s="957"/>
      <c r="S311" s="957"/>
      <c r="T311" s="957"/>
      <c r="U311" s="957"/>
      <c r="V311" s="957"/>
      <c r="W311" s="957"/>
      <c r="X311" s="957"/>
      <c r="Y311" s="957"/>
      <c r="Z311" s="957"/>
      <c r="AA311" s="957"/>
      <c r="AB311" s="957"/>
      <c r="AC311" s="957"/>
      <c r="AD311" s="957"/>
    </row>
    <row r="312" ht="15.75" customHeight="1">
      <c r="A312" s="518"/>
      <c r="B312" s="517"/>
      <c r="C312" s="518"/>
      <c r="D312" s="992"/>
      <c r="E312" s="989"/>
      <c r="F312" s="989"/>
      <c r="G312" s="993"/>
      <c r="H312" s="993"/>
      <c r="I312" s="986"/>
      <c r="J312" s="523"/>
      <c r="K312" s="994"/>
      <c r="L312" s="995"/>
      <c r="M312" s="704"/>
      <c r="N312" s="704"/>
      <c r="O312" s="704"/>
      <c r="P312" s="957"/>
      <c r="Q312" s="957"/>
      <c r="R312" s="957"/>
      <c r="S312" s="957"/>
      <c r="T312" s="957"/>
      <c r="U312" s="957"/>
      <c r="V312" s="957"/>
      <c r="W312" s="957"/>
      <c r="X312" s="957"/>
      <c r="Y312" s="957"/>
      <c r="Z312" s="957"/>
      <c r="AA312" s="957"/>
      <c r="AB312" s="957"/>
      <c r="AC312" s="957"/>
      <c r="AD312" s="957"/>
    </row>
    <row r="313" ht="15.75" customHeight="1">
      <c r="A313" s="518"/>
      <c r="B313" s="517"/>
      <c r="C313" s="518"/>
      <c r="D313" s="992"/>
      <c r="E313" s="989"/>
      <c r="F313" s="989"/>
      <c r="G313" s="993"/>
      <c r="H313" s="993"/>
      <c r="I313" s="986"/>
      <c r="J313" s="523"/>
      <c r="K313" s="994"/>
      <c r="L313" s="995"/>
      <c r="M313" s="704"/>
      <c r="N313" s="704"/>
      <c r="O313" s="704"/>
      <c r="P313" s="957"/>
      <c r="Q313" s="957"/>
      <c r="R313" s="957"/>
      <c r="S313" s="957"/>
      <c r="T313" s="957"/>
      <c r="U313" s="957"/>
      <c r="V313" s="957"/>
      <c r="W313" s="957"/>
      <c r="X313" s="957"/>
      <c r="Y313" s="957"/>
      <c r="Z313" s="957"/>
      <c r="AA313" s="957"/>
      <c r="AB313" s="957"/>
      <c r="AC313" s="957"/>
      <c r="AD313" s="957"/>
    </row>
    <row r="314" ht="15.75" customHeight="1">
      <c r="A314" s="518"/>
      <c r="B314" s="517"/>
      <c r="C314" s="518"/>
      <c r="D314" s="992"/>
      <c r="E314" s="989"/>
      <c r="F314" s="989"/>
      <c r="G314" s="993"/>
      <c r="H314" s="993"/>
      <c r="I314" s="986"/>
      <c r="J314" s="523"/>
      <c r="K314" s="994"/>
      <c r="L314" s="995"/>
      <c r="M314" s="704"/>
      <c r="N314" s="704"/>
      <c r="O314" s="704"/>
      <c r="P314" s="957"/>
      <c r="Q314" s="957"/>
      <c r="R314" s="957"/>
      <c r="S314" s="957"/>
      <c r="T314" s="957"/>
      <c r="U314" s="957"/>
      <c r="V314" s="957"/>
      <c r="W314" s="957"/>
      <c r="X314" s="957"/>
      <c r="Y314" s="957"/>
      <c r="Z314" s="957"/>
      <c r="AA314" s="957"/>
      <c r="AB314" s="957"/>
      <c r="AC314" s="957"/>
      <c r="AD314" s="957"/>
    </row>
    <row r="315" ht="15.75" customHeight="1">
      <c r="A315" s="518"/>
      <c r="B315" s="517"/>
      <c r="C315" s="518"/>
      <c r="D315" s="992"/>
      <c r="E315" s="989"/>
      <c r="F315" s="989"/>
      <c r="G315" s="993"/>
      <c r="H315" s="993"/>
      <c r="I315" s="986"/>
      <c r="J315" s="523"/>
      <c r="K315" s="994"/>
      <c r="L315" s="995"/>
      <c r="M315" s="704"/>
      <c r="N315" s="704"/>
      <c r="O315" s="704"/>
      <c r="P315" s="957"/>
      <c r="Q315" s="957"/>
      <c r="R315" s="957"/>
      <c r="S315" s="957"/>
      <c r="T315" s="957"/>
      <c r="U315" s="957"/>
      <c r="V315" s="957"/>
      <c r="W315" s="957"/>
      <c r="X315" s="957"/>
      <c r="Y315" s="957"/>
      <c r="Z315" s="957"/>
      <c r="AA315" s="957"/>
      <c r="AB315" s="957"/>
      <c r="AC315" s="957"/>
      <c r="AD315" s="957"/>
    </row>
    <row r="316" ht="15.75" customHeight="1">
      <c r="A316" s="518"/>
      <c r="B316" s="517"/>
      <c r="C316" s="518"/>
      <c r="D316" s="992"/>
      <c r="E316" s="989"/>
      <c r="F316" s="989"/>
      <c r="G316" s="993"/>
      <c r="H316" s="993"/>
      <c r="I316" s="986"/>
      <c r="J316" s="523"/>
      <c r="K316" s="994"/>
      <c r="L316" s="995"/>
      <c r="M316" s="704"/>
      <c r="N316" s="704"/>
      <c r="O316" s="704"/>
      <c r="P316" s="957"/>
      <c r="Q316" s="957"/>
      <c r="R316" s="957"/>
      <c r="S316" s="957"/>
      <c r="T316" s="957"/>
      <c r="U316" s="957"/>
      <c r="V316" s="957"/>
      <c r="W316" s="957"/>
      <c r="X316" s="957"/>
      <c r="Y316" s="957"/>
      <c r="Z316" s="957"/>
      <c r="AA316" s="957"/>
      <c r="AB316" s="957"/>
      <c r="AC316" s="957"/>
      <c r="AD316" s="957"/>
    </row>
    <row r="317" ht="15.75" customHeight="1">
      <c r="A317" s="518"/>
      <c r="B317" s="517"/>
      <c r="C317" s="518"/>
      <c r="D317" s="992"/>
      <c r="E317" s="989"/>
      <c r="F317" s="989"/>
      <c r="G317" s="993"/>
      <c r="H317" s="993"/>
      <c r="I317" s="986"/>
      <c r="J317" s="523"/>
      <c r="K317" s="994"/>
      <c r="L317" s="995"/>
      <c r="M317" s="704"/>
      <c r="N317" s="704"/>
      <c r="O317" s="704"/>
      <c r="P317" s="957"/>
      <c r="Q317" s="957"/>
      <c r="R317" s="957"/>
      <c r="S317" s="957"/>
      <c r="T317" s="957"/>
      <c r="U317" s="957"/>
      <c r="V317" s="957"/>
      <c r="W317" s="957"/>
      <c r="X317" s="957"/>
      <c r="Y317" s="957"/>
      <c r="Z317" s="957"/>
      <c r="AA317" s="957"/>
      <c r="AB317" s="957"/>
      <c r="AC317" s="957"/>
      <c r="AD317" s="957"/>
    </row>
    <row r="318" ht="15.75" customHeight="1">
      <c r="A318" s="518"/>
      <c r="B318" s="517"/>
      <c r="C318" s="518"/>
      <c r="D318" s="992"/>
      <c r="E318" s="989"/>
      <c r="F318" s="989"/>
      <c r="G318" s="993"/>
      <c r="H318" s="993"/>
      <c r="I318" s="986"/>
      <c r="J318" s="523"/>
      <c r="K318" s="994"/>
      <c r="L318" s="995"/>
      <c r="M318" s="704"/>
      <c r="N318" s="704"/>
      <c r="O318" s="704"/>
      <c r="P318" s="957"/>
      <c r="Q318" s="957"/>
      <c r="R318" s="957"/>
      <c r="S318" s="957"/>
      <c r="T318" s="957"/>
      <c r="U318" s="957"/>
      <c r="V318" s="957"/>
      <c r="W318" s="957"/>
      <c r="X318" s="957"/>
      <c r="Y318" s="957"/>
      <c r="Z318" s="957"/>
      <c r="AA318" s="957"/>
      <c r="AB318" s="957"/>
      <c r="AC318" s="957"/>
      <c r="AD318" s="957"/>
    </row>
    <row r="319" ht="15.75" customHeight="1">
      <c r="A319" s="518"/>
      <c r="B319" s="517"/>
      <c r="C319" s="518"/>
      <c r="D319" s="992"/>
      <c r="E319" s="989"/>
      <c r="F319" s="989"/>
      <c r="G319" s="993"/>
      <c r="H319" s="993"/>
      <c r="I319" s="986"/>
      <c r="J319" s="523"/>
      <c r="K319" s="994"/>
      <c r="L319" s="995"/>
      <c r="M319" s="704"/>
      <c r="N319" s="704"/>
      <c r="O319" s="704"/>
      <c r="P319" s="957"/>
      <c r="Q319" s="957"/>
      <c r="R319" s="957"/>
      <c r="S319" s="957"/>
      <c r="T319" s="957"/>
      <c r="U319" s="957"/>
      <c r="V319" s="957"/>
      <c r="W319" s="957"/>
      <c r="X319" s="957"/>
      <c r="Y319" s="957"/>
      <c r="Z319" s="957"/>
      <c r="AA319" s="957"/>
      <c r="AB319" s="957"/>
      <c r="AC319" s="957"/>
      <c r="AD319" s="957"/>
    </row>
    <row r="320" ht="15.75" customHeight="1">
      <c r="A320" s="518"/>
      <c r="B320" s="517"/>
      <c r="C320" s="518"/>
      <c r="D320" s="992"/>
      <c r="E320" s="989"/>
      <c r="F320" s="989"/>
      <c r="G320" s="993"/>
      <c r="H320" s="993"/>
      <c r="I320" s="986"/>
      <c r="J320" s="523"/>
      <c r="K320" s="994"/>
      <c r="L320" s="995"/>
      <c r="M320" s="704"/>
      <c r="N320" s="704"/>
      <c r="O320" s="704"/>
      <c r="P320" s="957"/>
      <c r="Q320" s="957"/>
      <c r="R320" s="957"/>
      <c r="S320" s="957"/>
      <c r="T320" s="957"/>
      <c r="U320" s="957"/>
      <c r="V320" s="957"/>
      <c r="W320" s="957"/>
      <c r="X320" s="957"/>
      <c r="Y320" s="957"/>
      <c r="Z320" s="957"/>
      <c r="AA320" s="957"/>
      <c r="AB320" s="957"/>
      <c r="AC320" s="957"/>
      <c r="AD320" s="957"/>
    </row>
    <row r="321" ht="15.75" customHeight="1">
      <c r="A321" s="518"/>
      <c r="B321" s="517"/>
      <c r="C321" s="518"/>
      <c r="D321" s="992"/>
      <c r="E321" s="989"/>
      <c r="F321" s="989"/>
      <c r="G321" s="993"/>
      <c r="H321" s="993"/>
      <c r="I321" s="986"/>
      <c r="J321" s="523"/>
      <c r="K321" s="994"/>
      <c r="L321" s="995"/>
      <c r="M321" s="704"/>
      <c r="N321" s="704"/>
      <c r="O321" s="704"/>
      <c r="P321" s="957"/>
      <c r="Q321" s="957"/>
      <c r="R321" s="957"/>
      <c r="S321" s="957"/>
      <c r="T321" s="957"/>
      <c r="U321" s="957"/>
      <c r="V321" s="957"/>
      <c r="W321" s="957"/>
      <c r="X321" s="957"/>
      <c r="Y321" s="957"/>
      <c r="Z321" s="957"/>
      <c r="AA321" s="957"/>
      <c r="AB321" s="957"/>
      <c r="AC321" s="957"/>
      <c r="AD321" s="957"/>
    </row>
    <row r="322" ht="15.75" customHeight="1">
      <c r="A322" s="518"/>
      <c r="B322" s="517"/>
      <c r="C322" s="518"/>
      <c r="D322" s="992"/>
      <c r="E322" s="989"/>
      <c r="F322" s="989"/>
      <c r="G322" s="993"/>
      <c r="H322" s="993"/>
      <c r="I322" s="986"/>
      <c r="J322" s="523"/>
      <c r="K322" s="994"/>
      <c r="L322" s="995"/>
      <c r="M322" s="704"/>
      <c r="N322" s="704"/>
      <c r="O322" s="704"/>
      <c r="P322" s="957"/>
      <c r="Q322" s="957"/>
      <c r="R322" s="957"/>
      <c r="S322" s="957"/>
      <c r="T322" s="957"/>
      <c r="U322" s="957"/>
      <c r="V322" s="957"/>
      <c r="W322" s="957"/>
      <c r="X322" s="957"/>
      <c r="Y322" s="957"/>
      <c r="Z322" s="957"/>
      <c r="AA322" s="957"/>
      <c r="AB322" s="957"/>
      <c r="AC322" s="957"/>
      <c r="AD322" s="957"/>
    </row>
    <row r="323" ht="15.75" customHeight="1">
      <c r="A323" s="518"/>
      <c r="B323" s="517"/>
      <c r="C323" s="518"/>
      <c r="D323" s="992"/>
      <c r="E323" s="989"/>
      <c r="F323" s="989"/>
      <c r="G323" s="993"/>
      <c r="H323" s="993"/>
      <c r="I323" s="986"/>
      <c r="J323" s="523"/>
      <c r="K323" s="994"/>
      <c r="L323" s="995"/>
      <c r="M323" s="704"/>
      <c r="N323" s="704"/>
      <c r="O323" s="704"/>
      <c r="P323" s="957"/>
      <c r="Q323" s="957"/>
      <c r="R323" s="957"/>
      <c r="S323" s="957"/>
      <c r="T323" s="957"/>
      <c r="U323" s="957"/>
      <c r="V323" s="957"/>
      <c r="W323" s="957"/>
      <c r="X323" s="957"/>
      <c r="Y323" s="957"/>
      <c r="Z323" s="957"/>
      <c r="AA323" s="957"/>
      <c r="AB323" s="957"/>
      <c r="AC323" s="957"/>
      <c r="AD323" s="957"/>
    </row>
    <row r="324" ht="15.75" customHeight="1">
      <c r="A324" s="518"/>
      <c r="B324" s="517"/>
      <c r="C324" s="518"/>
      <c r="D324" s="992"/>
      <c r="E324" s="989"/>
      <c r="F324" s="989"/>
      <c r="G324" s="993"/>
      <c r="H324" s="993"/>
      <c r="I324" s="986"/>
      <c r="J324" s="523"/>
      <c r="K324" s="994"/>
      <c r="L324" s="995"/>
      <c r="M324" s="704"/>
      <c r="N324" s="704"/>
      <c r="O324" s="704"/>
      <c r="P324" s="957"/>
      <c r="Q324" s="957"/>
      <c r="R324" s="957"/>
      <c r="S324" s="957"/>
      <c r="T324" s="957"/>
      <c r="U324" s="957"/>
      <c r="V324" s="957"/>
      <c r="W324" s="957"/>
      <c r="X324" s="957"/>
      <c r="Y324" s="957"/>
      <c r="Z324" s="957"/>
      <c r="AA324" s="957"/>
      <c r="AB324" s="957"/>
      <c r="AC324" s="957"/>
      <c r="AD324" s="957"/>
    </row>
    <row r="325" ht="15.75" customHeight="1">
      <c r="A325" s="518"/>
      <c r="B325" s="517"/>
      <c r="C325" s="518"/>
      <c r="D325" s="992"/>
      <c r="E325" s="989"/>
      <c r="F325" s="989"/>
      <c r="G325" s="993"/>
      <c r="H325" s="993"/>
      <c r="I325" s="986"/>
      <c r="J325" s="523"/>
      <c r="K325" s="994"/>
      <c r="L325" s="995"/>
      <c r="M325" s="704"/>
      <c r="N325" s="704"/>
      <c r="O325" s="704"/>
      <c r="P325" s="957"/>
      <c r="Q325" s="957"/>
      <c r="R325" s="957"/>
      <c r="S325" s="957"/>
      <c r="T325" s="957"/>
      <c r="U325" s="957"/>
      <c r="V325" s="957"/>
      <c r="W325" s="957"/>
      <c r="X325" s="957"/>
      <c r="Y325" s="957"/>
      <c r="Z325" s="957"/>
      <c r="AA325" s="957"/>
      <c r="AB325" s="957"/>
      <c r="AC325" s="957"/>
      <c r="AD325" s="957"/>
    </row>
    <row r="326" ht="15.75" customHeight="1">
      <c r="A326" s="518"/>
      <c r="B326" s="517"/>
      <c r="C326" s="518"/>
      <c r="D326" s="992"/>
      <c r="E326" s="989"/>
      <c r="F326" s="989"/>
      <c r="G326" s="993"/>
      <c r="H326" s="993"/>
      <c r="I326" s="986"/>
      <c r="J326" s="523"/>
      <c r="K326" s="994"/>
      <c r="L326" s="995"/>
      <c r="M326" s="704"/>
      <c r="N326" s="704"/>
      <c r="O326" s="704"/>
      <c r="P326" s="957"/>
      <c r="Q326" s="957"/>
      <c r="R326" s="957"/>
      <c r="S326" s="957"/>
      <c r="T326" s="957"/>
      <c r="U326" s="957"/>
      <c r="V326" s="957"/>
      <c r="W326" s="957"/>
      <c r="X326" s="957"/>
      <c r="Y326" s="957"/>
      <c r="Z326" s="957"/>
      <c r="AA326" s="957"/>
      <c r="AB326" s="957"/>
      <c r="AC326" s="957"/>
      <c r="AD326" s="957"/>
    </row>
    <row r="327" ht="15.75" customHeight="1">
      <c r="A327" s="518"/>
      <c r="B327" s="517"/>
      <c r="C327" s="518"/>
      <c r="D327" s="992"/>
      <c r="E327" s="989"/>
      <c r="F327" s="989"/>
      <c r="G327" s="993"/>
      <c r="H327" s="993"/>
      <c r="I327" s="986"/>
      <c r="J327" s="523"/>
      <c r="K327" s="994"/>
      <c r="L327" s="995"/>
      <c r="M327" s="704"/>
      <c r="N327" s="704"/>
      <c r="O327" s="704"/>
      <c r="P327" s="957"/>
      <c r="Q327" s="957"/>
      <c r="R327" s="957"/>
      <c r="S327" s="957"/>
      <c r="T327" s="957"/>
      <c r="U327" s="957"/>
      <c r="V327" s="957"/>
      <c r="W327" s="957"/>
      <c r="X327" s="957"/>
      <c r="Y327" s="957"/>
      <c r="Z327" s="957"/>
      <c r="AA327" s="957"/>
      <c r="AB327" s="957"/>
      <c r="AC327" s="957"/>
      <c r="AD327" s="957"/>
    </row>
    <row r="328" ht="15.75" customHeight="1">
      <c r="A328" s="518"/>
      <c r="B328" s="517"/>
      <c r="C328" s="518"/>
      <c r="D328" s="992"/>
      <c r="E328" s="989"/>
      <c r="F328" s="989"/>
      <c r="G328" s="993"/>
      <c r="H328" s="993"/>
      <c r="I328" s="986"/>
      <c r="J328" s="523"/>
      <c r="K328" s="994"/>
      <c r="L328" s="995"/>
      <c r="M328" s="704"/>
      <c r="N328" s="704"/>
      <c r="O328" s="704"/>
      <c r="P328" s="957"/>
      <c r="Q328" s="957"/>
      <c r="R328" s="957"/>
      <c r="S328" s="957"/>
      <c r="T328" s="957"/>
      <c r="U328" s="957"/>
      <c r="V328" s="957"/>
      <c r="W328" s="957"/>
      <c r="X328" s="957"/>
      <c r="Y328" s="957"/>
      <c r="Z328" s="957"/>
      <c r="AA328" s="957"/>
      <c r="AB328" s="957"/>
      <c r="AC328" s="957"/>
      <c r="AD328" s="957"/>
    </row>
    <row r="329" ht="15.75" customHeight="1">
      <c r="A329" s="518"/>
      <c r="B329" s="517"/>
      <c r="C329" s="518"/>
      <c r="D329" s="992"/>
      <c r="E329" s="989"/>
      <c r="F329" s="989"/>
      <c r="G329" s="993"/>
      <c r="H329" s="993"/>
      <c r="I329" s="986"/>
      <c r="J329" s="523"/>
      <c r="K329" s="994"/>
      <c r="L329" s="995"/>
      <c r="M329" s="704"/>
      <c r="N329" s="704"/>
      <c r="O329" s="704"/>
      <c r="P329" s="957"/>
      <c r="Q329" s="957"/>
      <c r="R329" s="957"/>
      <c r="S329" s="957"/>
      <c r="T329" s="957"/>
      <c r="U329" s="957"/>
      <c r="V329" s="957"/>
      <c r="W329" s="957"/>
      <c r="X329" s="957"/>
      <c r="Y329" s="957"/>
      <c r="Z329" s="957"/>
      <c r="AA329" s="957"/>
      <c r="AB329" s="957"/>
      <c r="AC329" s="957"/>
      <c r="AD329" s="957"/>
    </row>
    <row r="330" ht="15.75" customHeight="1">
      <c r="A330" s="518"/>
      <c r="B330" s="517"/>
      <c r="C330" s="518"/>
      <c r="D330" s="992"/>
      <c r="E330" s="989"/>
      <c r="F330" s="989"/>
      <c r="G330" s="993"/>
      <c r="H330" s="993"/>
      <c r="I330" s="986"/>
      <c r="J330" s="523"/>
      <c r="K330" s="994"/>
      <c r="L330" s="995"/>
      <c r="M330" s="704"/>
      <c r="N330" s="704"/>
      <c r="O330" s="704"/>
      <c r="P330" s="957"/>
      <c r="Q330" s="957"/>
      <c r="R330" s="957"/>
      <c r="S330" s="957"/>
      <c r="T330" s="957"/>
      <c r="U330" s="957"/>
      <c r="V330" s="957"/>
      <c r="W330" s="957"/>
      <c r="X330" s="957"/>
      <c r="Y330" s="957"/>
      <c r="Z330" s="957"/>
      <c r="AA330" s="957"/>
      <c r="AB330" s="957"/>
      <c r="AC330" s="957"/>
      <c r="AD330" s="957"/>
    </row>
    <row r="331" ht="15.75" customHeight="1">
      <c r="A331" s="518"/>
      <c r="B331" s="517"/>
      <c r="C331" s="518"/>
      <c r="D331" s="992"/>
      <c r="E331" s="989"/>
      <c r="F331" s="989"/>
      <c r="G331" s="993"/>
      <c r="H331" s="993"/>
      <c r="I331" s="986"/>
      <c r="J331" s="523"/>
      <c r="K331" s="994"/>
      <c r="L331" s="995"/>
      <c r="M331" s="704"/>
      <c r="N331" s="704"/>
      <c r="O331" s="704"/>
      <c r="P331" s="957"/>
      <c r="Q331" s="957"/>
      <c r="R331" s="957"/>
      <c r="S331" s="957"/>
      <c r="T331" s="957"/>
      <c r="U331" s="957"/>
      <c r="V331" s="957"/>
      <c r="W331" s="957"/>
      <c r="X331" s="957"/>
      <c r="Y331" s="957"/>
      <c r="Z331" s="957"/>
      <c r="AA331" s="957"/>
      <c r="AB331" s="957"/>
      <c r="AC331" s="957"/>
      <c r="AD331" s="957"/>
    </row>
    <row r="332" ht="15.75" customHeight="1">
      <c r="A332" s="518"/>
      <c r="B332" s="517"/>
      <c r="C332" s="518"/>
      <c r="D332" s="992"/>
      <c r="E332" s="989"/>
      <c r="F332" s="989"/>
      <c r="G332" s="993"/>
      <c r="H332" s="993"/>
      <c r="I332" s="986"/>
      <c r="J332" s="523"/>
      <c r="K332" s="994"/>
      <c r="L332" s="995"/>
      <c r="M332" s="704"/>
      <c r="N332" s="704"/>
      <c r="O332" s="704"/>
      <c r="P332" s="957"/>
      <c r="Q332" s="957"/>
      <c r="R332" s="957"/>
      <c r="S332" s="957"/>
      <c r="T332" s="957"/>
      <c r="U332" s="957"/>
      <c r="V332" s="957"/>
      <c r="W332" s="957"/>
      <c r="X332" s="957"/>
      <c r="Y332" s="957"/>
      <c r="Z332" s="957"/>
      <c r="AA332" s="957"/>
      <c r="AB332" s="957"/>
      <c r="AC332" s="957"/>
      <c r="AD332" s="957"/>
    </row>
    <row r="333" ht="15.75" customHeight="1">
      <c r="A333" s="518"/>
      <c r="B333" s="517"/>
      <c r="C333" s="518"/>
      <c r="D333" s="992"/>
      <c r="E333" s="989"/>
      <c r="F333" s="989"/>
      <c r="G333" s="993"/>
      <c r="H333" s="993"/>
      <c r="I333" s="986"/>
      <c r="J333" s="523"/>
      <c r="K333" s="994"/>
      <c r="L333" s="995"/>
      <c r="M333" s="704"/>
      <c r="N333" s="704"/>
      <c r="O333" s="704"/>
      <c r="P333" s="957"/>
      <c r="Q333" s="957"/>
      <c r="R333" s="957"/>
      <c r="S333" s="957"/>
      <c r="T333" s="957"/>
      <c r="U333" s="957"/>
      <c r="V333" s="957"/>
      <c r="W333" s="957"/>
      <c r="X333" s="957"/>
      <c r="Y333" s="957"/>
      <c r="Z333" s="957"/>
      <c r="AA333" s="957"/>
      <c r="AB333" s="957"/>
      <c r="AC333" s="957"/>
      <c r="AD333" s="957"/>
    </row>
    <row r="334" ht="15.75" customHeight="1">
      <c r="A334" s="518"/>
      <c r="B334" s="517"/>
      <c r="C334" s="518"/>
      <c r="D334" s="992"/>
      <c r="E334" s="989"/>
      <c r="F334" s="989"/>
      <c r="G334" s="993"/>
      <c r="H334" s="993"/>
      <c r="I334" s="986"/>
      <c r="J334" s="523"/>
      <c r="K334" s="994"/>
      <c r="L334" s="995"/>
      <c r="M334" s="704"/>
      <c r="N334" s="704"/>
      <c r="O334" s="704"/>
      <c r="P334" s="957"/>
      <c r="Q334" s="957"/>
      <c r="R334" s="957"/>
      <c r="S334" s="957"/>
      <c r="T334" s="957"/>
      <c r="U334" s="957"/>
      <c r="V334" s="957"/>
      <c r="W334" s="957"/>
      <c r="X334" s="957"/>
      <c r="Y334" s="957"/>
      <c r="Z334" s="957"/>
      <c r="AA334" s="957"/>
      <c r="AB334" s="957"/>
      <c r="AC334" s="957"/>
      <c r="AD334" s="957"/>
    </row>
    <row r="335" ht="15.75" customHeight="1">
      <c r="A335" s="518"/>
      <c r="B335" s="517"/>
      <c r="C335" s="518"/>
      <c r="D335" s="992"/>
      <c r="E335" s="989"/>
      <c r="F335" s="989"/>
      <c r="G335" s="993"/>
      <c r="H335" s="993"/>
      <c r="I335" s="986"/>
      <c r="J335" s="523"/>
      <c r="K335" s="994"/>
      <c r="L335" s="995"/>
      <c r="M335" s="704"/>
      <c r="N335" s="704"/>
      <c r="O335" s="704"/>
      <c r="P335" s="957"/>
      <c r="Q335" s="957"/>
      <c r="R335" s="957"/>
      <c r="S335" s="957"/>
      <c r="T335" s="957"/>
      <c r="U335" s="957"/>
      <c r="V335" s="957"/>
      <c r="W335" s="957"/>
      <c r="X335" s="957"/>
      <c r="Y335" s="957"/>
      <c r="Z335" s="957"/>
      <c r="AA335" s="957"/>
      <c r="AB335" s="957"/>
      <c r="AC335" s="957"/>
      <c r="AD335" s="957"/>
    </row>
    <row r="336" ht="15.75" customHeight="1">
      <c r="A336" s="518"/>
      <c r="B336" s="517"/>
      <c r="C336" s="518"/>
      <c r="D336" s="992"/>
      <c r="E336" s="989"/>
      <c r="F336" s="989"/>
      <c r="G336" s="993"/>
      <c r="H336" s="993"/>
      <c r="I336" s="986"/>
      <c r="J336" s="523"/>
      <c r="K336" s="994"/>
      <c r="L336" s="995"/>
      <c r="M336" s="704"/>
      <c r="N336" s="704"/>
      <c r="O336" s="704"/>
      <c r="P336" s="957"/>
      <c r="Q336" s="957"/>
      <c r="R336" s="957"/>
      <c r="S336" s="957"/>
      <c r="T336" s="957"/>
      <c r="U336" s="957"/>
      <c r="V336" s="957"/>
      <c r="W336" s="957"/>
      <c r="X336" s="957"/>
      <c r="Y336" s="957"/>
      <c r="Z336" s="957"/>
      <c r="AA336" s="957"/>
      <c r="AB336" s="957"/>
      <c r="AC336" s="957"/>
      <c r="AD336" s="957"/>
    </row>
    <row r="337" ht="15.75" customHeight="1">
      <c r="A337" s="518"/>
      <c r="B337" s="517"/>
      <c r="C337" s="518"/>
      <c r="D337" s="992"/>
      <c r="E337" s="989"/>
      <c r="F337" s="989"/>
      <c r="G337" s="993"/>
      <c r="H337" s="993"/>
      <c r="I337" s="986"/>
      <c r="J337" s="523"/>
      <c r="K337" s="994"/>
      <c r="L337" s="995"/>
      <c r="M337" s="704"/>
      <c r="N337" s="704"/>
      <c r="O337" s="704"/>
      <c r="P337" s="957"/>
      <c r="Q337" s="957"/>
      <c r="R337" s="957"/>
      <c r="S337" s="957"/>
      <c r="T337" s="957"/>
      <c r="U337" s="957"/>
      <c r="V337" s="957"/>
      <c r="W337" s="957"/>
      <c r="X337" s="957"/>
      <c r="Y337" s="957"/>
      <c r="Z337" s="957"/>
      <c r="AA337" s="957"/>
      <c r="AB337" s="957"/>
      <c r="AC337" s="957"/>
      <c r="AD337" s="957"/>
    </row>
    <row r="338" ht="15.75" customHeight="1">
      <c r="A338" s="518"/>
      <c r="B338" s="517"/>
      <c r="C338" s="518"/>
      <c r="D338" s="992"/>
      <c r="E338" s="989"/>
      <c r="F338" s="989"/>
      <c r="G338" s="993"/>
      <c r="H338" s="993"/>
      <c r="I338" s="986"/>
      <c r="J338" s="523"/>
      <c r="K338" s="994"/>
      <c r="L338" s="995"/>
      <c r="M338" s="704"/>
      <c r="N338" s="704"/>
      <c r="O338" s="704"/>
      <c r="P338" s="957"/>
      <c r="Q338" s="957"/>
      <c r="R338" s="957"/>
      <c r="S338" s="957"/>
      <c r="T338" s="957"/>
      <c r="U338" s="957"/>
      <c r="V338" s="957"/>
      <c r="W338" s="957"/>
      <c r="X338" s="957"/>
      <c r="Y338" s="957"/>
      <c r="Z338" s="957"/>
      <c r="AA338" s="957"/>
      <c r="AB338" s="957"/>
      <c r="AC338" s="957"/>
      <c r="AD338" s="957"/>
    </row>
    <row r="339" ht="15.75" customHeight="1">
      <c r="A339" s="518"/>
      <c r="B339" s="517"/>
      <c r="C339" s="518"/>
      <c r="D339" s="992"/>
      <c r="E339" s="989"/>
      <c r="F339" s="989"/>
      <c r="G339" s="993"/>
      <c r="H339" s="993"/>
      <c r="I339" s="986"/>
      <c r="J339" s="523"/>
      <c r="K339" s="994"/>
      <c r="L339" s="995"/>
      <c r="M339" s="704"/>
      <c r="N339" s="704"/>
      <c r="O339" s="704"/>
      <c r="P339" s="957"/>
      <c r="Q339" s="957"/>
      <c r="R339" s="957"/>
      <c r="S339" s="957"/>
      <c r="T339" s="957"/>
      <c r="U339" s="957"/>
      <c r="V339" s="957"/>
      <c r="W339" s="957"/>
      <c r="X339" s="957"/>
      <c r="Y339" s="957"/>
      <c r="Z339" s="957"/>
      <c r="AA339" s="957"/>
      <c r="AB339" s="957"/>
      <c r="AC339" s="957"/>
      <c r="AD339" s="957"/>
    </row>
    <row r="340" ht="15.75" customHeight="1">
      <c r="A340" s="518"/>
      <c r="B340" s="517"/>
      <c r="C340" s="518"/>
      <c r="D340" s="992"/>
      <c r="E340" s="989"/>
      <c r="F340" s="989"/>
      <c r="G340" s="993"/>
      <c r="H340" s="993"/>
      <c r="I340" s="986"/>
      <c r="J340" s="523"/>
      <c r="K340" s="994"/>
      <c r="L340" s="995"/>
      <c r="M340" s="704"/>
      <c r="N340" s="704"/>
      <c r="O340" s="704"/>
      <c r="P340" s="957"/>
      <c r="Q340" s="957"/>
      <c r="R340" s="957"/>
      <c r="S340" s="957"/>
      <c r="T340" s="957"/>
      <c r="U340" s="957"/>
      <c r="V340" s="957"/>
      <c r="W340" s="957"/>
      <c r="X340" s="957"/>
      <c r="Y340" s="957"/>
      <c r="Z340" s="957"/>
      <c r="AA340" s="957"/>
      <c r="AB340" s="957"/>
      <c r="AC340" s="957"/>
      <c r="AD340" s="957"/>
    </row>
    <row r="341" ht="15.75" customHeight="1">
      <c r="A341" s="518"/>
      <c r="B341" s="517"/>
      <c r="C341" s="518"/>
      <c r="D341" s="992"/>
      <c r="E341" s="989"/>
      <c r="F341" s="989"/>
      <c r="G341" s="993"/>
      <c r="H341" s="993"/>
      <c r="I341" s="986"/>
      <c r="J341" s="523"/>
      <c r="K341" s="994"/>
      <c r="L341" s="995"/>
      <c r="M341" s="704"/>
      <c r="N341" s="704"/>
      <c r="O341" s="704"/>
      <c r="P341" s="957"/>
      <c r="Q341" s="957"/>
      <c r="R341" s="957"/>
      <c r="S341" s="957"/>
      <c r="T341" s="957"/>
      <c r="U341" s="957"/>
      <c r="V341" s="957"/>
      <c r="W341" s="957"/>
      <c r="X341" s="957"/>
      <c r="Y341" s="957"/>
      <c r="Z341" s="957"/>
      <c r="AA341" s="957"/>
      <c r="AB341" s="957"/>
      <c r="AC341" s="957"/>
      <c r="AD341" s="957"/>
    </row>
    <row r="342" ht="15.75" customHeight="1">
      <c r="A342" s="518"/>
      <c r="B342" s="517"/>
      <c r="C342" s="518"/>
      <c r="D342" s="992"/>
      <c r="E342" s="989"/>
      <c r="F342" s="989"/>
      <c r="G342" s="993"/>
      <c r="H342" s="993"/>
      <c r="I342" s="986"/>
      <c r="J342" s="523"/>
      <c r="K342" s="994"/>
      <c r="L342" s="995"/>
      <c r="M342" s="704"/>
      <c r="N342" s="704"/>
      <c r="O342" s="704"/>
      <c r="P342" s="957"/>
      <c r="Q342" s="957"/>
      <c r="R342" s="957"/>
      <c r="S342" s="957"/>
      <c r="T342" s="957"/>
      <c r="U342" s="957"/>
      <c r="V342" s="957"/>
      <c r="W342" s="957"/>
      <c r="X342" s="957"/>
      <c r="Y342" s="957"/>
      <c r="Z342" s="957"/>
      <c r="AA342" s="957"/>
      <c r="AB342" s="957"/>
      <c r="AC342" s="957"/>
      <c r="AD342" s="957"/>
    </row>
    <row r="343" ht="15.75" customHeight="1">
      <c r="A343" s="518"/>
      <c r="B343" s="517"/>
      <c r="C343" s="518"/>
      <c r="D343" s="992"/>
      <c r="E343" s="989"/>
      <c r="F343" s="989"/>
      <c r="G343" s="993"/>
      <c r="H343" s="993"/>
      <c r="I343" s="986"/>
      <c r="J343" s="523"/>
      <c r="K343" s="994"/>
      <c r="L343" s="995"/>
      <c r="M343" s="704"/>
      <c r="N343" s="704"/>
      <c r="O343" s="704"/>
      <c r="P343" s="957"/>
      <c r="Q343" s="957"/>
      <c r="R343" s="957"/>
      <c r="S343" s="957"/>
      <c r="T343" s="957"/>
      <c r="U343" s="957"/>
      <c r="V343" s="957"/>
      <c r="W343" s="957"/>
      <c r="X343" s="957"/>
      <c r="Y343" s="957"/>
      <c r="Z343" s="957"/>
      <c r="AA343" s="957"/>
      <c r="AB343" s="957"/>
      <c r="AC343" s="957"/>
      <c r="AD343" s="957"/>
    </row>
    <row r="344" ht="15.75" customHeight="1">
      <c r="A344" s="518"/>
      <c r="B344" s="517"/>
      <c r="C344" s="518"/>
      <c r="D344" s="992"/>
      <c r="E344" s="989"/>
      <c r="F344" s="989"/>
      <c r="G344" s="993"/>
      <c r="H344" s="993"/>
      <c r="I344" s="986"/>
      <c r="J344" s="523"/>
      <c r="K344" s="994"/>
      <c r="L344" s="995"/>
      <c r="M344" s="704"/>
      <c r="N344" s="704"/>
      <c r="O344" s="704"/>
      <c r="P344" s="957"/>
      <c r="Q344" s="957"/>
      <c r="R344" s="957"/>
      <c r="S344" s="957"/>
      <c r="T344" s="957"/>
      <c r="U344" s="957"/>
      <c r="V344" s="957"/>
      <c r="W344" s="957"/>
      <c r="X344" s="957"/>
      <c r="Y344" s="957"/>
      <c r="Z344" s="957"/>
      <c r="AA344" s="957"/>
      <c r="AB344" s="957"/>
      <c r="AC344" s="957"/>
      <c r="AD344" s="957"/>
    </row>
    <row r="345" ht="15.75" customHeight="1">
      <c r="A345" s="518"/>
      <c r="B345" s="517"/>
      <c r="C345" s="518"/>
      <c r="D345" s="992"/>
      <c r="E345" s="989"/>
      <c r="F345" s="989"/>
      <c r="G345" s="993"/>
      <c r="H345" s="993"/>
      <c r="I345" s="986"/>
      <c r="J345" s="523"/>
      <c r="K345" s="994"/>
      <c r="L345" s="995"/>
      <c r="M345" s="704"/>
      <c r="N345" s="704"/>
      <c r="O345" s="704"/>
      <c r="P345" s="957"/>
      <c r="Q345" s="957"/>
      <c r="R345" s="957"/>
      <c r="S345" s="957"/>
      <c r="T345" s="957"/>
      <c r="U345" s="957"/>
      <c r="V345" s="957"/>
      <c r="W345" s="957"/>
      <c r="X345" s="957"/>
      <c r="Y345" s="957"/>
      <c r="Z345" s="957"/>
      <c r="AA345" s="957"/>
      <c r="AB345" s="957"/>
      <c r="AC345" s="957"/>
      <c r="AD345" s="957"/>
    </row>
    <row r="346" ht="15.75" customHeight="1">
      <c r="A346" s="518"/>
      <c r="B346" s="517"/>
      <c r="C346" s="518"/>
      <c r="D346" s="992"/>
      <c r="E346" s="989"/>
      <c r="F346" s="989"/>
      <c r="G346" s="993"/>
      <c r="H346" s="993"/>
      <c r="I346" s="986"/>
      <c r="J346" s="523"/>
      <c r="K346" s="994"/>
      <c r="L346" s="995"/>
      <c r="M346" s="704"/>
      <c r="N346" s="704"/>
      <c r="O346" s="704"/>
      <c r="P346" s="957"/>
      <c r="Q346" s="957"/>
      <c r="R346" s="957"/>
      <c r="S346" s="957"/>
      <c r="T346" s="957"/>
      <c r="U346" s="957"/>
      <c r="V346" s="957"/>
      <c r="W346" s="957"/>
      <c r="X346" s="957"/>
      <c r="Y346" s="957"/>
      <c r="Z346" s="957"/>
      <c r="AA346" s="957"/>
      <c r="AB346" s="957"/>
      <c r="AC346" s="957"/>
      <c r="AD346" s="957"/>
    </row>
    <row r="347" ht="15.75" customHeight="1">
      <c r="A347" s="518"/>
      <c r="B347" s="517"/>
      <c r="C347" s="518"/>
      <c r="D347" s="992"/>
      <c r="E347" s="989"/>
      <c r="F347" s="989"/>
      <c r="G347" s="993"/>
      <c r="H347" s="993"/>
      <c r="I347" s="986"/>
      <c r="J347" s="523"/>
      <c r="K347" s="994"/>
      <c r="L347" s="995"/>
      <c r="M347" s="704"/>
      <c r="N347" s="704"/>
      <c r="O347" s="704"/>
      <c r="P347" s="957"/>
      <c r="Q347" s="957"/>
      <c r="R347" s="957"/>
      <c r="S347" s="957"/>
      <c r="T347" s="957"/>
      <c r="U347" s="957"/>
      <c r="V347" s="957"/>
      <c r="W347" s="957"/>
      <c r="X347" s="957"/>
      <c r="Y347" s="957"/>
      <c r="Z347" s="957"/>
      <c r="AA347" s="957"/>
      <c r="AB347" s="957"/>
      <c r="AC347" s="957"/>
      <c r="AD347" s="957"/>
    </row>
    <row r="348" ht="15.75" customHeight="1">
      <c r="A348" s="518"/>
      <c r="B348" s="517"/>
      <c r="C348" s="518"/>
      <c r="D348" s="992"/>
      <c r="E348" s="989"/>
      <c r="F348" s="989"/>
      <c r="G348" s="993"/>
      <c r="H348" s="993"/>
      <c r="I348" s="986"/>
      <c r="J348" s="523"/>
      <c r="K348" s="994"/>
      <c r="L348" s="995"/>
      <c r="M348" s="704"/>
      <c r="N348" s="704"/>
      <c r="O348" s="704"/>
      <c r="P348" s="957"/>
      <c r="Q348" s="957"/>
      <c r="R348" s="957"/>
      <c r="S348" s="957"/>
      <c r="T348" s="957"/>
      <c r="U348" s="957"/>
      <c r="V348" s="957"/>
      <c r="W348" s="957"/>
      <c r="X348" s="957"/>
      <c r="Y348" s="957"/>
      <c r="Z348" s="957"/>
      <c r="AA348" s="957"/>
      <c r="AB348" s="957"/>
      <c r="AC348" s="957"/>
      <c r="AD348" s="957"/>
    </row>
    <row r="349" ht="15.75" customHeight="1">
      <c r="A349" s="518"/>
      <c r="B349" s="517"/>
      <c r="C349" s="518"/>
      <c r="D349" s="992"/>
      <c r="E349" s="989"/>
      <c r="F349" s="989"/>
      <c r="G349" s="993"/>
      <c r="H349" s="993"/>
      <c r="I349" s="986"/>
      <c r="J349" s="523"/>
      <c r="K349" s="994"/>
      <c r="L349" s="995"/>
      <c r="M349" s="704"/>
      <c r="N349" s="704"/>
      <c r="O349" s="704"/>
      <c r="P349" s="957"/>
      <c r="Q349" s="957"/>
      <c r="R349" s="957"/>
      <c r="S349" s="957"/>
      <c r="T349" s="957"/>
      <c r="U349" s="957"/>
      <c r="V349" s="957"/>
      <c r="W349" s="957"/>
      <c r="X349" s="957"/>
      <c r="Y349" s="957"/>
      <c r="Z349" s="957"/>
      <c r="AA349" s="957"/>
      <c r="AB349" s="957"/>
      <c r="AC349" s="957"/>
      <c r="AD349" s="957"/>
    </row>
    <row r="350" ht="15.75" customHeight="1">
      <c r="A350" s="518"/>
      <c r="B350" s="517"/>
      <c r="C350" s="518"/>
      <c r="D350" s="992"/>
      <c r="E350" s="989"/>
      <c r="F350" s="989"/>
      <c r="G350" s="993"/>
      <c r="H350" s="993"/>
      <c r="I350" s="986"/>
      <c r="J350" s="523"/>
      <c r="K350" s="994"/>
      <c r="L350" s="995"/>
      <c r="M350" s="704"/>
      <c r="N350" s="704"/>
      <c r="O350" s="704"/>
      <c r="P350" s="957"/>
      <c r="Q350" s="957"/>
      <c r="R350" s="957"/>
      <c r="S350" s="957"/>
      <c r="T350" s="957"/>
      <c r="U350" s="957"/>
      <c r="V350" s="957"/>
      <c r="W350" s="957"/>
      <c r="X350" s="957"/>
      <c r="Y350" s="957"/>
      <c r="Z350" s="957"/>
      <c r="AA350" s="957"/>
      <c r="AB350" s="957"/>
      <c r="AC350" s="957"/>
      <c r="AD350" s="957"/>
    </row>
    <row r="351" ht="15.75" customHeight="1">
      <c r="A351" s="518"/>
      <c r="B351" s="517"/>
      <c r="C351" s="518"/>
      <c r="D351" s="992"/>
      <c r="E351" s="989"/>
      <c r="F351" s="989"/>
      <c r="G351" s="993"/>
      <c r="H351" s="993"/>
      <c r="I351" s="986"/>
      <c r="J351" s="523"/>
      <c r="K351" s="994"/>
      <c r="L351" s="995"/>
      <c r="M351" s="704"/>
      <c r="N351" s="704"/>
      <c r="O351" s="704"/>
      <c r="P351" s="957"/>
      <c r="Q351" s="957"/>
      <c r="R351" s="957"/>
      <c r="S351" s="957"/>
      <c r="T351" s="957"/>
      <c r="U351" s="957"/>
      <c r="V351" s="957"/>
      <c r="W351" s="957"/>
      <c r="X351" s="957"/>
      <c r="Y351" s="957"/>
      <c r="Z351" s="957"/>
      <c r="AA351" s="957"/>
      <c r="AB351" s="957"/>
      <c r="AC351" s="957"/>
      <c r="AD351" s="957"/>
    </row>
    <row r="352" ht="15.75" customHeight="1">
      <c r="A352" s="518"/>
      <c r="B352" s="517"/>
      <c r="C352" s="518"/>
      <c r="D352" s="992"/>
      <c r="E352" s="989"/>
      <c r="F352" s="989"/>
      <c r="G352" s="993"/>
      <c r="H352" s="993"/>
      <c r="I352" s="986"/>
      <c r="J352" s="523"/>
      <c r="K352" s="994"/>
      <c r="L352" s="995"/>
      <c r="M352" s="704"/>
      <c r="N352" s="704"/>
      <c r="O352" s="704"/>
      <c r="P352" s="957"/>
      <c r="Q352" s="957"/>
      <c r="R352" s="957"/>
      <c r="S352" s="957"/>
      <c r="T352" s="957"/>
      <c r="U352" s="957"/>
      <c r="V352" s="957"/>
      <c r="W352" s="957"/>
      <c r="X352" s="957"/>
      <c r="Y352" s="957"/>
      <c r="Z352" s="957"/>
      <c r="AA352" s="957"/>
      <c r="AB352" s="957"/>
      <c r="AC352" s="957"/>
      <c r="AD352" s="957"/>
    </row>
    <row r="353" ht="15.75" customHeight="1">
      <c r="A353" s="518"/>
      <c r="B353" s="517"/>
      <c r="C353" s="518"/>
      <c r="D353" s="992"/>
      <c r="E353" s="989"/>
      <c r="F353" s="989"/>
      <c r="G353" s="993"/>
      <c r="H353" s="993"/>
      <c r="I353" s="986"/>
      <c r="J353" s="523"/>
      <c r="K353" s="994"/>
      <c r="L353" s="995"/>
      <c r="M353" s="704"/>
      <c r="N353" s="704"/>
      <c r="O353" s="704"/>
      <c r="P353" s="957"/>
      <c r="Q353" s="957"/>
      <c r="R353" s="957"/>
      <c r="S353" s="957"/>
      <c r="T353" s="957"/>
      <c r="U353" s="957"/>
      <c r="V353" s="957"/>
      <c r="W353" s="957"/>
      <c r="X353" s="957"/>
      <c r="Y353" s="957"/>
      <c r="Z353" s="957"/>
      <c r="AA353" s="957"/>
      <c r="AB353" s="957"/>
      <c r="AC353" s="957"/>
      <c r="AD353" s="957"/>
    </row>
    <row r="354" ht="15.75" customHeight="1">
      <c r="A354" s="518"/>
      <c r="B354" s="517"/>
      <c r="C354" s="518"/>
      <c r="D354" s="992"/>
      <c r="E354" s="989"/>
      <c r="F354" s="989"/>
      <c r="G354" s="993"/>
      <c r="H354" s="993"/>
      <c r="I354" s="986"/>
      <c r="J354" s="523"/>
      <c r="K354" s="994"/>
      <c r="L354" s="995"/>
      <c r="M354" s="704"/>
      <c r="N354" s="704"/>
      <c r="O354" s="704"/>
      <c r="P354" s="957"/>
      <c r="Q354" s="957"/>
      <c r="R354" s="957"/>
      <c r="S354" s="957"/>
      <c r="T354" s="957"/>
      <c r="U354" s="957"/>
      <c r="V354" s="957"/>
      <c r="W354" s="957"/>
      <c r="X354" s="957"/>
      <c r="Y354" s="957"/>
      <c r="Z354" s="957"/>
      <c r="AA354" s="957"/>
      <c r="AB354" s="957"/>
      <c r="AC354" s="957"/>
      <c r="AD354" s="957"/>
    </row>
    <row r="355" ht="15.75" customHeight="1">
      <c r="A355" s="518"/>
      <c r="B355" s="517"/>
      <c r="C355" s="518"/>
      <c r="D355" s="992"/>
      <c r="E355" s="989"/>
      <c r="F355" s="989"/>
      <c r="G355" s="993"/>
      <c r="H355" s="993"/>
      <c r="I355" s="986"/>
      <c r="J355" s="523"/>
      <c r="K355" s="994"/>
      <c r="L355" s="995"/>
      <c r="M355" s="704"/>
      <c r="N355" s="704"/>
      <c r="O355" s="704"/>
      <c r="P355" s="957"/>
      <c r="Q355" s="957"/>
      <c r="R355" s="957"/>
      <c r="S355" s="957"/>
      <c r="T355" s="957"/>
      <c r="U355" s="957"/>
      <c r="V355" s="957"/>
      <c r="W355" s="957"/>
      <c r="X355" s="957"/>
      <c r="Y355" s="957"/>
      <c r="Z355" s="957"/>
      <c r="AA355" s="957"/>
      <c r="AB355" s="957"/>
      <c r="AC355" s="957"/>
      <c r="AD355" s="957"/>
    </row>
    <row r="356" ht="15.75" customHeight="1">
      <c r="A356" s="518"/>
      <c r="B356" s="517"/>
      <c r="C356" s="518"/>
      <c r="D356" s="992"/>
      <c r="E356" s="989"/>
      <c r="F356" s="989"/>
      <c r="G356" s="993"/>
      <c r="H356" s="993"/>
      <c r="I356" s="986"/>
      <c r="J356" s="523"/>
      <c r="K356" s="994"/>
      <c r="L356" s="995"/>
      <c r="M356" s="704"/>
      <c r="N356" s="704"/>
      <c r="O356" s="704"/>
      <c r="P356" s="957"/>
      <c r="Q356" s="957"/>
      <c r="R356" s="957"/>
      <c r="S356" s="957"/>
      <c r="T356" s="957"/>
      <c r="U356" s="957"/>
      <c r="V356" s="957"/>
      <c r="W356" s="957"/>
      <c r="X356" s="957"/>
      <c r="Y356" s="957"/>
      <c r="Z356" s="957"/>
      <c r="AA356" s="957"/>
      <c r="AB356" s="957"/>
      <c r="AC356" s="957"/>
      <c r="AD356" s="957"/>
    </row>
    <row r="357" ht="15.75" customHeight="1">
      <c r="A357" s="518"/>
      <c r="B357" s="517"/>
      <c r="C357" s="518"/>
      <c r="D357" s="992"/>
      <c r="E357" s="989"/>
      <c r="F357" s="989"/>
      <c r="G357" s="993"/>
      <c r="H357" s="993"/>
      <c r="I357" s="986"/>
      <c r="J357" s="523"/>
      <c r="K357" s="994"/>
      <c r="L357" s="995"/>
      <c r="M357" s="704"/>
      <c r="N357" s="704"/>
      <c r="O357" s="704"/>
      <c r="P357" s="957"/>
      <c r="Q357" s="957"/>
      <c r="R357" s="957"/>
      <c r="S357" s="957"/>
      <c r="T357" s="957"/>
      <c r="U357" s="957"/>
      <c r="V357" s="957"/>
      <c r="W357" s="957"/>
      <c r="X357" s="957"/>
      <c r="Y357" s="957"/>
      <c r="Z357" s="957"/>
      <c r="AA357" s="957"/>
      <c r="AB357" s="957"/>
      <c r="AC357" s="957"/>
      <c r="AD357" s="957"/>
    </row>
    <row r="358" ht="15.75" customHeight="1">
      <c r="A358" s="518"/>
      <c r="B358" s="517"/>
      <c r="C358" s="518"/>
      <c r="D358" s="992"/>
      <c r="E358" s="989"/>
      <c r="F358" s="989"/>
      <c r="G358" s="993"/>
      <c r="H358" s="993"/>
      <c r="I358" s="986"/>
      <c r="J358" s="523"/>
      <c r="K358" s="994"/>
      <c r="L358" s="995"/>
      <c r="M358" s="704"/>
      <c r="N358" s="704"/>
      <c r="O358" s="704"/>
      <c r="P358" s="957"/>
      <c r="Q358" s="957"/>
      <c r="R358" s="957"/>
      <c r="S358" s="957"/>
      <c r="T358" s="957"/>
      <c r="U358" s="957"/>
      <c r="V358" s="957"/>
      <c r="W358" s="957"/>
      <c r="X358" s="957"/>
      <c r="Y358" s="957"/>
      <c r="Z358" s="957"/>
      <c r="AA358" s="957"/>
      <c r="AB358" s="957"/>
      <c r="AC358" s="957"/>
      <c r="AD358" s="957"/>
    </row>
    <row r="359" ht="15.75" customHeight="1">
      <c r="A359" s="518"/>
      <c r="B359" s="517"/>
      <c r="C359" s="518"/>
      <c r="D359" s="992"/>
      <c r="E359" s="989"/>
      <c r="F359" s="989"/>
      <c r="G359" s="993"/>
      <c r="H359" s="993"/>
      <c r="I359" s="986"/>
      <c r="J359" s="523"/>
      <c r="K359" s="994"/>
      <c r="L359" s="995"/>
      <c r="M359" s="704"/>
      <c r="N359" s="704"/>
      <c r="O359" s="704"/>
      <c r="P359" s="957"/>
      <c r="Q359" s="957"/>
      <c r="R359" s="957"/>
      <c r="S359" s="957"/>
      <c r="T359" s="957"/>
      <c r="U359" s="957"/>
      <c r="V359" s="957"/>
      <c r="W359" s="957"/>
      <c r="X359" s="957"/>
      <c r="Y359" s="957"/>
      <c r="Z359" s="957"/>
      <c r="AA359" s="957"/>
      <c r="AB359" s="957"/>
      <c r="AC359" s="957"/>
      <c r="AD359" s="957"/>
    </row>
    <row r="360" ht="15.75" customHeight="1">
      <c r="A360" s="518"/>
      <c r="B360" s="517"/>
      <c r="C360" s="518"/>
      <c r="D360" s="992"/>
      <c r="E360" s="989"/>
      <c r="F360" s="989"/>
      <c r="G360" s="993"/>
      <c r="H360" s="993"/>
      <c r="I360" s="986"/>
      <c r="J360" s="523"/>
      <c r="K360" s="994"/>
      <c r="L360" s="995"/>
      <c r="M360" s="704"/>
      <c r="N360" s="704"/>
      <c r="O360" s="704"/>
      <c r="P360" s="957"/>
      <c r="Q360" s="957"/>
      <c r="R360" s="957"/>
      <c r="S360" s="957"/>
      <c r="T360" s="957"/>
      <c r="U360" s="957"/>
      <c r="V360" s="957"/>
      <c r="W360" s="957"/>
      <c r="X360" s="957"/>
      <c r="Y360" s="957"/>
      <c r="Z360" s="957"/>
      <c r="AA360" s="957"/>
      <c r="AB360" s="957"/>
      <c r="AC360" s="957"/>
      <c r="AD360" s="957"/>
    </row>
    <row r="361" ht="15.75" customHeight="1">
      <c r="A361" s="518"/>
      <c r="B361" s="517"/>
      <c r="C361" s="518"/>
      <c r="D361" s="992"/>
      <c r="E361" s="989"/>
      <c r="F361" s="989"/>
      <c r="G361" s="993"/>
      <c r="H361" s="993"/>
      <c r="I361" s="986"/>
      <c r="J361" s="523"/>
      <c r="K361" s="994"/>
      <c r="L361" s="995"/>
      <c r="M361" s="704"/>
      <c r="N361" s="704"/>
      <c r="O361" s="704"/>
      <c r="P361" s="957"/>
      <c r="Q361" s="957"/>
      <c r="R361" s="957"/>
      <c r="S361" s="957"/>
      <c r="T361" s="957"/>
      <c r="U361" s="957"/>
      <c r="V361" s="957"/>
      <c r="W361" s="957"/>
      <c r="X361" s="957"/>
      <c r="Y361" s="957"/>
      <c r="Z361" s="957"/>
      <c r="AA361" s="957"/>
      <c r="AB361" s="957"/>
      <c r="AC361" s="957"/>
      <c r="AD361" s="957"/>
    </row>
    <row r="362" ht="15.75" customHeight="1">
      <c r="A362" s="518"/>
      <c r="B362" s="517"/>
      <c r="C362" s="518"/>
      <c r="D362" s="992"/>
      <c r="E362" s="989"/>
      <c r="F362" s="989"/>
      <c r="G362" s="993"/>
      <c r="H362" s="993"/>
      <c r="I362" s="986"/>
      <c r="J362" s="523"/>
      <c r="K362" s="994"/>
      <c r="L362" s="995"/>
      <c r="M362" s="704"/>
      <c r="N362" s="704"/>
      <c r="O362" s="704"/>
      <c r="P362" s="957"/>
      <c r="Q362" s="957"/>
      <c r="R362" s="957"/>
      <c r="S362" s="957"/>
      <c r="T362" s="957"/>
      <c r="U362" s="957"/>
      <c r="V362" s="957"/>
      <c r="W362" s="957"/>
      <c r="X362" s="957"/>
      <c r="Y362" s="957"/>
      <c r="Z362" s="957"/>
      <c r="AA362" s="957"/>
      <c r="AB362" s="957"/>
      <c r="AC362" s="957"/>
      <c r="AD362" s="957"/>
    </row>
    <row r="363" ht="15.75" customHeight="1">
      <c r="A363" s="518"/>
      <c r="B363" s="517"/>
      <c r="C363" s="518"/>
      <c r="D363" s="992"/>
      <c r="E363" s="989"/>
      <c r="F363" s="989"/>
      <c r="G363" s="993"/>
      <c r="H363" s="993"/>
      <c r="I363" s="986"/>
      <c r="J363" s="523"/>
      <c r="K363" s="994"/>
      <c r="L363" s="995"/>
      <c r="M363" s="704"/>
      <c r="N363" s="704"/>
      <c r="O363" s="704"/>
      <c r="P363" s="957"/>
      <c r="Q363" s="957"/>
      <c r="R363" s="957"/>
      <c r="S363" s="957"/>
      <c r="T363" s="957"/>
      <c r="U363" s="957"/>
      <c r="V363" s="957"/>
      <c r="W363" s="957"/>
      <c r="X363" s="957"/>
      <c r="Y363" s="957"/>
      <c r="Z363" s="957"/>
      <c r="AA363" s="957"/>
      <c r="AB363" s="957"/>
      <c r="AC363" s="957"/>
      <c r="AD363" s="957"/>
    </row>
    <row r="364" ht="15.75" customHeight="1">
      <c r="A364" s="518"/>
      <c r="B364" s="517"/>
      <c r="C364" s="518"/>
      <c r="D364" s="992"/>
      <c r="E364" s="989"/>
      <c r="F364" s="989"/>
      <c r="G364" s="993"/>
      <c r="H364" s="993"/>
      <c r="I364" s="986"/>
      <c r="J364" s="523"/>
      <c r="K364" s="994"/>
      <c r="L364" s="995"/>
      <c r="M364" s="704"/>
      <c r="N364" s="704"/>
      <c r="O364" s="704"/>
      <c r="P364" s="957"/>
      <c r="Q364" s="957"/>
      <c r="R364" s="957"/>
      <c r="S364" s="957"/>
      <c r="T364" s="957"/>
      <c r="U364" s="957"/>
      <c r="V364" s="957"/>
      <c r="W364" s="957"/>
      <c r="X364" s="957"/>
      <c r="Y364" s="957"/>
      <c r="Z364" s="957"/>
      <c r="AA364" s="957"/>
      <c r="AB364" s="957"/>
      <c r="AC364" s="957"/>
      <c r="AD364" s="957"/>
    </row>
    <row r="365" ht="15.75" customHeight="1">
      <c r="A365" s="518"/>
      <c r="B365" s="517"/>
      <c r="C365" s="518"/>
      <c r="D365" s="992"/>
      <c r="E365" s="989"/>
      <c r="F365" s="989"/>
      <c r="G365" s="993"/>
      <c r="H365" s="993"/>
      <c r="I365" s="986"/>
      <c r="J365" s="523"/>
      <c r="K365" s="994"/>
      <c r="L365" s="995"/>
      <c r="M365" s="704"/>
      <c r="N365" s="704"/>
      <c r="O365" s="704"/>
      <c r="P365" s="957"/>
      <c r="Q365" s="957"/>
      <c r="R365" s="957"/>
      <c r="S365" s="957"/>
      <c r="T365" s="957"/>
      <c r="U365" s="957"/>
      <c r="V365" s="957"/>
      <c r="W365" s="957"/>
      <c r="X365" s="957"/>
      <c r="Y365" s="957"/>
      <c r="Z365" s="957"/>
      <c r="AA365" s="957"/>
      <c r="AB365" s="957"/>
      <c r="AC365" s="957"/>
      <c r="AD365" s="957"/>
    </row>
    <row r="366" ht="15.75" customHeight="1">
      <c r="A366" s="518"/>
      <c r="B366" s="517"/>
      <c r="C366" s="518"/>
      <c r="D366" s="992"/>
      <c r="E366" s="989"/>
      <c r="F366" s="989"/>
      <c r="G366" s="993"/>
      <c r="H366" s="993"/>
      <c r="I366" s="986"/>
      <c r="J366" s="523"/>
      <c r="K366" s="994"/>
      <c r="L366" s="995"/>
      <c r="M366" s="704"/>
      <c r="N366" s="704"/>
      <c r="O366" s="704"/>
      <c r="P366" s="957"/>
      <c r="Q366" s="957"/>
      <c r="R366" s="957"/>
      <c r="S366" s="957"/>
      <c r="T366" s="957"/>
      <c r="U366" s="957"/>
      <c r="V366" s="957"/>
      <c r="W366" s="957"/>
      <c r="X366" s="957"/>
      <c r="Y366" s="957"/>
      <c r="Z366" s="957"/>
      <c r="AA366" s="957"/>
      <c r="AB366" s="957"/>
      <c r="AC366" s="957"/>
      <c r="AD366" s="957"/>
    </row>
    <row r="367" ht="15.75" customHeight="1">
      <c r="A367" s="518"/>
      <c r="B367" s="517"/>
      <c r="C367" s="518"/>
      <c r="D367" s="992"/>
      <c r="E367" s="989"/>
      <c r="F367" s="989"/>
      <c r="G367" s="993"/>
      <c r="H367" s="993"/>
      <c r="I367" s="986"/>
      <c r="J367" s="523"/>
      <c r="K367" s="994"/>
      <c r="L367" s="995"/>
      <c r="M367" s="704"/>
      <c r="N367" s="704"/>
      <c r="O367" s="704"/>
      <c r="P367" s="957"/>
      <c r="Q367" s="957"/>
      <c r="R367" s="957"/>
      <c r="S367" s="957"/>
      <c r="T367" s="957"/>
      <c r="U367" s="957"/>
      <c r="V367" s="957"/>
      <c r="W367" s="957"/>
      <c r="X367" s="957"/>
      <c r="Y367" s="957"/>
      <c r="Z367" s="957"/>
      <c r="AA367" s="957"/>
      <c r="AB367" s="957"/>
      <c r="AC367" s="957"/>
      <c r="AD367" s="957"/>
    </row>
    <row r="368" ht="15.75" customHeight="1">
      <c r="A368" s="518"/>
      <c r="B368" s="517"/>
      <c r="C368" s="518"/>
      <c r="D368" s="992"/>
      <c r="E368" s="989"/>
      <c r="F368" s="989"/>
      <c r="G368" s="993"/>
      <c r="H368" s="993"/>
      <c r="I368" s="986"/>
      <c r="J368" s="523"/>
      <c r="K368" s="994"/>
      <c r="L368" s="995"/>
      <c r="M368" s="704"/>
      <c r="N368" s="704"/>
      <c r="O368" s="704"/>
      <c r="P368" s="957"/>
      <c r="Q368" s="957"/>
      <c r="R368" s="957"/>
      <c r="S368" s="957"/>
      <c r="T368" s="957"/>
      <c r="U368" s="957"/>
      <c r="V368" s="957"/>
      <c r="W368" s="957"/>
      <c r="X368" s="957"/>
      <c r="Y368" s="957"/>
      <c r="Z368" s="957"/>
      <c r="AA368" s="957"/>
      <c r="AB368" s="957"/>
      <c r="AC368" s="957"/>
      <c r="AD368" s="957"/>
    </row>
    <row r="369" ht="15.75" customHeight="1">
      <c r="A369" s="518"/>
      <c r="B369" s="517"/>
      <c r="C369" s="518"/>
      <c r="D369" s="992"/>
      <c r="E369" s="989"/>
      <c r="F369" s="989"/>
      <c r="G369" s="993"/>
      <c r="H369" s="993"/>
      <c r="I369" s="986"/>
      <c r="J369" s="523"/>
      <c r="K369" s="994"/>
      <c r="L369" s="995"/>
      <c r="M369" s="704"/>
      <c r="N369" s="704"/>
      <c r="O369" s="704"/>
      <c r="P369" s="957"/>
      <c r="Q369" s="957"/>
      <c r="R369" s="957"/>
      <c r="S369" s="957"/>
      <c r="T369" s="957"/>
      <c r="U369" s="957"/>
      <c r="V369" s="957"/>
      <c r="W369" s="957"/>
      <c r="X369" s="957"/>
      <c r="Y369" s="957"/>
      <c r="Z369" s="957"/>
      <c r="AA369" s="957"/>
      <c r="AB369" s="957"/>
      <c r="AC369" s="957"/>
      <c r="AD369" s="957"/>
    </row>
    <row r="370" ht="15.75" customHeight="1">
      <c r="A370" s="518"/>
      <c r="B370" s="517"/>
      <c r="C370" s="518"/>
      <c r="D370" s="992"/>
      <c r="E370" s="989"/>
      <c r="F370" s="989"/>
      <c r="G370" s="993"/>
      <c r="H370" s="993"/>
      <c r="I370" s="986"/>
      <c r="J370" s="523"/>
      <c r="K370" s="994"/>
      <c r="L370" s="995"/>
      <c r="M370" s="704"/>
      <c r="N370" s="704"/>
      <c r="O370" s="704"/>
      <c r="P370" s="957"/>
      <c r="Q370" s="957"/>
      <c r="R370" s="957"/>
      <c r="S370" s="957"/>
      <c r="T370" s="957"/>
      <c r="U370" s="957"/>
      <c r="V370" s="957"/>
      <c r="W370" s="957"/>
      <c r="X370" s="957"/>
      <c r="Y370" s="957"/>
      <c r="Z370" s="957"/>
      <c r="AA370" s="957"/>
      <c r="AB370" s="957"/>
      <c r="AC370" s="957"/>
      <c r="AD370" s="957"/>
    </row>
    <row r="371" ht="15.75" customHeight="1">
      <c r="A371" s="518"/>
      <c r="B371" s="517"/>
      <c r="C371" s="518"/>
      <c r="D371" s="992"/>
      <c r="E371" s="989"/>
      <c r="F371" s="989"/>
      <c r="G371" s="993"/>
      <c r="H371" s="993"/>
      <c r="I371" s="986"/>
      <c r="J371" s="523"/>
      <c r="K371" s="994"/>
      <c r="L371" s="995"/>
      <c r="M371" s="704"/>
      <c r="N371" s="704"/>
      <c r="O371" s="704"/>
      <c r="P371" s="957"/>
      <c r="Q371" s="957"/>
      <c r="R371" s="957"/>
      <c r="S371" s="957"/>
      <c r="T371" s="957"/>
      <c r="U371" s="957"/>
      <c r="V371" s="957"/>
      <c r="W371" s="957"/>
      <c r="X371" s="957"/>
      <c r="Y371" s="957"/>
      <c r="Z371" s="957"/>
      <c r="AA371" s="957"/>
      <c r="AB371" s="957"/>
      <c r="AC371" s="957"/>
      <c r="AD371" s="957"/>
    </row>
    <row r="372" ht="15.75" customHeight="1">
      <c r="A372" s="518"/>
      <c r="B372" s="517"/>
      <c r="C372" s="518"/>
      <c r="D372" s="992"/>
      <c r="E372" s="989"/>
      <c r="F372" s="989"/>
      <c r="G372" s="993"/>
      <c r="H372" s="993"/>
      <c r="I372" s="986"/>
      <c r="J372" s="523"/>
      <c r="K372" s="994"/>
      <c r="L372" s="995"/>
      <c r="M372" s="704"/>
      <c r="N372" s="704"/>
      <c r="O372" s="704"/>
      <c r="P372" s="957"/>
      <c r="Q372" s="957"/>
      <c r="R372" s="957"/>
      <c r="S372" s="957"/>
      <c r="T372" s="957"/>
      <c r="U372" s="957"/>
      <c r="V372" s="957"/>
      <c r="W372" s="957"/>
      <c r="X372" s="957"/>
      <c r="Y372" s="957"/>
      <c r="Z372" s="957"/>
      <c r="AA372" s="957"/>
      <c r="AB372" s="957"/>
      <c r="AC372" s="957"/>
      <c r="AD372" s="957"/>
    </row>
    <row r="373" ht="15.75" customHeight="1">
      <c r="A373" s="518"/>
      <c r="B373" s="517"/>
      <c r="C373" s="518"/>
      <c r="D373" s="992"/>
      <c r="E373" s="989"/>
      <c r="F373" s="989"/>
      <c r="G373" s="993"/>
      <c r="H373" s="993"/>
      <c r="I373" s="986"/>
      <c r="J373" s="523"/>
      <c r="K373" s="994"/>
      <c r="L373" s="995"/>
      <c r="M373" s="704"/>
      <c r="N373" s="704"/>
      <c r="O373" s="704"/>
      <c r="P373" s="957"/>
      <c r="Q373" s="957"/>
      <c r="R373" s="957"/>
      <c r="S373" s="957"/>
      <c r="T373" s="957"/>
      <c r="U373" s="957"/>
      <c r="V373" s="957"/>
      <c r="W373" s="957"/>
      <c r="X373" s="957"/>
      <c r="Y373" s="957"/>
      <c r="Z373" s="957"/>
      <c r="AA373" s="957"/>
      <c r="AB373" s="957"/>
      <c r="AC373" s="957"/>
      <c r="AD373" s="957"/>
    </row>
    <row r="374" ht="15.75" customHeight="1">
      <c r="A374" s="518"/>
      <c r="B374" s="517"/>
      <c r="C374" s="518"/>
      <c r="D374" s="992"/>
      <c r="E374" s="989"/>
      <c r="F374" s="989"/>
      <c r="G374" s="993"/>
      <c r="H374" s="993"/>
      <c r="I374" s="986"/>
      <c r="J374" s="523"/>
      <c r="K374" s="994"/>
      <c r="L374" s="995"/>
      <c r="M374" s="704"/>
      <c r="N374" s="704"/>
      <c r="O374" s="704"/>
      <c r="P374" s="957"/>
      <c r="Q374" s="957"/>
      <c r="R374" s="957"/>
      <c r="S374" s="957"/>
      <c r="T374" s="957"/>
      <c r="U374" s="957"/>
      <c r="V374" s="957"/>
      <c r="W374" s="957"/>
      <c r="X374" s="957"/>
      <c r="Y374" s="957"/>
      <c r="Z374" s="957"/>
      <c r="AA374" s="957"/>
      <c r="AB374" s="957"/>
      <c r="AC374" s="957"/>
      <c r="AD374" s="957"/>
    </row>
    <row r="375" ht="15.75" customHeight="1">
      <c r="A375" s="518"/>
      <c r="B375" s="517"/>
      <c r="C375" s="518"/>
      <c r="D375" s="992"/>
      <c r="E375" s="989"/>
      <c r="F375" s="989"/>
      <c r="G375" s="993"/>
      <c r="H375" s="993"/>
      <c r="I375" s="986"/>
      <c r="J375" s="523"/>
      <c r="K375" s="994"/>
      <c r="L375" s="995"/>
      <c r="M375" s="704"/>
      <c r="N375" s="704"/>
      <c r="O375" s="704"/>
      <c r="P375" s="957"/>
      <c r="Q375" s="957"/>
      <c r="R375" s="957"/>
      <c r="S375" s="957"/>
      <c r="T375" s="957"/>
      <c r="U375" s="957"/>
      <c r="V375" s="957"/>
      <c r="W375" s="957"/>
      <c r="X375" s="957"/>
      <c r="Y375" s="957"/>
      <c r="Z375" s="957"/>
      <c r="AA375" s="957"/>
      <c r="AB375" s="957"/>
      <c r="AC375" s="957"/>
      <c r="AD375" s="957"/>
    </row>
    <row r="376" ht="15.75" customHeight="1">
      <c r="A376" s="518"/>
      <c r="B376" s="517"/>
      <c r="C376" s="518"/>
      <c r="D376" s="992"/>
      <c r="E376" s="989"/>
      <c r="F376" s="989"/>
      <c r="G376" s="993"/>
      <c r="H376" s="993"/>
      <c r="I376" s="986"/>
      <c r="J376" s="523"/>
      <c r="K376" s="994"/>
      <c r="L376" s="995"/>
      <c r="M376" s="704"/>
      <c r="N376" s="704"/>
      <c r="O376" s="704"/>
      <c r="P376" s="957"/>
      <c r="Q376" s="957"/>
      <c r="R376" s="957"/>
      <c r="S376" s="957"/>
      <c r="T376" s="957"/>
      <c r="U376" s="957"/>
      <c r="V376" s="957"/>
      <c r="W376" s="957"/>
      <c r="X376" s="957"/>
      <c r="Y376" s="957"/>
      <c r="Z376" s="957"/>
      <c r="AA376" s="957"/>
      <c r="AB376" s="957"/>
      <c r="AC376" s="957"/>
      <c r="AD376" s="957"/>
    </row>
    <row r="377" ht="15.75" customHeight="1">
      <c r="A377" s="518"/>
      <c r="B377" s="517"/>
      <c r="C377" s="518"/>
      <c r="D377" s="992"/>
      <c r="E377" s="989"/>
      <c r="F377" s="989"/>
      <c r="G377" s="993"/>
      <c r="H377" s="993"/>
      <c r="I377" s="986"/>
      <c r="J377" s="523"/>
      <c r="K377" s="994"/>
      <c r="L377" s="995"/>
      <c r="M377" s="704"/>
      <c r="N377" s="704"/>
      <c r="O377" s="704"/>
      <c r="P377" s="957"/>
      <c r="Q377" s="957"/>
      <c r="R377" s="957"/>
      <c r="S377" s="957"/>
      <c r="T377" s="957"/>
      <c r="U377" s="957"/>
      <c r="V377" s="957"/>
      <c r="W377" s="957"/>
      <c r="X377" s="957"/>
      <c r="Y377" s="957"/>
      <c r="Z377" s="957"/>
      <c r="AA377" s="957"/>
      <c r="AB377" s="957"/>
      <c r="AC377" s="957"/>
      <c r="AD377" s="957"/>
    </row>
    <row r="378" ht="15.75" customHeight="1">
      <c r="A378" s="518"/>
      <c r="B378" s="517"/>
      <c r="C378" s="518"/>
      <c r="D378" s="992"/>
      <c r="E378" s="989"/>
      <c r="F378" s="989"/>
      <c r="G378" s="993"/>
      <c r="H378" s="993"/>
      <c r="I378" s="986"/>
      <c r="J378" s="523"/>
      <c r="K378" s="994"/>
      <c r="L378" s="995"/>
      <c r="M378" s="704"/>
      <c r="N378" s="704"/>
      <c r="O378" s="704"/>
      <c r="P378" s="957"/>
      <c r="Q378" s="957"/>
      <c r="R378" s="957"/>
      <c r="S378" s="957"/>
      <c r="T378" s="957"/>
      <c r="U378" s="957"/>
      <c r="V378" s="957"/>
      <c r="W378" s="957"/>
      <c r="X378" s="957"/>
      <c r="Y378" s="957"/>
      <c r="Z378" s="957"/>
      <c r="AA378" s="957"/>
      <c r="AB378" s="957"/>
      <c r="AC378" s="957"/>
      <c r="AD378" s="957"/>
    </row>
    <row r="379" ht="15.75" customHeight="1">
      <c r="A379" s="518"/>
      <c r="B379" s="517"/>
      <c r="C379" s="518"/>
      <c r="D379" s="992"/>
      <c r="E379" s="989"/>
      <c r="F379" s="989"/>
      <c r="G379" s="993"/>
      <c r="H379" s="993"/>
      <c r="I379" s="986"/>
      <c r="J379" s="523"/>
      <c r="K379" s="994"/>
      <c r="L379" s="995"/>
      <c r="M379" s="704"/>
      <c r="N379" s="704"/>
      <c r="O379" s="704"/>
      <c r="P379" s="957"/>
      <c r="Q379" s="957"/>
      <c r="R379" s="957"/>
      <c r="S379" s="957"/>
      <c r="T379" s="957"/>
      <c r="U379" s="957"/>
      <c r="V379" s="957"/>
      <c r="W379" s="957"/>
      <c r="X379" s="957"/>
      <c r="Y379" s="957"/>
      <c r="Z379" s="957"/>
      <c r="AA379" s="957"/>
      <c r="AB379" s="957"/>
      <c r="AC379" s="957"/>
      <c r="AD379" s="957"/>
    </row>
    <row r="380" ht="15.75" customHeight="1">
      <c r="A380" s="518"/>
      <c r="B380" s="517"/>
      <c r="C380" s="518"/>
      <c r="D380" s="992"/>
      <c r="E380" s="989"/>
      <c r="F380" s="989"/>
      <c r="G380" s="993"/>
      <c r="H380" s="993"/>
      <c r="I380" s="986"/>
      <c r="J380" s="523"/>
      <c r="K380" s="994"/>
      <c r="L380" s="995"/>
      <c r="M380" s="704"/>
      <c r="N380" s="704"/>
      <c r="O380" s="704"/>
      <c r="P380" s="957"/>
      <c r="Q380" s="957"/>
      <c r="R380" s="957"/>
      <c r="S380" s="957"/>
      <c r="T380" s="957"/>
      <c r="U380" s="957"/>
      <c r="V380" s="957"/>
      <c r="W380" s="957"/>
      <c r="X380" s="957"/>
      <c r="Y380" s="957"/>
      <c r="Z380" s="957"/>
      <c r="AA380" s="957"/>
      <c r="AB380" s="957"/>
      <c r="AC380" s="957"/>
      <c r="AD380" s="957"/>
    </row>
    <row r="381" ht="15.75" customHeight="1">
      <c r="A381" s="518"/>
      <c r="B381" s="517"/>
      <c r="C381" s="518"/>
      <c r="D381" s="992"/>
      <c r="E381" s="989"/>
      <c r="F381" s="989"/>
      <c r="G381" s="993"/>
      <c r="H381" s="993"/>
      <c r="I381" s="986"/>
      <c r="J381" s="523"/>
      <c r="K381" s="994"/>
      <c r="L381" s="995"/>
      <c r="M381" s="704"/>
      <c r="N381" s="704"/>
      <c r="O381" s="704"/>
      <c r="P381" s="957"/>
      <c r="Q381" s="957"/>
      <c r="R381" s="957"/>
      <c r="S381" s="957"/>
      <c r="T381" s="957"/>
      <c r="U381" s="957"/>
      <c r="V381" s="957"/>
      <c r="W381" s="957"/>
      <c r="X381" s="957"/>
      <c r="Y381" s="957"/>
      <c r="Z381" s="957"/>
      <c r="AA381" s="957"/>
      <c r="AB381" s="957"/>
      <c r="AC381" s="957"/>
      <c r="AD381" s="957"/>
    </row>
    <row r="382" ht="15.75" customHeight="1">
      <c r="A382" s="518"/>
      <c r="B382" s="517"/>
      <c r="C382" s="518"/>
      <c r="D382" s="992"/>
      <c r="E382" s="989"/>
      <c r="F382" s="989"/>
      <c r="G382" s="993"/>
      <c r="H382" s="993"/>
      <c r="I382" s="986"/>
      <c r="J382" s="523"/>
      <c r="K382" s="994"/>
      <c r="L382" s="995"/>
      <c r="M382" s="704"/>
      <c r="N382" s="704"/>
      <c r="O382" s="704"/>
      <c r="P382" s="957"/>
      <c r="Q382" s="957"/>
      <c r="R382" s="957"/>
      <c r="S382" s="957"/>
      <c r="T382" s="957"/>
      <c r="U382" s="957"/>
      <c r="V382" s="957"/>
      <c r="W382" s="957"/>
      <c r="X382" s="957"/>
      <c r="Y382" s="957"/>
      <c r="Z382" s="957"/>
      <c r="AA382" s="957"/>
      <c r="AB382" s="957"/>
      <c r="AC382" s="957"/>
      <c r="AD382" s="957"/>
    </row>
    <row r="383" ht="15.75" customHeight="1">
      <c r="A383" s="518"/>
      <c r="B383" s="517"/>
      <c r="C383" s="518"/>
      <c r="D383" s="992"/>
      <c r="E383" s="989"/>
      <c r="F383" s="989"/>
      <c r="G383" s="993"/>
      <c r="H383" s="993"/>
      <c r="I383" s="986"/>
      <c r="J383" s="523"/>
      <c r="K383" s="994"/>
      <c r="L383" s="995"/>
      <c r="M383" s="704"/>
      <c r="N383" s="704"/>
      <c r="O383" s="704"/>
      <c r="P383" s="957"/>
      <c r="Q383" s="957"/>
      <c r="R383" s="957"/>
      <c r="S383" s="957"/>
      <c r="T383" s="957"/>
      <c r="U383" s="957"/>
      <c r="V383" s="957"/>
      <c r="W383" s="957"/>
      <c r="X383" s="957"/>
      <c r="Y383" s="957"/>
      <c r="Z383" s="957"/>
      <c r="AA383" s="957"/>
      <c r="AB383" s="957"/>
      <c r="AC383" s="957"/>
      <c r="AD383" s="957"/>
    </row>
    <row r="384" ht="15.75" customHeight="1">
      <c r="A384" s="518"/>
      <c r="B384" s="517"/>
      <c r="C384" s="518"/>
      <c r="D384" s="992"/>
      <c r="E384" s="989"/>
      <c r="F384" s="989"/>
      <c r="G384" s="993"/>
      <c r="H384" s="993"/>
      <c r="I384" s="986"/>
      <c r="J384" s="523"/>
      <c r="K384" s="994"/>
      <c r="L384" s="995"/>
      <c r="M384" s="704"/>
      <c r="N384" s="704"/>
      <c r="O384" s="704"/>
      <c r="P384" s="957"/>
      <c r="Q384" s="957"/>
      <c r="R384" s="957"/>
      <c r="S384" s="957"/>
      <c r="T384" s="957"/>
      <c r="U384" s="957"/>
      <c r="V384" s="957"/>
      <c r="W384" s="957"/>
      <c r="X384" s="957"/>
      <c r="Y384" s="957"/>
      <c r="Z384" s="957"/>
      <c r="AA384" s="957"/>
      <c r="AB384" s="957"/>
      <c r="AC384" s="957"/>
      <c r="AD384" s="957"/>
    </row>
    <row r="385" ht="15.75" customHeight="1">
      <c r="A385" s="518"/>
      <c r="B385" s="517"/>
      <c r="C385" s="518"/>
      <c r="D385" s="992"/>
      <c r="E385" s="989"/>
      <c r="F385" s="989"/>
      <c r="G385" s="993"/>
      <c r="H385" s="993"/>
      <c r="I385" s="986"/>
      <c r="J385" s="523"/>
      <c r="K385" s="994"/>
      <c r="L385" s="995"/>
      <c r="M385" s="704"/>
      <c r="N385" s="704"/>
      <c r="O385" s="704"/>
      <c r="P385" s="957"/>
      <c r="Q385" s="957"/>
      <c r="R385" s="957"/>
      <c r="S385" s="957"/>
      <c r="T385" s="957"/>
      <c r="U385" s="957"/>
      <c r="V385" s="957"/>
      <c r="W385" s="957"/>
      <c r="X385" s="957"/>
      <c r="Y385" s="957"/>
      <c r="Z385" s="957"/>
      <c r="AA385" s="957"/>
      <c r="AB385" s="957"/>
      <c r="AC385" s="957"/>
      <c r="AD385" s="957"/>
    </row>
    <row r="386" ht="15.75" customHeight="1">
      <c r="A386" s="518"/>
      <c r="B386" s="517"/>
      <c r="C386" s="518"/>
      <c r="D386" s="992"/>
      <c r="E386" s="989"/>
      <c r="F386" s="989"/>
      <c r="G386" s="993"/>
      <c r="H386" s="993"/>
      <c r="I386" s="986"/>
      <c r="J386" s="523"/>
      <c r="K386" s="994"/>
      <c r="L386" s="995"/>
      <c r="M386" s="704"/>
      <c r="N386" s="704"/>
      <c r="O386" s="704"/>
      <c r="P386" s="957"/>
      <c r="Q386" s="957"/>
      <c r="R386" s="957"/>
      <c r="S386" s="957"/>
      <c r="T386" s="957"/>
      <c r="U386" s="957"/>
      <c r="V386" s="957"/>
      <c r="W386" s="957"/>
      <c r="X386" s="957"/>
      <c r="Y386" s="957"/>
      <c r="Z386" s="957"/>
      <c r="AA386" s="957"/>
      <c r="AB386" s="957"/>
      <c r="AC386" s="957"/>
      <c r="AD386" s="957"/>
    </row>
    <row r="387" ht="15.75" customHeight="1">
      <c r="A387" s="518"/>
      <c r="B387" s="517"/>
      <c r="C387" s="518"/>
      <c r="D387" s="992"/>
      <c r="E387" s="989"/>
      <c r="F387" s="989"/>
      <c r="G387" s="993"/>
      <c r="H387" s="993"/>
      <c r="I387" s="986"/>
      <c r="J387" s="523"/>
      <c r="K387" s="994"/>
      <c r="L387" s="995"/>
      <c r="M387" s="704"/>
      <c r="N387" s="704"/>
      <c r="O387" s="704"/>
      <c r="P387" s="957"/>
      <c r="Q387" s="957"/>
      <c r="R387" s="957"/>
      <c r="S387" s="957"/>
      <c r="T387" s="957"/>
      <c r="U387" s="957"/>
      <c r="V387" s="957"/>
      <c r="W387" s="957"/>
      <c r="X387" s="957"/>
      <c r="Y387" s="957"/>
      <c r="Z387" s="957"/>
      <c r="AA387" s="957"/>
      <c r="AB387" s="957"/>
      <c r="AC387" s="957"/>
      <c r="AD387" s="957"/>
    </row>
    <row r="388" ht="15.75" customHeight="1">
      <c r="A388" s="518"/>
      <c r="B388" s="517"/>
      <c r="C388" s="518"/>
      <c r="D388" s="992"/>
      <c r="E388" s="989"/>
      <c r="F388" s="989"/>
      <c r="G388" s="993"/>
      <c r="H388" s="993"/>
      <c r="I388" s="986"/>
      <c r="J388" s="523"/>
      <c r="K388" s="994"/>
      <c r="L388" s="995"/>
      <c r="M388" s="704"/>
      <c r="N388" s="704"/>
      <c r="O388" s="704"/>
      <c r="P388" s="957"/>
      <c r="Q388" s="957"/>
      <c r="R388" s="957"/>
      <c r="S388" s="957"/>
      <c r="T388" s="957"/>
      <c r="U388" s="957"/>
      <c r="V388" s="957"/>
      <c r="W388" s="957"/>
      <c r="X388" s="957"/>
      <c r="Y388" s="957"/>
      <c r="Z388" s="957"/>
      <c r="AA388" s="957"/>
      <c r="AB388" s="957"/>
      <c r="AC388" s="957"/>
      <c r="AD388" s="957"/>
    </row>
    <row r="389" ht="15.75" customHeight="1">
      <c r="A389" s="518"/>
      <c r="B389" s="517"/>
      <c r="C389" s="518"/>
      <c r="D389" s="992"/>
      <c r="E389" s="989"/>
      <c r="F389" s="989"/>
      <c r="G389" s="993"/>
      <c r="H389" s="993"/>
      <c r="I389" s="986"/>
      <c r="J389" s="523"/>
      <c r="K389" s="994"/>
      <c r="L389" s="995"/>
      <c r="M389" s="704"/>
      <c r="N389" s="704"/>
      <c r="O389" s="704"/>
      <c r="P389" s="957"/>
      <c r="Q389" s="957"/>
      <c r="R389" s="957"/>
      <c r="S389" s="957"/>
      <c r="T389" s="957"/>
      <c r="U389" s="957"/>
      <c r="V389" s="957"/>
      <c r="W389" s="957"/>
      <c r="X389" s="957"/>
      <c r="Y389" s="957"/>
      <c r="Z389" s="957"/>
      <c r="AA389" s="957"/>
      <c r="AB389" s="957"/>
      <c r="AC389" s="957"/>
      <c r="AD389" s="957"/>
    </row>
    <row r="390" ht="15.75" customHeight="1">
      <c r="A390" s="518"/>
      <c r="B390" s="517"/>
      <c r="C390" s="518"/>
      <c r="D390" s="992"/>
      <c r="E390" s="989"/>
      <c r="F390" s="989"/>
      <c r="G390" s="993"/>
      <c r="H390" s="993"/>
      <c r="I390" s="986"/>
      <c r="J390" s="523"/>
      <c r="K390" s="994"/>
      <c r="L390" s="995"/>
      <c r="M390" s="704"/>
      <c r="N390" s="704"/>
      <c r="O390" s="704"/>
      <c r="P390" s="957"/>
      <c r="Q390" s="957"/>
      <c r="R390" s="957"/>
      <c r="S390" s="957"/>
      <c r="T390" s="957"/>
      <c r="U390" s="957"/>
      <c r="V390" s="957"/>
      <c r="W390" s="957"/>
      <c r="X390" s="957"/>
      <c r="Y390" s="957"/>
      <c r="Z390" s="957"/>
      <c r="AA390" s="957"/>
      <c r="AB390" s="957"/>
      <c r="AC390" s="957"/>
      <c r="AD390" s="957"/>
    </row>
    <row r="391" ht="15.75" customHeight="1">
      <c r="A391" s="518"/>
      <c r="B391" s="517"/>
      <c r="C391" s="518"/>
      <c r="D391" s="992"/>
      <c r="E391" s="989"/>
      <c r="F391" s="989"/>
      <c r="G391" s="993"/>
      <c r="H391" s="993"/>
      <c r="I391" s="986"/>
      <c r="J391" s="523"/>
      <c r="K391" s="994"/>
      <c r="L391" s="995"/>
      <c r="M391" s="704"/>
      <c r="N391" s="704"/>
      <c r="O391" s="704"/>
      <c r="P391" s="957"/>
      <c r="Q391" s="957"/>
      <c r="R391" s="957"/>
      <c r="S391" s="957"/>
      <c r="T391" s="957"/>
      <c r="U391" s="957"/>
      <c r="V391" s="957"/>
      <c r="W391" s="957"/>
      <c r="X391" s="957"/>
      <c r="Y391" s="957"/>
      <c r="Z391" s="957"/>
      <c r="AA391" s="957"/>
      <c r="AB391" s="957"/>
      <c r="AC391" s="957"/>
      <c r="AD391" s="957"/>
    </row>
    <row r="392" ht="15.75" customHeight="1">
      <c r="A392" s="518"/>
      <c r="B392" s="517"/>
      <c r="C392" s="518"/>
      <c r="D392" s="992"/>
      <c r="E392" s="989"/>
      <c r="F392" s="989"/>
      <c r="G392" s="993"/>
      <c r="H392" s="993"/>
      <c r="I392" s="986"/>
      <c r="J392" s="523"/>
      <c r="K392" s="994"/>
      <c r="L392" s="995"/>
      <c r="M392" s="704"/>
      <c r="N392" s="704"/>
      <c r="O392" s="704"/>
      <c r="P392" s="957"/>
      <c r="Q392" s="957"/>
      <c r="R392" s="957"/>
      <c r="S392" s="957"/>
      <c r="T392" s="957"/>
      <c r="U392" s="957"/>
      <c r="V392" s="957"/>
      <c r="W392" s="957"/>
      <c r="X392" s="957"/>
      <c r="Y392" s="957"/>
      <c r="Z392" s="957"/>
      <c r="AA392" s="957"/>
      <c r="AB392" s="957"/>
      <c r="AC392" s="957"/>
      <c r="AD392" s="957"/>
    </row>
    <row r="393" ht="15.75" customHeight="1">
      <c r="A393" s="518"/>
      <c r="B393" s="517"/>
      <c r="C393" s="518"/>
      <c r="D393" s="992"/>
      <c r="E393" s="989"/>
      <c r="F393" s="989"/>
      <c r="G393" s="993"/>
      <c r="H393" s="993"/>
      <c r="I393" s="986"/>
      <c r="J393" s="523"/>
      <c r="K393" s="994"/>
      <c r="L393" s="995"/>
      <c r="M393" s="704"/>
      <c r="N393" s="704"/>
      <c r="O393" s="704"/>
      <c r="P393" s="957"/>
      <c r="Q393" s="957"/>
      <c r="R393" s="957"/>
      <c r="S393" s="957"/>
      <c r="T393" s="957"/>
      <c r="U393" s="957"/>
      <c r="V393" s="957"/>
      <c r="W393" s="957"/>
      <c r="X393" s="957"/>
      <c r="Y393" s="957"/>
      <c r="Z393" s="957"/>
      <c r="AA393" s="957"/>
      <c r="AB393" s="957"/>
      <c r="AC393" s="957"/>
      <c r="AD393" s="957"/>
    </row>
    <row r="394" ht="15.75" customHeight="1">
      <c r="A394" s="518"/>
      <c r="B394" s="517"/>
      <c r="C394" s="518"/>
      <c r="D394" s="992"/>
      <c r="E394" s="989"/>
      <c r="F394" s="989"/>
      <c r="G394" s="993"/>
      <c r="H394" s="993"/>
      <c r="I394" s="986"/>
      <c r="J394" s="523"/>
      <c r="K394" s="994"/>
      <c r="L394" s="995"/>
      <c r="M394" s="704"/>
      <c r="N394" s="704"/>
      <c r="O394" s="704"/>
      <c r="P394" s="957"/>
      <c r="Q394" s="957"/>
      <c r="R394" s="957"/>
      <c r="S394" s="957"/>
      <c r="T394" s="957"/>
      <c r="U394" s="957"/>
      <c r="V394" s="957"/>
      <c r="W394" s="957"/>
      <c r="X394" s="957"/>
      <c r="Y394" s="957"/>
      <c r="Z394" s="957"/>
      <c r="AA394" s="957"/>
      <c r="AB394" s="957"/>
      <c r="AC394" s="957"/>
      <c r="AD394" s="957"/>
    </row>
    <row r="395" ht="15.75" customHeight="1">
      <c r="A395" s="518"/>
      <c r="B395" s="517"/>
      <c r="C395" s="518"/>
      <c r="D395" s="992"/>
      <c r="E395" s="989"/>
      <c r="F395" s="989"/>
      <c r="G395" s="993"/>
      <c r="H395" s="993"/>
      <c r="I395" s="986"/>
      <c r="J395" s="523"/>
      <c r="K395" s="994"/>
      <c r="L395" s="995"/>
      <c r="M395" s="704"/>
      <c r="N395" s="704"/>
      <c r="O395" s="704"/>
      <c r="P395" s="957"/>
      <c r="Q395" s="957"/>
      <c r="R395" s="957"/>
      <c r="S395" s="957"/>
      <c r="T395" s="957"/>
      <c r="U395" s="957"/>
      <c r="V395" s="957"/>
      <c r="W395" s="957"/>
      <c r="X395" s="957"/>
      <c r="Y395" s="957"/>
      <c r="Z395" s="957"/>
      <c r="AA395" s="957"/>
      <c r="AB395" s="957"/>
      <c r="AC395" s="957"/>
      <c r="AD395" s="957"/>
    </row>
    <row r="396" ht="15.75" customHeight="1">
      <c r="A396" s="518"/>
      <c r="B396" s="517"/>
      <c r="C396" s="518"/>
      <c r="D396" s="992"/>
      <c r="E396" s="989"/>
      <c r="F396" s="989"/>
      <c r="G396" s="993"/>
      <c r="H396" s="993"/>
      <c r="I396" s="986"/>
      <c r="J396" s="523"/>
      <c r="K396" s="994"/>
      <c r="L396" s="995"/>
      <c r="M396" s="704"/>
      <c r="N396" s="704"/>
      <c r="O396" s="704"/>
      <c r="P396" s="957"/>
      <c r="Q396" s="957"/>
      <c r="R396" s="957"/>
      <c r="S396" s="957"/>
      <c r="T396" s="957"/>
      <c r="U396" s="957"/>
      <c r="V396" s="957"/>
      <c r="W396" s="957"/>
      <c r="X396" s="957"/>
      <c r="Y396" s="957"/>
      <c r="Z396" s="957"/>
      <c r="AA396" s="957"/>
      <c r="AB396" s="957"/>
      <c r="AC396" s="957"/>
      <c r="AD396" s="957"/>
    </row>
    <row r="397" ht="15.75" customHeight="1">
      <c r="A397" s="518"/>
      <c r="B397" s="517"/>
      <c r="C397" s="518"/>
      <c r="D397" s="992"/>
      <c r="E397" s="989"/>
      <c r="F397" s="989"/>
      <c r="G397" s="993"/>
      <c r="H397" s="993"/>
      <c r="I397" s="986"/>
      <c r="J397" s="523"/>
      <c r="K397" s="994"/>
      <c r="L397" s="995"/>
      <c r="M397" s="704"/>
      <c r="N397" s="704"/>
      <c r="O397" s="704"/>
      <c r="P397" s="957"/>
      <c r="Q397" s="957"/>
      <c r="R397" s="957"/>
      <c r="S397" s="957"/>
      <c r="T397" s="957"/>
      <c r="U397" s="957"/>
      <c r="V397" s="957"/>
      <c r="W397" s="957"/>
      <c r="X397" s="957"/>
      <c r="Y397" s="957"/>
      <c r="Z397" s="957"/>
      <c r="AA397" s="957"/>
      <c r="AB397" s="957"/>
      <c r="AC397" s="957"/>
      <c r="AD397" s="957"/>
    </row>
    <row r="398" ht="15.75" customHeight="1">
      <c r="A398" s="518"/>
      <c r="B398" s="517"/>
      <c r="C398" s="518"/>
      <c r="D398" s="992"/>
      <c r="E398" s="989"/>
      <c r="F398" s="989"/>
      <c r="G398" s="993"/>
      <c r="H398" s="993"/>
      <c r="I398" s="986"/>
      <c r="J398" s="523"/>
      <c r="K398" s="994"/>
      <c r="L398" s="995"/>
      <c r="M398" s="704"/>
      <c r="N398" s="704"/>
      <c r="O398" s="704"/>
      <c r="P398" s="957"/>
      <c r="Q398" s="957"/>
      <c r="R398" s="957"/>
      <c r="S398" s="957"/>
      <c r="T398" s="957"/>
      <c r="U398" s="957"/>
      <c r="V398" s="957"/>
      <c r="W398" s="957"/>
      <c r="X398" s="957"/>
      <c r="Y398" s="957"/>
      <c r="Z398" s="957"/>
      <c r="AA398" s="957"/>
      <c r="AB398" s="957"/>
      <c r="AC398" s="957"/>
      <c r="AD398" s="957"/>
    </row>
    <row r="399" ht="15.75" customHeight="1">
      <c r="A399" s="518"/>
      <c r="B399" s="517"/>
      <c r="C399" s="518"/>
      <c r="D399" s="992"/>
      <c r="E399" s="989"/>
      <c r="F399" s="989"/>
      <c r="G399" s="993"/>
      <c r="H399" s="993"/>
      <c r="I399" s="986"/>
      <c r="J399" s="523"/>
      <c r="K399" s="994"/>
      <c r="L399" s="995"/>
      <c r="M399" s="704"/>
      <c r="N399" s="704"/>
      <c r="O399" s="704"/>
      <c r="P399" s="957"/>
      <c r="Q399" s="957"/>
      <c r="R399" s="957"/>
      <c r="S399" s="957"/>
      <c r="T399" s="957"/>
      <c r="U399" s="957"/>
      <c r="V399" s="957"/>
      <c r="W399" s="957"/>
      <c r="X399" s="957"/>
      <c r="Y399" s="957"/>
      <c r="Z399" s="957"/>
      <c r="AA399" s="957"/>
      <c r="AB399" s="957"/>
      <c r="AC399" s="957"/>
      <c r="AD399" s="957"/>
    </row>
    <row r="400" ht="15.75" customHeight="1">
      <c r="A400" s="518"/>
      <c r="B400" s="517"/>
      <c r="C400" s="518"/>
      <c r="D400" s="992"/>
      <c r="E400" s="989"/>
      <c r="F400" s="989"/>
      <c r="G400" s="993"/>
      <c r="H400" s="993"/>
      <c r="I400" s="986"/>
      <c r="J400" s="523"/>
      <c r="K400" s="994"/>
      <c r="L400" s="995"/>
      <c r="M400" s="704"/>
      <c r="N400" s="704"/>
      <c r="O400" s="704"/>
      <c r="P400" s="957"/>
      <c r="Q400" s="957"/>
      <c r="R400" s="957"/>
      <c r="S400" s="957"/>
      <c r="T400" s="957"/>
      <c r="U400" s="957"/>
      <c r="V400" s="957"/>
      <c r="W400" s="957"/>
      <c r="X400" s="957"/>
      <c r="Y400" s="957"/>
      <c r="Z400" s="957"/>
      <c r="AA400" s="957"/>
      <c r="AB400" s="957"/>
      <c r="AC400" s="957"/>
      <c r="AD400" s="957"/>
    </row>
    <row r="401" ht="15.75" customHeight="1">
      <c r="A401" s="518"/>
      <c r="B401" s="517"/>
      <c r="C401" s="518"/>
      <c r="D401" s="992"/>
      <c r="E401" s="989"/>
      <c r="F401" s="989"/>
      <c r="G401" s="993"/>
      <c r="H401" s="993"/>
      <c r="I401" s="986"/>
      <c r="J401" s="523"/>
      <c r="K401" s="994"/>
      <c r="L401" s="995"/>
      <c r="M401" s="704"/>
      <c r="N401" s="704"/>
      <c r="O401" s="704"/>
      <c r="P401" s="957"/>
      <c r="Q401" s="957"/>
      <c r="R401" s="957"/>
      <c r="S401" s="957"/>
      <c r="T401" s="957"/>
      <c r="U401" s="957"/>
      <c r="V401" s="957"/>
      <c r="W401" s="957"/>
      <c r="X401" s="957"/>
      <c r="Y401" s="957"/>
      <c r="Z401" s="957"/>
      <c r="AA401" s="957"/>
      <c r="AB401" s="957"/>
      <c r="AC401" s="957"/>
      <c r="AD401" s="957"/>
    </row>
    <row r="402" ht="15.75" customHeight="1">
      <c r="A402" s="518"/>
      <c r="B402" s="517"/>
      <c r="C402" s="518"/>
      <c r="D402" s="992"/>
      <c r="E402" s="989"/>
      <c r="F402" s="989"/>
      <c r="G402" s="993"/>
      <c r="H402" s="993"/>
      <c r="I402" s="986"/>
      <c r="J402" s="523"/>
      <c r="K402" s="994"/>
      <c r="L402" s="995"/>
      <c r="M402" s="704"/>
      <c r="N402" s="704"/>
      <c r="O402" s="704"/>
      <c r="P402" s="957"/>
      <c r="Q402" s="957"/>
      <c r="R402" s="957"/>
      <c r="S402" s="957"/>
      <c r="T402" s="957"/>
      <c r="U402" s="957"/>
      <c r="V402" s="957"/>
      <c r="W402" s="957"/>
      <c r="X402" s="957"/>
      <c r="Y402" s="957"/>
      <c r="Z402" s="957"/>
      <c r="AA402" s="957"/>
      <c r="AB402" s="957"/>
      <c r="AC402" s="957"/>
      <c r="AD402" s="957"/>
    </row>
    <row r="403" ht="15.75" customHeight="1">
      <c r="A403" s="518"/>
      <c r="B403" s="517"/>
      <c r="C403" s="518"/>
      <c r="D403" s="992"/>
      <c r="E403" s="989"/>
      <c r="F403" s="989"/>
      <c r="G403" s="993"/>
      <c r="H403" s="993"/>
      <c r="I403" s="986"/>
      <c r="J403" s="523"/>
      <c r="K403" s="994"/>
      <c r="L403" s="995"/>
      <c r="M403" s="704"/>
      <c r="N403" s="704"/>
      <c r="O403" s="704"/>
      <c r="P403" s="957"/>
      <c r="Q403" s="957"/>
      <c r="R403" s="957"/>
      <c r="S403" s="957"/>
      <c r="T403" s="957"/>
      <c r="U403" s="957"/>
      <c r="V403" s="957"/>
      <c r="W403" s="957"/>
      <c r="X403" s="957"/>
      <c r="Y403" s="957"/>
      <c r="Z403" s="957"/>
      <c r="AA403" s="957"/>
      <c r="AB403" s="957"/>
      <c r="AC403" s="957"/>
      <c r="AD403" s="957"/>
    </row>
    <row r="404" ht="15.75" customHeight="1">
      <c r="A404" s="518"/>
      <c r="B404" s="517"/>
      <c r="C404" s="518"/>
      <c r="D404" s="992"/>
      <c r="E404" s="989"/>
      <c r="F404" s="989"/>
      <c r="G404" s="993"/>
      <c r="H404" s="993"/>
      <c r="I404" s="986"/>
      <c r="J404" s="523"/>
      <c r="K404" s="994"/>
      <c r="L404" s="995"/>
      <c r="M404" s="704"/>
      <c r="N404" s="704"/>
      <c r="O404" s="704"/>
      <c r="P404" s="957"/>
      <c r="Q404" s="957"/>
      <c r="R404" s="957"/>
      <c r="S404" s="957"/>
      <c r="T404" s="957"/>
      <c r="U404" s="957"/>
      <c r="V404" s="957"/>
      <c r="W404" s="957"/>
      <c r="X404" s="957"/>
      <c r="Y404" s="957"/>
      <c r="Z404" s="957"/>
      <c r="AA404" s="957"/>
      <c r="AB404" s="957"/>
      <c r="AC404" s="957"/>
      <c r="AD404" s="957"/>
    </row>
    <row r="405" ht="15.75" customHeight="1">
      <c r="A405" s="518"/>
      <c r="B405" s="517"/>
      <c r="C405" s="518"/>
      <c r="D405" s="992"/>
      <c r="E405" s="989"/>
      <c r="F405" s="989"/>
      <c r="G405" s="993"/>
      <c r="H405" s="993"/>
      <c r="I405" s="986"/>
      <c r="J405" s="523"/>
      <c r="K405" s="994"/>
      <c r="L405" s="995"/>
      <c r="M405" s="704"/>
      <c r="N405" s="704"/>
      <c r="O405" s="704"/>
      <c r="P405" s="957"/>
      <c r="Q405" s="957"/>
      <c r="R405" s="957"/>
      <c r="S405" s="957"/>
      <c r="T405" s="957"/>
      <c r="U405" s="957"/>
      <c r="V405" s="957"/>
      <c r="W405" s="957"/>
      <c r="X405" s="957"/>
      <c r="Y405" s="957"/>
      <c r="Z405" s="957"/>
      <c r="AA405" s="957"/>
      <c r="AB405" s="957"/>
      <c r="AC405" s="957"/>
      <c r="AD405" s="957"/>
    </row>
    <row r="406" ht="15.75" customHeight="1">
      <c r="A406" s="518"/>
      <c r="B406" s="517"/>
      <c r="C406" s="518"/>
      <c r="D406" s="992"/>
      <c r="E406" s="989"/>
      <c r="F406" s="989"/>
      <c r="G406" s="993"/>
      <c r="H406" s="993"/>
      <c r="I406" s="986"/>
      <c r="J406" s="523"/>
      <c r="K406" s="994"/>
      <c r="L406" s="995"/>
      <c r="M406" s="704"/>
      <c r="N406" s="704"/>
      <c r="O406" s="704"/>
      <c r="P406" s="957"/>
      <c r="Q406" s="957"/>
      <c r="R406" s="957"/>
      <c r="S406" s="957"/>
      <c r="T406" s="957"/>
      <c r="U406" s="957"/>
      <c r="V406" s="957"/>
      <c r="W406" s="957"/>
      <c r="X406" s="957"/>
      <c r="Y406" s="957"/>
      <c r="Z406" s="957"/>
      <c r="AA406" s="957"/>
      <c r="AB406" s="957"/>
      <c r="AC406" s="957"/>
      <c r="AD406" s="957"/>
    </row>
    <row r="407" ht="15.75" customHeight="1">
      <c r="A407" s="518"/>
      <c r="B407" s="517"/>
      <c r="C407" s="518"/>
      <c r="D407" s="992"/>
      <c r="E407" s="989"/>
      <c r="F407" s="989"/>
      <c r="G407" s="993"/>
      <c r="H407" s="993"/>
      <c r="I407" s="986"/>
      <c r="J407" s="523"/>
      <c r="K407" s="994"/>
      <c r="L407" s="995"/>
      <c r="M407" s="704"/>
      <c r="N407" s="704"/>
      <c r="O407" s="704"/>
      <c r="P407" s="957"/>
      <c r="Q407" s="957"/>
      <c r="R407" s="957"/>
      <c r="S407" s="957"/>
      <c r="T407" s="957"/>
      <c r="U407" s="957"/>
      <c r="V407" s="957"/>
      <c r="W407" s="957"/>
      <c r="X407" s="957"/>
      <c r="Y407" s="957"/>
      <c r="Z407" s="957"/>
      <c r="AA407" s="957"/>
      <c r="AB407" s="957"/>
      <c r="AC407" s="957"/>
      <c r="AD407" s="957"/>
    </row>
    <row r="408" ht="15.75" customHeight="1">
      <c r="A408" s="518"/>
      <c r="B408" s="517"/>
      <c r="C408" s="518"/>
      <c r="D408" s="992"/>
      <c r="E408" s="989"/>
      <c r="F408" s="989"/>
      <c r="G408" s="993"/>
      <c r="H408" s="993"/>
      <c r="I408" s="986"/>
      <c r="J408" s="523"/>
      <c r="K408" s="994"/>
      <c r="L408" s="995"/>
      <c r="M408" s="704"/>
      <c r="N408" s="704"/>
      <c r="O408" s="704"/>
      <c r="P408" s="957"/>
      <c r="Q408" s="957"/>
      <c r="R408" s="957"/>
      <c r="S408" s="957"/>
      <c r="T408" s="957"/>
      <c r="U408" s="957"/>
      <c r="V408" s="957"/>
      <c r="W408" s="957"/>
      <c r="X408" s="957"/>
      <c r="Y408" s="957"/>
      <c r="Z408" s="957"/>
      <c r="AA408" s="957"/>
      <c r="AB408" s="957"/>
      <c r="AC408" s="957"/>
      <c r="AD408" s="957"/>
    </row>
    <row r="409" ht="15.75" customHeight="1">
      <c r="A409" s="518"/>
      <c r="B409" s="517"/>
      <c r="C409" s="518"/>
      <c r="D409" s="992"/>
      <c r="E409" s="989"/>
      <c r="F409" s="989"/>
      <c r="G409" s="993"/>
      <c r="H409" s="993"/>
      <c r="I409" s="986"/>
      <c r="J409" s="523"/>
      <c r="K409" s="994"/>
      <c r="L409" s="995"/>
      <c r="M409" s="704"/>
      <c r="N409" s="704"/>
      <c r="O409" s="704"/>
      <c r="P409" s="957"/>
      <c r="Q409" s="957"/>
      <c r="R409" s="957"/>
      <c r="S409" s="957"/>
      <c r="T409" s="957"/>
      <c r="U409" s="957"/>
      <c r="V409" s="957"/>
      <c r="W409" s="957"/>
      <c r="X409" s="957"/>
      <c r="Y409" s="957"/>
      <c r="Z409" s="957"/>
      <c r="AA409" s="957"/>
      <c r="AB409" s="957"/>
      <c r="AC409" s="957"/>
      <c r="AD409" s="957"/>
    </row>
    <row r="410" ht="15.75" customHeight="1">
      <c r="A410" s="518"/>
      <c r="B410" s="517"/>
      <c r="C410" s="518"/>
      <c r="D410" s="992"/>
      <c r="E410" s="989"/>
      <c r="F410" s="989"/>
      <c r="G410" s="993"/>
      <c r="H410" s="993"/>
      <c r="I410" s="986"/>
      <c r="J410" s="523"/>
      <c r="K410" s="994"/>
      <c r="L410" s="995"/>
      <c r="M410" s="704"/>
      <c r="N410" s="704"/>
      <c r="O410" s="704"/>
      <c r="P410" s="957"/>
      <c r="Q410" s="957"/>
      <c r="R410" s="957"/>
      <c r="S410" s="957"/>
      <c r="T410" s="957"/>
      <c r="U410" s="957"/>
      <c r="V410" s="957"/>
      <c r="W410" s="957"/>
      <c r="X410" s="957"/>
      <c r="Y410" s="957"/>
      <c r="Z410" s="957"/>
      <c r="AA410" s="957"/>
      <c r="AB410" s="957"/>
      <c r="AC410" s="957"/>
      <c r="AD410" s="957"/>
    </row>
    <row r="411" ht="15.75" customHeight="1">
      <c r="A411" s="518"/>
      <c r="B411" s="517"/>
      <c r="C411" s="518"/>
      <c r="D411" s="992"/>
      <c r="E411" s="989"/>
      <c r="F411" s="989"/>
      <c r="G411" s="993"/>
      <c r="H411" s="993"/>
      <c r="I411" s="986"/>
      <c r="J411" s="523"/>
      <c r="K411" s="994"/>
      <c r="L411" s="995"/>
      <c r="M411" s="704"/>
      <c r="N411" s="704"/>
      <c r="O411" s="704"/>
      <c r="P411" s="957"/>
      <c r="Q411" s="957"/>
      <c r="R411" s="957"/>
      <c r="S411" s="957"/>
      <c r="T411" s="957"/>
      <c r="U411" s="957"/>
      <c r="V411" s="957"/>
      <c r="W411" s="957"/>
      <c r="X411" s="957"/>
      <c r="Y411" s="957"/>
      <c r="Z411" s="957"/>
      <c r="AA411" s="957"/>
      <c r="AB411" s="957"/>
      <c r="AC411" s="957"/>
      <c r="AD411" s="957"/>
    </row>
    <row r="412" ht="15.75" customHeight="1">
      <c r="A412" s="518"/>
      <c r="B412" s="517"/>
      <c r="C412" s="518"/>
      <c r="D412" s="992"/>
      <c r="E412" s="989"/>
      <c r="F412" s="989"/>
      <c r="G412" s="993"/>
      <c r="H412" s="993"/>
      <c r="I412" s="986"/>
      <c r="J412" s="523"/>
      <c r="K412" s="994"/>
      <c r="L412" s="995"/>
      <c r="M412" s="704"/>
      <c r="N412" s="704"/>
      <c r="O412" s="704"/>
      <c r="P412" s="957"/>
      <c r="Q412" s="957"/>
      <c r="R412" s="957"/>
      <c r="S412" s="957"/>
      <c r="T412" s="957"/>
      <c r="U412" s="957"/>
      <c r="V412" s="957"/>
      <c r="W412" s="957"/>
      <c r="X412" s="957"/>
      <c r="Y412" s="957"/>
      <c r="Z412" s="957"/>
      <c r="AA412" s="957"/>
      <c r="AB412" s="957"/>
      <c r="AC412" s="957"/>
      <c r="AD412" s="957"/>
    </row>
    <row r="413" ht="15.75" customHeight="1">
      <c r="A413" s="518"/>
      <c r="B413" s="517"/>
      <c r="C413" s="518"/>
      <c r="D413" s="992"/>
      <c r="E413" s="989"/>
      <c r="F413" s="989"/>
      <c r="G413" s="993"/>
      <c r="H413" s="993"/>
      <c r="I413" s="986"/>
      <c r="J413" s="523"/>
      <c r="K413" s="994"/>
      <c r="L413" s="995"/>
      <c r="M413" s="704"/>
      <c r="N413" s="704"/>
      <c r="O413" s="704"/>
      <c r="P413" s="957"/>
      <c r="Q413" s="957"/>
      <c r="R413" s="957"/>
      <c r="S413" s="957"/>
      <c r="T413" s="957"/>
      <c r="U413" s="957"/>
      <c r="V413" s="957"/>
      <c r="W413" s="957"/>
      <c r="X413" s="957"/>
      <c r="Y413" s="957"/>
      <c r="Z413" s="957"/>
      <c r="AA413" s="957"/>
      <c r="AB413" s="957"/>
      <c r="AC413" s="957"/>
      <c r="AD413" s="957"/>
    </row>
    <row r="414" ht="15.75" customHeight="1">
      <c r="A414" s="518"/>
      <c r="B414" s="517"/>
      <c r="C414" s="518"/>
      <c r="D414" s="992"/>
      <c r="E414" s="989"/>
      <c r="F414" s="989"/>
      <c r="G414" s="993"/>
      <c r="H414" s="993"/>
      <c r="I414" s="986"/>
      <c r="J414" s="523"/>
      <c r="K414" s="994"/>
      <c r="L414" s="995"/>
      <c r="M414" s="704"/>
      <c r="N414" s="704"/>
      <c r="O414" s="704"/>
      <c r="P414" s="957"/>
      <c r="Q414" s="957"/>
      <c r="R414" s="957"/>
      <c r="S414" s="957"/>
      <c r="T414" s="957"/>
      <c r="U414" s="957"/>
      <c r="V414" s="957"/>
      <c r="W414" s="957"/>
      <c r="X414" s="957"/>
      <c r="Y414" s="957"/>
      <c r="Z414" s="957"/>
      <c r="AA414" s="957"/>
      <c r="AB414" s="957"/>
      <c r="AC414" s="957"/>
      <c r="AD414" s="957"/>
    </row>
    <row r="415" ht="15.75" customHeight="1">
      <c r="A415" s="518"/>
      <c r="B415" s="517"/>
      <c r="C415" s="518"/>
      <c r="D415" s="992"/>
      <c r="E415" s="989"/>
      <c r="F415" s="989"/>
      <c r="G415" s="993"/>
      <c r="H415" s="993"/>
      <c r="I415" s="986"/>
      <c r="J415" s="523"/>
      <c r="K415" s="994"/>
      <c r="L415" s="995"/>
      <c r="M415" s="704"/>
      <c r="N415" s="704"/>
      <c r="O415" s="704"/>
      <c r="P415" s="957"/>
      <c r="Q415" s="957"/>
      <c r="R415" s="957"/>
      <c r="S415" s="957"/>
      <c r="T415" s="957"/>
      <c r="U415" s="957"/>
      <c r="V415" s="957"/>
      <c r="W415" s="957"/>
      <c r="X415" s="957"/>
      <c r="Y415" s="957"/>
      <c r="Z415" s="957"/>
      <c r="AA415" s="957"/>
      <c r="AB415" s="957"/>
      <c r="AC415" s="957"/>
      <c r="AD415" s="957"/>
    </row>
    <row r="416" ht="15.75" customHeight="1">
      <c r="A416" s="518"/>
      <c r="B416" s="517"/>
      <c r="C416" s="518"/>
      <c r="D416" s="992"/>
      <c r="E416" s="989"/>
      <c r="F416" s="989"/>
      <c r="G416" s="993"/>
      <c r="H416" s="993"/>
      <c r="I416" s="986"/>
      <c r="J416" s="523"/>
      <c r="K416" s="994"/>
      <c r="L416" s="995"/>
      <c r="M416" s="704"/>
      <c r="N416" s="704"/>
      <c r="O416" s="704"/>
      <c r="P416" s="957"/>
      <c r="Q416" s="957"/>
      <c r="R416" s="957"/>
      <c r="S416" s="957"/>
      <c r="T416" s="957"/>
      <c r="U416" s="957"/>
      <c r="V416" s="957"/>
      <c r="W416" s="957"/>
      <c r="X416" s="957"/>
      <c r="Y416" s="957"/>
      <c r="Z416" s="957"/>
      <c r="AA416" s="957"/>
      <c r="AB416" s="957"/>
      <c r="AC416" s="957"/>
      <c r="AD416" s="957"/>
    </row>
    <row r="417" ht="15.75" customHeight="1">
      <c r="A417" s="518"/>
      <c r="B417" s="517"/>
      <c r="C417" s="518"/>
      <c r="D417" s="992"/>
      <c r="E417" s="989"/>
      <c r="F417" s="989"/>
      <c r="G417" s="993"/>
      <c r="H417" s="993"/>
      <c r="I417" s="986"/>
      <c r="J417" s="523"/>
      <c r="K417" s="994"/>
      <c r="L417" s="995"/>
      <c r="M417" s="704"/>
      <c r="N417" s="704"/>
      <c r="O417" s="704"/>
      <c r="P417" s="957"/>
      <c r="Q417" s="957"/>
      <c r="R417" s="957"/>
      <c r="S417" s="957"/>
      <c r="T417" s="957"/>
      <c r="U417" s="957"/>
      <c r="V417" s="957"/>
      <c r="W417" s="957"/>
      <c r="X417" s="957"/>
      <c r="Y417" s="957"/>
      <c r="Z417" s="957"/>
      <c r="AA417" s="957"/>
      <c r="AB417" s="957"/>
      <c r="AC417" s="957"/>
      <c r="AD417" s="957"/>
    </row>
    <row r="418" ht="15.75" customHeight="1">
      <c r="A418" s="518"/>
      <c r="B418" s="517"/>
      <c r="C418" s="518"/>
      <c r="D418" s="992"/>
      <c r="E418" s="989"/>
      <c r="F418" s="989"/>
      <c r="G418" s="993"/>
      <c r="H418" s="993"/>
      <c r="I418" s="986"/>
      <c r="J418" s="523"/>
      <c r="K418" s="994"/>
      <c r="L418" s="995"/>
      <c r="M418" s="704"/>
      <c r="N418" s="704"/>
      <c r="O418" s="704"/>
      <c r="P418" s="957"/>
      <c r="Q418" s="957"/>
      <c r="R418" s="957"/>
      <c r="S418" s="957"/>
      <c r="T418" s="957"/>
      <c r="U418" s="957"/>
      <c r="V418" s="957"/>
      <c r="W418" s="957"/>
      <c r="X418" s="957"/>
      <c r="Y418" s="957"/>
      <c r="Z418" s="957"/>
      <c r="AA418" s="957"/>
      <c r="AB418" s="957"/>
      <c r="AC418" s="957"/>
      <c r="AD418" s="957"/>
    </row>
    <row r="419" ht="15.75" customHeight="1">
      <c r="A419" s="518"/>
      <c r="B419" s="517"/>
      <c r="C419" s="518"/>
      <c r="D419" s="992"/>
      <c r="E419" s="989"/>
      <c r="F419" s="989"/>
      <c r="G419" s="993"/>
      <c r="H419" s="993"/>
      <c r="I419" s="986"/>
      <c r="J419" s="523"/>
      <c r="K419" s="994"/>
      <c r="L419" s="995"/>
      <c r="M419" s="704"/>
      <c r="N419" s="704"/>
      <c r="O419" s="704"/>
      <c r="P419" s="957"/>
      <c r="Q419" s="957"/>
      <c r="R419" s="957"/>
      <c r="S419" s="957"/>
      <c r="T419" s="957"/>
      <c r="U419" s="957"/>
      <c r="V419" s="957"/>
      <c r="W419" s="957"/>
      <c r="X419" s="957"/>
      <c r="Y419" s="957"/>
      <c r="Z419" s="957"/>
      <c r="AA419" s="957"/>
      <c r="AB419" s="957"/>
      <c r="AC419" s="957"/>
      <c r="AD419" s="957"/>
    </row>
    <row r="420" ht="15.75" customHeight="1">
      <c r="A420" s="518"/>
      <c r="B420" s="517"/>
      <c r="C420" s="518"/>
      <c r="D420" s="992"/>
      <c r="E420" s="989"/>
      <c r="F420" s="989"/>
      <c r="G420" s="993"/>
      <c r="H420" s="993"/>
      <c r="I420" s="986"/>
      <c r="J420" s="523"/>
      <c r="K420" s="994"/>
      <c r="L420" s="995"/>
      <c r="M420" s="704"/>
      <c r="N420" s="704"/>
      <c r="O420" s="704"/>
      <c r="P420" s="957"/>
      <c r="Q420" s="957"/>
      <c r="R420" s="957"/>
      <c r="S420" s="957"/>
      <c r="T420" s="957"/>
      <c r="U420" s="957"/>
      <c r="V420" s="957"/>
      <c r="W420" s="957"/>
      <c r="X420" s="957"/>
      <c r="Y420" s="957"/>
      <c r="Z420" s="957"/>
      <c r="AA420" s="957"/>
      <c r="AB420" s="957"/>
      <c r="AC420" s="957"/>
      <c r="AD420" s="957"/>
    </row>
    <row r="421" ht="15.75" customHeight="1">
      <c r="A421" s="518"/>
      <c r="B421" s="517"/>
      <c r="C421" s="518"/>
      <c r="D421" s="992"/>
      <c r="E421" s="989"/>
      <c r="F421" s="989"/>
      <c r="G421" s="993"/>
      <c r="H421" s="993"/>
      <c r="I421" s="986"/>
      <c r="J421" s="523"/>
      <c r="K421" s="994"/>
      <c r="L421" s="995"/>
      <c r="M421" s="704"/>
      <c r="N421" s="704"/>
      <c r="O421" s="704"/>
      <c r="P421" s="957"/>
      <c r="Q421" s="957"/>
      <c r="R421" s="957"/>
      <c r="S421" s="957"/>
      <c r="T421" s="957"/>
      <c r="U421" s="957"/>
      <c r="V421" s="957"/>
      <c r="W421" s="957"/>
      <c r="X421" s="957"/>
      <c r="Y421" s="957"/>
      <c r="Z421" s="957"/>
      <c r="AA421" s="957"/>
      <c r="AB421" s="957"/>
      <c r="AC421" s="957"/>
      <c r="AD421" s="957"/>
    </row>
    <row r="422" ht="15.75" customHeight="1">
      <c r="A422" s="518"/>
      <c r="B422" s="517"/>
      <c r="C422" s="518"/>
      <c r="D422" s="992"/>
      <c r="E422" s="989"/>
      <c r="F422" s="989"/>
      <c r="G422" s="993"/>
      <c r="H422" s="993"/>
      <c r="I422" s="986"/>
      <c r="J422" s="523"/>
      <c r="K422" s="994"/>
      <c r="L422" s="995"/>
      <c r="M422" s="704"/>
      <c r="N422" s="704"/>
      <c r="O422" s="704"/>
      <c r="P422" s="957"/>
      <c r="Q422" s="957"/>
      <c r="R422" s="957"/>
      <c r="S422" s="957"/>
      <c r="T422" s="957"/>
      <c r="U422" s="957"/>
      <c r="V422" s="957"/>
      <c r="W422" s="957"/>
      <c r="X422" s="957"/>
      <c r="Y422" s="957"/>
      <c r="Z422" s="957"/>
      <c r="AA422" s="957"/>
      <c r="AB422" s="957"/>
      <c r="AC422" s="957"/>
      <c r="AD422" s="957"/>
    </row>
    <row r="423" ht="15.75" customHeight="1">
      <c r="A423" s="518"/>
      <c r="B423" s="517"/>
      <c r="C423" s="518"/>
      <c r="D423" s="992"/>
      <c r="E423" s="989"/>
      <c r="F423" s="989"/>
      <c r="G423" s="993"/>
      <c r="H423" s="993"/>
      <c r="I423" s="986"/>
      <c r="J423" s="523"/>
      <c r="K423" s="994"/>
      <c r="L423" s="995"/>
      <c r="M423" s="704"/>
      <c r="N423" s="704"/>
      <c r="O423" s="704"/>
      <c r="P423" s="957"/>
      <c r="Q423" s="957"/>
      <c r="R423" s="957"/>
      <c r="S423" s="957"/>
      <c r="T423" s="957"/>
      <c r="U423" s="957"/>
      <c r="V423" s="957"/>
      <c r="W423" s="957"/>
      <c r="X423" s="957"/>
      <c r="Y423" s="957"/>
      <c r="Z423" s="957"/>
      <c r="AA423" s="957"/>
      <c r="AB423" s="957"/>
      <c r="AC423" s="957"/>
      <c r="AD423" s="957"/>
    </row>
    <row r="424" ht="15.75" customHeight="1">
      <c r="A424" s="518"/>
      <c r="B424" s="517"/>
      <c r="C424" s="518"/>
      <c r="D424" s="992"/>
      <c r="E424" s="989"/>
      <c r="F424" s="989"/>
      <c r="G424" s="993"/>
      <c r="H424" s="993"/>
      <c r="I424" s="986"/>
      <c r="J424" s="523"/>
      <c r="K424" s="994"/>
      <c r="L424" s="995"/>
      <c r="M424" s="704"/>
      <c r="N424" s="704"/>
      <c r="O424" s="704"/>
      <c r="P424" s="957"/>
      <c r="Q424" s="957"/>
      <c r="R424" s="957"/>
      <c r="S424" s="957"/>
      <c r="T424" s="957"/>
      <c r="U424" s="957"/>
      <c r="V424" s="957"/>
      <c r="W424" s="957"/>
      <c r="X424" s="957"/>
      <c r="Y424" s="957"/>
      <c r="Z424" s="957"/>
      <c r="AA424" s="957"/>
      <c r="AB424" s="957"/>
      <c r="AC424" s="957"/>
      <c r="AD424" s="957"/>
    </row>
    <row r="425" ht="15.75" customHeight="1">
      <c r="A425" s="518"/>
      <c r="B425" s="517"/>
      <c r="C425" s="518"/>
      <c r="D425" s="992"/>
      <c r="E425" s="989"/>
      <c r="F425" s="989"/>
      <c r="G425" s="993"/>
      <c r="H425" s="993"/>
      <c r="I425" s="986"/>
      <c r="J425" s="523"/>
      <c r="K425" s="994"/>
      <c r="L425" s="995"/>
      <c r="M425" s="704"/>
      <c r="N425" s="704"/>
      <c r="O425" s="704"/>
      <c r="P425" s="957"/>
      <c r="Q425" s="957"/>
      <c r="R425" s="957"/>
      <c r="S425" s="957"/>
      <c r="T425" s="957"/>
      <c r="U425" s="957"/>
      <c r="V425" s="957"/>
      <c r="W425" s="957"/>
      <c r="X425" s="957"/>
      <c r="Y425" s="957"/>
      <c r="Z425" s="957"/>
      <c r="AA425" s="957"/>
      <c r="AB425" s="957"/>
      <c r="AC425" s="957"/>
      <c r="AD425" s="957"/>
    </row>
    <row r="426" ht="15.75" customHeight="1">
      <c r="A426" s="518"/>
      <c r="B426" s="517"/>
      <c r="C426" s="518"/>
      <c r="D426" s="992"/>
      <c r="E426" s="989"/>
      <c r="F426" s="989"/>
      <c r="G426" s="993"/>
      <c r="H426" s="993"/>
      <c r="I426" s="986"/>
      <c r="J426" s="523"/>
      <c r="K426" s="994"/>
      <c r="L426" s="995"/>
      <c r="M426" s="704"/>
      <c r="N426" s="704"/>
      <c r="O426" s="704"/>
      <c r="P426" s="957"/>
      <c r="Q426" s="957"/>
      <c r="R426" s="957"/>
      <c r="S426" s="957"/>
      <c r="T426" s="957"/>
      <c r="U426" s="957"/>
      <c r="V426" s="957"/>
      <c r="W426" s="957"/>
      <c r="X426" s="957"/>
      <c r="Y426" s="957"/>
      <c r="Z426" s="957"/>
      <c r="AA426" s="957"/>
      <c r="AB426" s="957"/>
      <c r="AC426" s="957"/>
      <c r="AD426" s="957"/>
    </row>
    <row r="427" ht="15.75" customHeight="1">
      <c r="A427" s="518"/>
      <c r="B427" s="517"/>
      <c r="C427" s="518"/>
      <c r="D427" s="992"/>
      <c r="E427" s="989"/>
      <c r="F427" s="989"/>
      <c r="G427" s="993"/>
      <c r="H427" s="993"/>
      <c r="I427" s="986"/>
      <c r="J427" s="523"/>
      <c r="K427" s="994"/>
      <c r="L427" s="995"/>
      <c r="M427" s="704"/>
      <c r="N427" s="704"/>
      <c r="O427" s="704"/>
      <c r="P427" s="957"/>
      <c r="Q427" s="957"/>
      <c r="R427" s="957"/>
      <c r="S427" s="957"/>
      <c r="T427" s="957"/>
      <c r="U427" s="957"/>
      <c r="V427" s="957"/>
      <c r="W427" s="957"/>
      <c r="X427" s="957"/>
      <c r="Y427" s="957"/>
      <c r="Z427" s="957"/>
      <c r="AA427" s="957"/>
      <c r="AB427" s="957"/>
      <c r="AC427" s="957"/>
      <c r="AD427" s="957"/>
    </row>
    <row r="428" ht="15.75" customHeight="1">
      <c r="A428" s="518"/>
      <c r="B428" s="517"/>
      <c r="C428" s="518"/>
      <c r="D428" s="992"/>
      <c r="E428" s="989"/>
      <c r="F428" s="989"/>
      <c r="G428" s="993"/>
      <c r="H428" s="993"/>
      <c r="I428" s="986"/>
      <c r="J428" s="523"/>
      <c r="K428" s="994"/>
      <c r="L428" s="995"/>
      <c r="M428" s="704"/>
      <c r="N428" s="704"/>
      <c r="O428" s="704"/>
      <c r="P428" s="957"/>
      <c r="Q428" s="957"/>
      <c r="R428" s="957"/>
      <c r="S428" s="957"/>
      <c r="T428" s="957"/>
      <c r="U428" s="957"/>
      <c r="V428" s="957"/>
      <c r="W428" s="957"/>
      <c r="X428" s="957"/>
      <c r="Y428" s="957"/>
      <c r="Z428" s="957"/>
      <c r="AA428" s="957"/>
      <c r="AB428" s="957"/>
      <c r="AC428" s="957"/>
      <c r="AD428" s="957"/>
    </row>
    <row r="429" ht="15.75" customHeight="1">
      <c r="A429" s="518"/>
      <c r="B429" s="517"/>
      <c r="C429" s="518"/>
      <c r="D429" s="992"/>
      <c r="E429" s="989"/>
      <c r="F429" s="989"/>
      <c r="G429" s="993"/>
      <c r="H429" s="993"/>
      <c r="I429" s="986"/>
      <c r="J429" s="523"/>
      <c r="K429" s="994"/>
      <c r="L429" s="995"/>
      <c r="M429" s="704"/>
      <c r="N429" s="704"/>
      <c r="O429" s="704"/>
      <c r="P429" s="957"/>
      <c r="Q429" s="957"/>
      <c r="R429" s="957"/>
      <c r="S429" s="957"/>
      <c r="T429" s="957"/>
      <c r="U429" s="957"/>
      <c r="V429" s="957"/>
      <c r="W429" s="957"/>
      <c r="X429" s="957"/>
      <c r="Y429" s="957"/>
      <c r="Z429" s="957"/>
      <c r="AA429" s="957"/>
      <c r="AB429" s="957"/>
      <c r="AC429" s="957"/>
      <c r="AD429" s="957"/>
    </row>
    <row r="430" ht="15.75" customHeight="1">
      <c r="A430" s="518"/>
      <c r="B430" s="517"/>
      <c r="C430" s="518"/>
      <c r="D430" s="992"/>
      <c r="E430" s="989"/>
      <c r="F430" s="989"/>
      <c r="G430" s="993"/>
      <c r="H430" s="993"/>
      <c r="I430" s="986"/>
      <c r="J430" s="523"/>
      <c r="K430" s="994"/>
      <c r="L430" s="995"/>
      <c r="M430" s="704"/>
      <c r="N430" s="704"/>
      <c r="O430" s="704"/>
      <c r="P430" s="957"/>
      <c r="Q430" s="957"/>
      <c r="R430" s="957"/>
      <c r="S430" s="957"/>
      <c r="T430" s="957"/>
      <c r="U430" s="957"/>
      <c r="V430" s="957"/>
      <c r="W430" s="957"/>
      <c r="X430" s="957"/>
      <c r="Y430" s="957"/>
      <c r="Z430" s="957"/>
      <c r="AA430" s="957"/>
      <c r="AB430" s="957"/>
      <c r="AC430" s="957"/>
      <c r="AD430" s="957"/>
    </row>
    <row r="431" ht="15.75" customHeight="1">
      <c r="A431" s="518"/>
      <c r="B431" s="517"/>
      <c r="C431" s="518"/>
      <c r="D431" s="992"/>
      <c r="E431" s="989"/>
      <c r="F431" s="989"/>
      <c r="G431" s="993"/>
      <c r="H431" s="993"/>
      <c r="I431" s="986"/>
      <c r="J431" s="523"/>
      <c r="K431" s="994"/>
      <c r="L431" s="995"/>
      <c r="M431" s="704"/>
      <c r="N431" s="704"/>
      <c r="O431" s="704"/>
      <c r="P431" s="957"/>
      <c r="Q431" s="957"/>
      <c r="R431" s="957"/>
      <c r="S431" s="957"/>
      <c r="T431" s="957"/>
      <c r="U431" s="957"/>
      <c r="V431" s="957"/>
      <c r="W431" s="957"/>
      <c r="X431" s="957"/>
      <c r="Y431" s="957"/>
      <c r="Z431" s="957"/>
      <c r="AA431" s="957"/>
      <c r="AB431" s="957"/>
      <c r="AC431" s="957"/>
      <c r="AD431" s="957"/>
    </row>
    <row r="432" ht="15.75" customHeight="1">
      <c r="A432" s="518"/>
      <c r="B432" s="517"/>
      <c r="C432" s="518"/>
      <c r="D432" s="992"/>
      <c r="E432" s="989"/>
      <c r="F432" s="989"/>
      <c r="G432" s="993"/>
      <c r="H432" s="993"/>
      <c r="I432" s="986"/>
      <c r="J432" s="523"/>
      <c r="K432" s="994"/>
      <c r="L432" s="995"/>
      <c r="M432" s="704"/>
      <c r="N432" s="704"/>
      <c r="O432" s="704"/>
      <c r="P432" s="957"/>
      <c r="Q432" s="957"/>
      <c r="R432" s="957"/>
      <c r="S432" s="957"/>
      <c r="T432" s="957"/>
      <c r="U432" s="957"/>
      <c r="V432" s="957"/>
      <c r="W432" s="957"/>
      <c r="X432" s="957"/>
      <c r="Y432" s="957"/>
      <c r="Z432" s="957"/>
      <c r="AA432" s="957"/>
      <c r="AB432" s="957"/>
      <c r="AC432" s="957"/>
      <c r="AD432" s="957"/>
    </row>
    <row r="433" ht="15.75" customHeight="1">
      <c r="A433" s="518"/>
      <c r="B433" s="517"/>
      <c r="C433" s="518"/>
      <c r="D433" s="992"/>
      <c r="E433" s="989"/>
      <c r="F433" s="989"/>
      <c r="G433" s="993"/>
      <c r="H433" s="993"/>
      <c r="I433" s="986"/>
      <c r="J433" s="523"/>
      <c r="K433" s="994"/>
      <c r="L433" s="995"/>
      <c r="M433" s="704"/>
      <c r="N433" s="704"/>
      <c r="O433" s="704"/>
      <c r="P433" s="957"/>
      <c r="Q433" s="957"/>
      <c r="R433" s="957"/>
      <c r="S433" s="957"/>
      <c r="T433" s="957"/>
      <c r="U433" s="957"/>
      <c r="V433" s="957"/>
      <c r="W433" s="957"/>
      <c r="X433" s="957"/>
      <c r="Y433" s="957"/>
      <c r="Z433" s="957"/>
      <c r="AA433" s="957"/>
      <c r="AB433" s="957"/>
      <c r="AC433" s="957"/>
      <c r="AD433" s="957"/>
    </row>
    <row r="434" ht="15.75" customHeight="1">
      <c r="A434" s="518"/>
      <c r="B434" s="517"/>
      <c r="C434" s="518"/>
      <c r="D434" s="992"/>
      <c r="E434" s="989"/>
      <c r="F434" s="989"/>
      <c r="G434" s="993"/>
      <c r="H434" s="993"/>
      <c r="I434" s="986"/>
      <c r="J434" s="523"/>
      <c r="K434" s="994"/>
      <c r="L434" s="995"/>
      <c r="M434" s="704"/>
      <c r="N434" s="704"/>
      <c r="O434" s="704"/>
      <c r="P434" s="957"/>
      <c r="Q434" s="957"/>
      <c r="R434" s="957"/>
      <c r="S434" s="957"/>
      <c r="T434" s="957"/>
      <c r="U434" s="957"/>
      <c r="V434" s="957"/>
      <c r="W434" s="957"/>
      <c r="X434" s="957"/>
      <c r="Y434" s="957"/>
      <c r="Z434" s="957"/>
      <c r="AA434" s="957"/>
      <c r="AB434" s="957"/>
      <c r="AC434" s="957"/>
      <c r="AD434" s="957"/>
    </row>
    <row r="435" ht="15.75" customHeight="1">
      <c r="A435" s="518"/>
      <c r="B435" s="517"/>
      <c r="C435" s="518"/>
      <c r="D435" s="992"/>
      <c r="E435" s="989"/>
      <c r="F435" s="989"/>
      <c r="G435" s="993"/>
      <c r="H435" s="993"/>
      <c r="I435" s="986"/>
      <c r="J435" s="523"/>
      <c r="K435" s="994"/>
      <c r="L435" s="995"/>
      <c r="M435" s="704"/>
      <c r="N435" s="704"/>
      <c r="O435" s="704"/>
      <c r="P435" s="957"/>
      <c r="Q435" s="957"/>
      <c r="R435" s="957"/>
      <c r="S435" s="957"/>
      <c r="T435" s="957"/>
      <c r="U435" s="957"/>
      <c r="V435" s="957"/>
      <c r="W435" s="957"/>
      <c r="X435" s="957"/>
      <c r="Y435" s="957"/>
      <c r="Z435" s="957"/>
      <c r="AA435" s="957"/>
      <c r="AB435" s="957"/>
      <c r="AC435" s="957"/>
      <c r="AD435" s="957"/>
    </row>
    <row r="436" ht="15.75" customHeight="1">
      <c r="A436" s="518"/>
      <c r="B436" s="517"/>
      <c r="C436" s="518"/>
      <c r="D436" s="992"/>
      <c r="E436" s="989"/>
      <c r="F436" s="989"/>
      <c r="G436" s="993"/>
      <c r="H436" s="993"/>
      <c r="I436" s="986"/>
      <c r="J436" s="523"/>
      <c r="K436" s="994"/>
      <c r="L436" s="995"/>
      <c r="M436" s="704"/>
      <c r="N436" s="704"/>
      <c r="O436" s="704"/>
      <c r="P436" s="957"/>
      <c r="Q436" s="957"/>
      <c r="R436" s="957"/>
      <c r="S436" s="957"/>
      <c r="T436" s="957"/>
      <c r="U436" s="957"/>
      <c r="V436" s="957"/>
      <c r="W436" s="957"/>
      <c r="X436" s="957"/>
      <c r="Y436" s="957"/>
      <c r="Z436" s="957"/>
      <c r="AA436" s="957"/>
      <c r="AB436" s="957"/>
      <c r="AC436" s="957"/>
      <c r="AD436" s="957"/>
    </row>
    <row r="437" ht="15.75" customHeight="1">
      <c r="A437" s="518"/>
      <c r="B437" s="517"/>
      <c r="C437" s="518"/>
      <c r="D437" s="992"/>
      <c r="E437" s="989"/>
      <c r="F437" s="989"/>
      <c r="G437" s="993"/>
      <c r="H437" s="993"/>
      <c r="I437" s="986"/>
      <c r="J437" s="523"/>
      <c r="K437" s="994"/>
      <c r="L437" s="995"/>
      <c r="M437" s="704"/>
      <c r="N437" s="704"/>
      <c r="O437" s="704"/>
      <c r="P437" s="957"/>
      <c r="Q437" s="957"/>
      <c r="R437" s="957"/>
      <c r="S437" s="957"/>
      <c r="T437" s="957"/>
      <c r="U437" s="957"/>
      <c r="V437" s="957"/>
      <c r="W437" s="957"/>
      <c r="X437" s="957"/>
      <c r="Y437" s="957"/>
      <c r="Z437" s="957"/>
      <c r="AA437" s="957"/>
      <c r="AB437" s="957"/>
      <c r="AC437" s="957"/>
      <c r="AD437" s="957"/>
    </row>
    <row r="438" ht="15.75" customHeight="1">
      <c r="A438" s="518"/>
      <c r="B438" s="517"/>
      <c r="C438" s="518"/>
      <c r="D438" s="992"/>
      <c r="E438" s="989"/>
      <c r="F438" s="989"/>
      <c r="G438" s="993"/>
      <c r="H438" s="993"/>
      <c r="I438" s="986"/>
      <c r="J438" s="523"/>
      <c r="K438" s="994"/>
      <c r="L438" s="995"/>
      <c r="M438" s="704"/>
      <c r="N438" s="704"/>
      <c r="O438" s="704"/>
      <c r="P438" s="957"/>
      <c r="Q438" s="957"/>
      <c r="R438" s="957"/>
      <c r="S438" s="957"/>
      <c r="T438" s="957"/>
      <c r="U438" s="957"/>
      <c r="V438" s="957"/>
      <c r="W438" s="957"/>
      <c r="X438" s="957"/>
      <c r="Y438" s="957"/>
      <c r="Z438" s="957"/>
      <c r="AA438" s="957"/>
      <c r="AB438" s="957"/>
      <c r="AC438" s="957"/>
      <c r="AD438" s="957"/>
    </row>
    <row r="439" ht="15.75" customHeight="1">
      <c r="A439" s="518"/>
      <c r="B439" s="517"/>
      <c r="C439" s="518"/>
      <c r="D439" s="992"/>
      <c r="E439" s="989"/>
      <c r="F439" s="989"/>
      <c r="G439" s="993"/>
      <c r="H439" s="993"/>
      <c r="I439" s="986"/>
      <c r="J439" s="523"/>
      <c r="K439" s="994"/>
      <c r="L439" s="995"/>
      <c r="M439" s="704"/>
      <c r="N439" s="704"/>
      <c r="O439" s="704"/>
      <c r="P439" s="957"/>
      <c r="Q439" s="957"/>
      <c r="R439" s="957"/>
      <c r="S439" s="957"/>
      <c r="T439" s="957"/>
      <c r="U439" s="957"/>
      <c r="V439" s="957"/>
      <c r="W439" s="957"/>
      <c r="X439" s="957"/>
      <c r="Y439" s="957"/>
      <c r="Z439" s="957"/>
      <c r="AA439" s="957"/>
      <c r="AB439" s="957"/>
      <c r="AC439" s="957"/>
      <c r="AD439" s="957"/>
    </row>
    <row r="440" ht="15.75" customHeight="1">
      <c r="A440" s="518"/>
      <c r="B440" s="517"/>
      <c r="C440" s="518"/>
      <c r="D440" s="992"/>
      <c r="E440" s="989"/>
      <c r="F440" s="989"/>
      <c r="G440" s="993"/>
      <c r="H440" s="993"/>
      <c r="I440" s="986"/>
      <c r="J440" s="523"/>
      <c r="K440" s="994"/>
      <c r="L440" s="995"/>
      <c r="M440" s="704"/>
      <c r="N440" s="704"/>
      <c r="O440" s="704"/>
      <c r="P440" s="957"/>
      <c r="Q440" s="957"/>
      <c r="R440" s="957"/>
      <c r="S440" s="957"/>
      <c r="T440" s="957"/>
      <c r="U440" s="957"/>
      <c r="V440" s="957"/>
      <c r="W440" s="957"/>
      <c r="X440" s="957"/>
      <c r="Y440" s="957"/>
      <c r="Z440" s="957"/>
      <c r="AA440" s="957"/>
      <c r="AB440" s="957"/>
      <c r="AC440" s="957"/>
      <c r="AD440" s="957"/>
    </row>
    <row r="441" ht="15.75" customHeight="1">
      <c r="A441" s="518"/>
      <c r="B441" s="517"/>
      <c r="C441" s="518"/>
      <c r="D441" s="992"/>
      <c r="E441" s="989"/>
      <c r="F441" s="989"/>
      <c r="G441" s="993"/>
      <c r="H441" s="993"/>
      <c r="I441" s="986"/>
      <c r="J441" s="523"/>
      <c r="K441" s="994"/>
      <c r="L441" s="995"/>
      <c r="M441" s="704"/>
      <c r="N441" s="704"/>
      <c r="O441" s="704"/>
      <c r="P441" s="957"/>
      <c r="Q441" s="957"/>
      <c r="R441" s="957"/>
      <c r="S441" s="957"/>
      <c r="T441" s="957"/>
      <c r="U441" s="957"/>
      <c r="V441" s="957"/>
      <c r="W441" s="957"/>
      <c r="X441" s="957"/>
      <c r="Y441" s="957"/>
      <c r="Z441" s="957"/>
      <c r="AA441" s="957"/>
      <c r="AB441" s="957"/>
      <c r="AC441" s="957"/>
      <c r="AD441" s="957"/>
    </row>
    <row r="442" ht="15.75" customHeight="1">
      <c r="A442" s="518"/>
      <c r="B442" s="517"/>
      <c r="C442" s="518"/>
      <c r="D442" s="992"/>
      <c r="E442" s="989"/>
      <c r="F442" s="989"/>
      <c r="G442" s="993"/>
      <c r="H442" s="993"/>
      <c r="I442" s="986"/>
      <c r="J442" s="523"/>
      <c r="K442" s="994"/>
      <c r="L442" s="995"/>
      <c r="M442" s="704"/>
      <c r="N442" s="704"/>
      <c r="O442" s="704"/>
      <c r="P442" s="957"/>
      <c r="Q442" s="957"/>
      <c r="R442" s="957"/>
      <c r="S442" s="957"/>
      <c r="T442" s="957"/>
      <c r="U442" s="957"/>
      <c r="V442" s="957"/>
      <c r="W442" s="957"/>
      <c r="X442" s="957"/>
      <c r="Y442" s="957"/>
      <c r="Z442" s="957"/>
      <c r="AA442" s="957"/>
      <c r="AB442" s="957"/>
      <c r="AC442" s="957"/>
      <c r="AD442" s="957"/>
    </row>
    <row r="443" ht="15.75" customHeight="1">
      <c r="A443" s="518"/>
      <c r="B443" s="517"/>
      <c r="C443" s="518"/>
      <c r="D443" s="992"/>
      <c r="E443" s="989"/>
      <c r="F443" s="989"/>
      <c r="G443" s="993"/>
      <c r="H443" s="993"/>
      <c r="I443" s="986"/>
      <c r="J443" s="523"/>
      <c r="K443" s="994"/>
      <c r="L443" s="995"/>
      <c r="M443" s="704"/>
      <c r="N443" s="704"/>
      <c r="O443" s="704"/>
      <c r="P443" s="957"/>
      <c r="Q443" s="957"/>
      <c r="R443" s="957"/>
      <c r="S443" s="957"/>
      <c r="T443" s="957"/>
      <c r="U443" s="957"/>
      <c r="V443" s="957"/>
      <c r="W443" s="957"/>
      <c r="X443" s="957"/>
      <c r="Y443" s="957"/>
      <c r="Z443" s="957"/>
      <c r="AA443" s="957"/>
      <c r="AB443" s="957"/>
      <c r="AC443" s="957"/>
      <c r="AD443" s="957"/>
    </row>
    <row r="444" ht="15.75" customHeight="1">
      <c r="A444" s="518"/>
      <c r="B444" s="517"/>
      <c r="C444" s="518"/>
      <c r="D444" s="992"/>
      <c r="E444" s="989"/>
      <c r="F444" s="989"/>
      <c r="G444" s="993"/>
      <c r="H444" s="993"/>
      <c r="I444" s="986"/>
      <c r="J444" s="523"/>
      <c r="K444" s="994"/>
      <c r="L444" s="995"/>
      <c r="M444" s="704"/>
      <c r="N444" s="704"/>
      <c r="O444" s="704"/>
      <c r="P444" s="957"/>
      <c r="Q444" s="957"/>
      <c r="R444" s="957"/>
      <c r="S444" s="957"/>
      <c r="T444" s="957"/>
      <c r="U444" s="957"/>
      <c r="V444" s="957"/>
      <c r="W444" s="957"/>
      <c r="X444" s="957"/>
      <c r="Y444" s="957"/>
      <c r="Z444" s="957"/>
      <c r="AA444" s="957"/>
      <c r="AB444" s="957"/>
      <c r="AC444" s="957"/>
      <c r="AD444" s="957"/>
    </row>
    <row r="445" ht="15.75" customHeight="1">
      <c r="A445" s="518"/>
      <c r="B445" s="517"/>
      <c r="C445" s="518"/>
      <c r="D445" s="992"/>
      <c r="E445" s="989"/>
      <c r="F445" s="989"/>
      <c r="G445" s="993"/>
      <c r="H445" s="993"/>
      <c r="I445" s="986"/>
      <c r="J445" s="523"/>
      <c r="K445" s="994"/>
      <c r="L445" s="995"/>
      <c r="M445" s="704"/>
      <c r="N445" s="704"/>
      <c r="O445" s="704"/>
      <c r="P445" s="957"/>
      <c r="Q445" s="957"/>
      <c r="R445" s="957"/>
      <c r="S445" s="957"/>
      <c r="T445" s="957"/>
      <c r="U445" s="957"/>
      <c r="V445" s="957"/>
      <c r="W445" s="957"/>
      <c r="X445" s="957"/>
      <c r="Y445" s="957"/>
      <c r="Z445" s="957"/>
      <c r="AA445" s="957"/>
      <c r="AB445" s="957"/>
      <c r="AC445" s="957"/>
      <c r="AD445" s="957"/>
    </row>
    <row r="446" ht="15.75" customHeight="1">
      <c r="A446" s="518"/>
      <c r="B446" s="517"/>
      <c r="C446" s="518"/>
      <c r="D446" s="992"/>
      <c r="E446" s="989"/>
      <c r="F446" s="989"/>
      <c r="G446" s="993"/>
      <c r="H446" s="993"/>
      <c r="I446" s="986"/>
      <c r="J446" s="523"/>
      <c r="K446" s="994"/>
      <c r="L446" s="995"/>
      <c r="M446" s="704"/>
      <c r="N446" s="704"/>
      <c r="O446" s="704"/>
      <c r="P446" s="957"/>
      <c r="Q446" s="957"/>
      <c r="R446" s="957"/>
      <c r="S446" s="957"/>
      <c r="T446" s="957"/>
      <c r="U446" s="957"/>
      <c r="V446" s="957"/>
      <c r="W446" s="957"/>
      <c r="X446" s="957"/>
      <c r="Y446" s="957"/>
      <c r="Z446" s="957"/>
      <c r="AA446" s="957"/>
      <c r="AB446" s="957"/>
      <c r="AC446" s="957"/>
      <c r="AD446" s="957"/>
    </row>
    <row r="447" ht="15.75" customHeight="1">
      <c r="A447" s="518"/>
      <c r="B447" s="517"/>
      <c r="C447" s="518"/>
      <c r="D447" s="992"/>
      <c r="E447" s="989"/>
      <c r="F447" s="989"/>
      <c r="G447" s="993"/>
      <c r="H447" s="993"/>
      <c r="I447" s="986"/>
      <c r="J447" s="523"/>
      <c r="K447" s="994"/>
      <c r="L447" s="995"/>
      <c r="M447" s="704"/>
      <c r="N447" s="704"/>
      <c r="O447" s="704"/>
      <c r="P447" s="957"/>
      <c r="Q447" s="957"/>
      <c r="R447" s="957"/>
      <c r="S447" s="957"/>
      <c r="T447" s="957"/>
      <c r="U447" s="957"/>
      <c r="V447" s="957"/>
      <c r="W447" s="957"/>
      <c r="X447" s="957"/>
      <c r="Y447" s="957"/>
      <c r="Z447" s="957"/>
      <c r="AA447" s="957"/>
      <c r="AB447" s="957"/>
      <c r="AC447" s="957"/>
      <c r="AD447" s="957"/>
    </row>
    <row r="448" ht="15.75" customHeight="1">
      <c r="A448" s="518"/>
      <c r="B448" s="517"/>
      <c r="C448" s="518"/>
      <c r="D448" s="992"/>
      <c r="E448" s="989"/>
      <c r="F448" s="989"/>
      <c r="G448" s="993"/>
      <c r="H448" s="993"/>
      <c r="I448" s="986"/>
      <c r="J448" s="523"/>
      <c r="K448" s="994"/>
      <c r="L448" s="995"/>
      <c r="M448" s="704"/>
      <c r="N448" s="704"/>
      <c r="O448" s="704"/>
      <c r="P448" s="957"/>
      <c r="Q448" s="957"/>
      <c r="R448" s="957"/>
      <c r="S448" s="957"/>
      <c r="T448" s="957"/>
      <c r="U448" s="957"/>
      <c r="V448" s="957"/>
      <c r="W448" s="957"/>
      <c r="X448" s="957"/>
      <c r="Y448" s="957"/>
      <c r="Z448" s="957"/>
      <c r="AA448" s="957"/>
      <c r="AB448" s="957"/>
      <c r="AC448" s="957"/>
      <c r="AD448" s="957"/>
    </row>
    <row r="449" ht="15.75" customHeight="1">
      <c r="A449" s="518"/>
      <c r="B449" s="517"/>
      <c r="C449" s="518"/>
      <c r="D449" s="992"/>
      <c r="E449" s="989"/>
      <c r="F449" s="989"/>
      <c r="G449" s="993"/>
      <c r="H449" s="993"/>
      <c r="I449" s="986"/>
      <c r="J449" s="523"/>
      <c r="K449" s="994"/>
      <c r="L449" s="995"/>
      <c r="M449" s="704"/>
      <c r="N449" s="704"/>
      <c r="O449" s="704"/>
      <c r="P449" s="957"/>
      <c r="Q449" s="957"/>
      <c r="R449" s="957"/>
      <c r="S449" s="957"/>
      <c r="T449" s="957"/>
      <c r="U449" s="957"/>
      <c r="V449" s="957"/>
      <c r="W449" s="957"/>
      <c r="X449" s="957"/>
      <c r="Y449" s="957"/>
      <c r="Z449" s="957"/>
      <c r="AA449" s="957"/>
      <c r="AB449" s="957"/>
      <c r="AC449" s="957"/>
      <c r="AD449" s="957"/>
    </row>
    <row r="450" ht="15.75" customHeight="1">
      <c r="A450" s="518"/>
      <c r="B450" s="517"/>
      <c r="C450" s="518"/>
      <c r="D450" s="992"/>
      <c r="E450" s="989"/>
      <c r="F450" s="989"/>
      <c r="G450" s="993"/>
      <c r="H450" s="993"/>
      <c r="I450" s="986"/>
      <c r="J450" s="523"/>
      <c r="K450" s="994"/>
      <c r="L450" s="995"/>
      <c r="M450" s="704"/>
      <c r="N450" s="704"/>
      <c r="O450" s="704"/>
      <c r="P450" s="957"/>
      <c r="Q450" s="957"/>
      <c r="R450" s="957"/>
      <c r="S450" s="957"/>
      <c r="T450" s="957"/>
      <c r="U450" s="957"/>
      <c r="V450" s="957"/>
      <c r="W450" s="957"/>
      <c r="X450" s="957"/>
      <c r="Y450" s="957"/>
      <c r="Z450" s="957"/>
      <c r="AA450" s="957"/>
      <c r="AB450" s="957"/>
      <c r="AC450" s="957"/>
      <c r="AD450" s="957"/>
    </row>
    <row r="451" ht="15.75" customHeight="1">
      <c r="A451" s="518"/>
      <c r="B451" s="517"/>
      <c r="C451" s="518"/>
      <c r="D451" s="992"/>
      <c r="E451" s="989"/>
      <c r="F451" s="989"/>
      <c r="G451" s="993"/>
      <c r="H451" s="993"/>
      <c r="I451" s="986"/>
      <c r="J451" s="523"/>
      <c r="K451" s="994"/>
      <c r="L451" s="995"/>
      <c r="M451" s="704"/>
      <c r="N451" s="704"/>
      <c r="O451" s="704"/>
      <c r="P451" s="957"/>
      <c r="Q451" s="957"/>
      <c r="R451" s="957"/>
      <c r="S451" s="957"/>
      <c r="T451" s="957"/>
      <c r="U451" s="957"/>
      <c r="V451" s="957"/>
      <c r="W451" s="957"/>
      <c r="X451" s="957"/>
      <c r="Y451" s="957"/>
      <c r="Z451" s="957"/>
      <c r="AA451" s="957"/>
      <c r="AB451" s="957"/>
      <c r="AC451" s="957"/>
      <c r="AD451" s="957"/>
    </row>
    <row r="452" ht="15.75" customHeight="1">
      <c r="A452" s="518"/>
      <c r="B452" s="517"/>
      <c r="C452" s="518"/>
      <c r="D452" s="992"/>
      <c r="E452" s="989"/>
      <c r="F452" s="989"/>
      <c r="G452" s="993"/>
      <c r="H452" s="993"/>
      <c r="I452" s="986"/>
      <c r="J452" s="523"/>
      <c r="K452" s="994"/>
      <c r="L452" s="995"/>
      <c r="M452" s="704"/>
      <c r="N452" s="704"/>
      <c r="O452" s="704"/>
      <c r="P452" s="957"/>
      <c r="Q452" s="957"/>
      <c r="R452" s="957"/>
      <c r="S452" s="957"/>
      <c r="T452" s="957"/>
      <c r="U452" s="957"/>
      <c r="V452" s="957"/>
      <c r="W452" s="957"/>
      <c r="X452" s="957"/>
      <c r="Y452" s="957"/>
      <c r="Z452" s="957"/>
      <c r="AA452" s="957"/>
      <c r="AB452" s="957"/>
      <c r="AC452" s="957"/>
      <c r="AD452" s="957"/>
    </row>
    <row r="453" ht="15.75" customHeight="1">
      <c r="A453" s="518"/>
      <c r="B453" s="517"/>
      <c r="C453" s="518"/>
      <c r="D453" s="992"/>
      <c r="E453" s="989"/>
      <c r="F453" s="989"/>
      <c r="G453" s="993"/>
      <c r="H453" s="993"/>
      <c r="I453" s="986"/>
      <c r="J453" s="523"/>
      <c r="K453" s="994"/>
      <c r="L453" s="995"/>
      <c r="M453" s="704"/>
      <c r="N453" s="704"/>
      <c r="O453" s="704"/>
      <c r="P453" s="957"/>
      <c r="Q453" s="957"/>
      <c r="R453" s="957"/>
      <c r="S453" s="957"/>
      <c r="T453" s="957"/>
      <c r="U453" s="957"/>
      <c r="V453" s="957"/>
      <c r="W453" s="957"/>
      <c r="X453" s="957"/>
      <c r="Y453" s="957"/>
      <c r="Z453" s="957"/>
      <c r="AA453" s="957"/>
      <c r="AB453" s="957"/>
      <c r="AC453" s="957"/>
      <c r="AD453" s="957"/>
    </row>
    <row r="454" ht="15.75" customHeight="1">
      <c r="A454" s="518"/>
      <c r="B454" s="517"/>
      <c r="C454" s="518"/>
      <c r="D454" s="992"/>
      <c r="E454" s="989"/>
      <c r="F454" s="989"/>
      <c r="G454" s="993"/>
      <c r="H454" s="993"/>
      <c r="I454" s="986"/>
      <c r="J454" s="523"/>
      <c r="K454" s="994"/>
      <c r="L454" s="995"/>
      <c r="M454" s="704"/>
      <c r="N454" s="704"/>
      <c r="O454" s="704"/>
      <c r="P454" s="957"/>
      <c r="Q454" s="957"/>
      <c r="R454" s="957"/>
      <c r="S454" s="957"/>
      <c r="T454" s="957"/>
      <c r="U454" s="957"/>
      <c r="V454" s="957"/>
      <c r="W454" s="957"/>
      <c r="X454" s="957"/>
      <c r="Y454" s="957"/>
      <c r="Z454" s="957"/>
      <c r="AA454" s="957"/>
      <c r="AB454" s="957"/>
      <c r="AC454" s="957"/>
      <c r="AD454" s="957"/>
    </row>
    <row r="455" ht="15.75" customHeight="1">
      <c r="A455" s="518"/>
      <c r="B455" s="517"/>
      <c r="C455" s="518"/>
      <c r="D455" s="992"/>
      <c r="E455" s="989"/>
      <c r="F455" s="989"/>
      <c r="G455" s="993"/>
      <c r="H455" s="993"/>
      <c r="I455" s="986"/>
      <c r="J455" s="523"/>
      <c r="K455" s="994"/>
      <c r="L455" s="995"/>
      <c r="M455" s="704"/>
      <c r="N455" s="704"/>
      <c r="O455" s="704"/>
      <c r="P455" s="957"/>
      <c r="Q455" s="957"/>
      <c r="R455" s="957"/>
      <c r="S455" s="957"/>
      <c r="T455" s="957"/>
      <c r="U455" s="957"/>
      <c r="V455" s="957"/>
      <c r="W455" s="957"/>
      <c r="X455" s="957"/>
      <c r="Y455" s="957"/>
      <c r="Z455" s="957"/>
      <c r="AA455" s="957"/>
      <c r="AB455" s="957"/>
      <c r="AC455" s="957"/>
      <c r="AD455" s="957"/>
    </row>
    <row r="456" ht="15.75" customHeight="1">
      <c r="A456" s="518"/>
      <c r="B456" s="517"/>
      <c r="C456" s="518"/>
      <c r="D456" s="992"/>
      <c r="E456" s="989"/>
      <c r="F456" s="989"/>
      <c r="G456" s="993"/>
      <c r="H456" s="993"/>
      <c r="I456" s="986"/>
      <c r="J456" s="523"/>
      <c r="K456" s="994"/>
      <c r="L456" s="995"/>
      <c r="M456" s="704"/>
      <c r="N456" s="704"/>
      <c r="O456" s="704"/>
      <c r="P456" s="957"/>
      <c r="Q456" s="957"/>
      <c r="R456" s="957"/>
      <c r="S456" s="957"/>
      <c r="T456" s="957"/>
      <c r="U456" s="957"/>
      <c r="V456" s="957"/>
      <c r="W456" s="957"/>
      <c r="X456" s="957"/>
      <c r="Y456" s="957"/>
      <c r="Z456" s="957"/>
      <c r="AA456" s="957"/>
      <c r="AB456" s="957"/>
      <c r="AC456" s="957"/>
      <c r="AD456" s="957"/>
    </row>
    <row r="457" ht="15.75" customHeight="1">
      <c r="A457" s="518"/>
      <c r="B457" s="517"/>
      <c r="C457" s="518"/>
      <c r="D457" s="992"/>
      <c r="E457" s="989"/>
      <c r="F457" s="989"/>
      <c r="G457" s="993"/>
      <c r="H457" s="993"/>
      <c r="I457" s="986"/>
      <c r="J457" s="523"/>
      <c r="K457" s="994"/>
      <c r="L457" s="995"/>
      <c r="M457" s="704"/>
      <c r="N457" s="704"/>
      <c r="O457" s="704"/>
      <c r="P457" s="957"/>
      <c r="Q457" s="957"/>
      <c r="R457" s="957"/>
      <c r="S457" s="957"/>
      <c r="T457" s="957"/>
      <c r="U457" s="957"/>
      <c r="V457" s="957"/>
      <c r="W457" s="957"/>
      <c r="X457" s="957"/>
      <c r="Y457" s="957"/>
      <c r="Z457" s="957"/>
      <c r="AA457" s="957"/>
      <c r="AB457" s="957"/>
      <c r="AC457" s="957"/>
      <c r="AD457" s="957"/>
    </row>
    <row r="458" ht="15.75" customHeight="1">
      <c r="A458" s="518"/>
      <c r="B458" s="517"/>
      <c r="C458" s="518"/>
      <c r="D458" s="992"/>
      <c r="E458" s="989"/>
      <c r="F458" s="989"/>
      <c r="G458" s="993"/>
      <c r="H458" s="993"/>
      <c r="I458" s="986"/>
      <c r="J458" s="523"/>
      <c r="K458" s="994"/>
      <c r="L458" s="995"/>
      <c r="M458" s="704"/>
      <c r="N458" s="704"/>
      <c r="O458" s="704"/>
      <c r="P458" s="957"/>
      <c r="Q458" s="957"/>
      <c r="R458" s="957"/>
      <c r="S458" s="957"/>
      <c r="T458" s="957"/>
      <c r="U458" s="957"/>
      <c r="V458" s="957"/>
      <c r="W458" s="957"/>
      <c r="X458" s="957"/>
      <c r="Y458" s="957"/>
      <c r="Z458" s="957"/>
      <c r="AA458" s="957"/>
      <c r="AB458" s="957"/>
      <c r="AC458" s="957"/>
      <c r="AD458" s="957"/>
    </row>
    <row r="459" ht="15.75" customHeight="1">
      <c r="A459" s="518"/>
      <c r="B459" s="517"/>
      <c r="C459" s="518"/>
      <c r="D459" s="992"/>
      <c r="E459" s="989"/>
      <c r="F459" s="989"/>
      <c r="G459" s="993"/>
      <c r="H459" s="993"/>
      <c r="I459" s="986"/>
      <c r="J459" s="523"/>
      <c r="K459" s="994"/>
      <c r="L459" s="995"/>
      <c r="M459" s="704"/>
      <c r="N459" s="704"/>
      <c r="O459" s="704"/>
      <c r="P459" s="957"/>
      <c r="Q459" s="957"/>
      <c r="R459" s="957"/>
      <c r="S459" s="957"/>
      <c r="T459" s="957"/>
      <c r="U459" s="957"/>
      <c r="V459" s="957"/>
      <c r="W459" s="957"/>
      <c r="X459" s="957"/>
      <c r="Y459" s="957"/>
      <c r="Z459" s="957"/>
      <c r="AA459" s="957"/>
      <c r="AB459" s="957"/>
      <c r="AC459" s="957"/>
      <c r="AD459" s="957"/>
    </row>
    <row r="460" ht="15.75" customHeight="1">
      <c r="A460" s="518"/>
      <c r="B460" s="517"/>
      <c r="C460" s="518"/>
      <c r="D460" s="992"/>
      <c r="E460" s="989"/>
      <c r="F460" s="989"/>
      <c r="G460" s="993"/>
      <c r="H460" s="993"/>
      <c r="I460" s="986"/>
      <c r="J460" s="523"/>
      <c r="K460" s="994"/>
      <c r="L460" s="995"/>
      <c r="M460" s="704"/>
      <c r="N460" s="704"/>
      <c r="O460" s="704"/>
      <c r="P460" s="957"/>
      <c r="Q460" s="957"/>
      <c r="R460" s="957"/>
      <c r="S460" s="957"/>
      <c r="T460" s="957"/>
      <c r="U460" s="957"/>
      <c r="V460" s="957"/>
      <c r="W460" s="957"/>
      <c r="X460" s="957"/>
      <c r="Y460" s="957"/>
      <c r="Z460" s="957"/>
      <c r="AA460" s="957"/>
      <c r="AB460" s="957"/>
      <c r="AC460" s="957"/>
      <c r="AD460" s="957"/>
    </row>
    <row r="461" ht="15.75" customHeight="1">
      <c r="A461" s="518"/>
      <c r="B461" s="517"/>
      <c r="C461" s="518"/>
      <c r="D461" s="992"/>
      <c r="E461" s="989"/>
      <c r="F461" s="989"/>
      <c r="G461" s="993"/>
      <c r="H461" s="993"/>
      <c r="I461" s="986"/>
      <c r="J461" s="523"/>
      <c r="K461" s="994"/>
      <c r="L461" s="995"/>
      <c r="M461" s="704"/>
      <c r="N461" s="704"/>
      <c r="O461" s="704"/>
      <c r="P461" s="957"/>
      <c r="Q461" s="957"/>
      <c r="R461" s="957"/>
      <c r="S461" s="957"/>
      <c r="T461" s="957"/>
      <c r="U461" s="957"/>
      <c r="V461" s="957"/>
      <c r="W461" s="957"/>
      <c r="X461" s="957"/>
      <c r="Y461" s="957"/>
      <c r="Z461" s="957"/>
      <c r="AA461" s="957"/>
      <c r="AB461" s="957"/>
      <c r="AC461" s="957"/>
      <c r="AD461" s="957"/>
    </row>
    <row r="462" ht="15.75" customHeight="1">
      <c r="A462" s="518"/>
      <c r="B462" s="517"/>
      <c r="C462" s="518"/>
      <c r="D462" s="992"/>
      <c r="E462" s="989"/>
      <c r="F462" s="989"/>
      <c r="G462" s="993"/>
      <c r="H462" s="993"/>
      <c r="I462" s="986"/>
      <c r="J462" s="523"/>
      <c r="K462" s="994"/>
      <c r="L462" s="995"/>
      <c r="M462" s="704"/>
      <c r="N462" s="704"/>
      <c r="O462" s="704"/>
      <c r="P462" s="957"/>
      <c r="Q462" s="957"/>
      <c r="R462" s="957"/>
      <c r="S462" s="957"/>
      <c r="T462" s="957"/>
      <c r="U462" s="957"/>
      <c r="V462" s="957"/>
      <c r="W462" s="957"/>
      <c r="X462" s="957"/>
      <c r="Y462" s="957"/>
      <c r="Z462" s="957"/>
      <c r="AA462" s="957"/>
      <c r="AB462" s="957"/>
      <c r="AC462" s="957"/>
      <c r="AD462" s="957"/>
    </row>
    <row r="463" ht="15.75" customHeight="1">
      <c r="A463" s="518"/>
      <c r="B463" s="517"/>
      <c r="C463" s="518"/>
      <c r="D463" s="992"/>
      <c r="E463" s="989"/>
      <c r="F463" s="989"/>
      <c r="G463" s="993"/>
      <c r="H463" s="993"/>
      <c r="I463" s="986"/>
      <c r="J463" s="523"/>
      <c r="K463" s="994"/>
      <c r="L463" s="995"/>
      <c r="M463" s="704"/>
      <c r="N463" s="704"/>
      <c r="O463" s="704"/>
      <c r="P463" s="957"/>
      <c r="Q463" s="957"/>
      <c r="R463" s="957"/>
      <c r="S463" s="957"/>
      <c r="T463" s="957"/>
      <c r="U463" s="957"/>
      <c r="V463" s="957"/>
      <c r="W463" s="957"/>
      <c r="X463" s="957"/>
      <c r="Y463" s="957"/>
      <c r="Z463" s="957"/>
      <c r="AA463" s="957"/>
      <c r="AB463" s="957"/>
      <c r="AC463" s="957"/>
      <c r="AD463" s="957"/>
    </row>
    <row r="464" ht="15.75" customHeight="1">
      <c r="A464" s="518"/>
      <c r="B464" s="517"/>
      <c r="C464" s="518"/>
      <c r="D464" s="992"/>
      <c r="E464" s="989"/>
      <c r="F464" s="989"/>
      <c r="G464" s="993"/>
      <c r="H464" s="993"/>
      <c r="I464" s="986"/>
      <c r="J464" s="523"/>
      <c r="K464" s="994"/>
      <c r="L464" s="995"/>
      <c r="M464" s="704"/>
      <c r="N464" s="704"/>
      <c r="O464" s="704"/>
      <c r="P464" s="957"/>
      <c r="Q464" s="957"/>
      <c r="R464" s="957"/>
      <c r="S464" s="957"/>
      <c r="T464" s="957"/>
      <c r="U464" s="957"/>
      <c r="V464" s="957"/>
      <c r="W464" s="957"/>
      <c r="X464" s="957"/>
      <c r="Y464" s="957"/>
      <c r="Z464" s="957"/>
      <c r="AA464" s="957"/>
      <c r="AB464" s="957"/>
      <c r="AC464" s="957"/>
      <c r="AD464" s="957"/>
    </row>
    <row r="465" ht="15.75" customHeight="1">
      <c r="A465" s="518"/>
      <c r="B465" s="517"/>
      <c r="C465" s="518"/>
      <c r="D465" s="992"/>
      <c r="E465" s="989"/>
      <c r="F465" s="989"/>
      <c r="G465" s="993"/>
      <c r="H465" s="993"/>
      <c r="I465" s="986"/>
      <c r="J465" s="523"/>
      <c r="K465" s="994"/>
      <c r="L465" s="995"/>
      <c r="M465" s="704"/>
      <c r="N465" s="704"/>
      <c r="O465" s="704"/>
      <c r="P465" s="957"/>
      <c r="Q465" s="957"/>
      <c r="R465" s="957"/>
      <c r="S465" s="957"/>
      <c r="T465" s="957"/>
      <c r="U465" s="957"/>
      <c r="V465" s="957"/>
      <c r="W465" s="957"/>
      <c r="X465" s="957"/>
      <c r="Y465" s="957"/>
      <c r="Z465" s="957"/>
      <c r="AA465" s="957"/>
      <c r="AB465" s="957"/>
      <c r="AC465" s="957"/>
      <c r="AD465" s="957"/>
    </row>
    <row r="466" ht="15.75" customHeight="1">
      <c r="A466" s="518"/>
      <c r="B466" s="517"/>
      <c r="C466" s="518"/>
      <c r="D466" s="992"/>
      <c r="E466" s="989"/>
      <c r="F466" s="989"/>
      <c r="G466" s="993"/>
      <c r="H466" s="993"/>
      <c r="I466" s="986"/>
      <c r="J466" s="523"/>
      <c r="K466" s="994"/>
      <c r="L466" s="995"/>
      <c r="M466" s="704"/>
      <c r="N466" s="704"/>
      <c r="O466" s="704"/>
      <c r="P466" s="957"/>
      <c r="Q466" s="957"/>
      <c r="R466" s="957"/>
      <c r="S466" s="957"/>
      <c r="T466" s="957"/>
      <c r="U466" s="957"/>
      <c r="V466" s="957"/>
      <c r="W466" s="957"/>
      <c r="X466" s="957"/>
      <c r="Y466" s="957"/>
      <c r="Z466" s="957"/>
      <c r="AA466" s="957"/>
      <c r="AB466" s="957"/>
      <c r="AC466" s="957"/>
      <c r="AD466" s="957"/>
    </row>
    <row r="467" ht="15.75" customHeight="1">
      <c r="A467" s="518"/>
      <c r="B467" s="517"/>
      <c r="C467" s="518"/>
      <c r="D467" s="992"/>
      <c r="E467" s="989"/>
      <c r="F467" s="989"/>
      <c r="G467" s="993"/>
      <c r="H467" s="993"/>
      <c r="I467" s="986"/>
      <c r="J467" s="523"/>
      <c r="K467" s="994"/>
      <c r="L467" s="995"/>
      <c r="M467" s="704"/>
      <c r="N467" s="704"/>
      <c r="O467" s="704"/>
      <c r="P467" s="957"/>
      <c r="Q467" s="957"/>
      <c r="R467" s="957"/>
      <c r="S467" s="957"/>
      <c r="T467" s="957"/>
      <c r="U467" s="957"/>
      <c r="V467" s="957"/>
      <c r="W467" s="957"/>
      <c r="X467" s="957"/>
      <c r="Y467" s="957"/>
      <c r="Z467" s="957"/>
      <c r="AA467" s="957"/>
      <c r="AB467" s="957"/>
      <c r="AC467" s="957"/>
      <c r="AD467" s="957"/>
    </row>
    <row r="468" ht="15.75" customHeight="1">
      <c r="A468" s="518"/>
      <c r="B468" s="517"/>
      <c r="C468" s="518"/>
      <c r="D468" s="992"/>
      <c r="E468" s="989"/>
      <c r="F468" s="989"/>
      <c r="G468" s="993"/>
      <c r="H468" s="993"/>
      <c r="I468" s="986"/>
      <c r="J468" s="523"/>
      <c r="K468" s="994"/>
      <c r="L468" s="995"/>
      <c r="M468" s="704"/>
      <c r="N468" s="704"/>
      <c r="O468" s="704"/>
      <c r="P468" s="957"/>
      <c r="Q468" s="957"/>
      <c r="R468" s="957"/>
      <c r="S468" s="957"/>
      <c r="T468" s="957"/>
      <c r="U468" s="957"/>
      <c r="V468" s="957"/>
      <c r="W468" s="957"/>
      <c r="X468" s="957"/>
      <c r="Y468" s="957"/>
      <c r="Z468" s="957"/>
      <c r="AA468" s="957"/>
      <c r="AB468" s="957"/>
      <c r="AC468" s="957"/>
      <c r="AD468" s="957"/>
    </row>
    <row r="469" ht="15.75" customHeight="1">
      <c r="A469" s="518"/>
      <c r="B469" s="517"/>
      <c r="C469" s="518"/>
      <c r="D469" s="992"/>
      <c r="E469" s="989"/>
      <c r="F469" s="989"/>
      <c r="G469" s="993"/>
      <c r="H469" s="993"/>
      <c r="I469" s="986"/>
      <c r="J469" s="523"/>
      <c r="K469" s="994"/>
      <c r="L469" s="995"/>
      <c r="M469" s="704"/>
      <c r="N469" s="704"/>
      <c r="O469" s="704"/>
      <c r="P469" s="957"/>
      <c r="Q469" s="957"/>
      <c r="R469" s="957"/>
      <c r="S469" s="957"/>
      <c r="T469" s="957"/>
      <c r="U469" s="957"/>
      <c r="V469" s="957"/>
      <c r="W469" s="957"/>
      <c r="X469" s="957"/>
      <c r="Y469" s="957"/>
      <c r="Z469" s="957"/>
      <c r="AA469" s="957"/>
      <c r="AB469" s="957"/>
      <c r="AC469" s="957"/>
      <c r="AD469" s="957"/>
    </row>
    <row r="470" ht="15.75" customHeight="1">
      <c r="A470" s="518"/>
      <c r="B470" s="517"/>
      <c r="C470" s="518"/>
      <c r="D470" s="992"/>
      <c r="E470" s="989"/>
      <c r="F470" s="989"/>
      <c r="G470" s="993"/>
      <c r="H470" s="993"/>
      <c r="I470" s="986"/>
      <c r="J470" s="523"/>
      <c r="K470" s="994"/>
      <c r="L470" s="995"/>
      <c r="M470" s="704"/>
      <c r="N470" s="704"/>
      <c r="O470" s="704"/>
      <c r="P470" s="957"/>
      <c r="Q470" s="957"/>
      <c r="R470" s="957"/>
      <c r="S470" s="957"/>
      <c r="T470" s="957"/>
      <c r="U470" s="957"/>
      <c r="V470" s="957"/>
      <c r="W470" s="957"/>
      <c r="X470" s="957"/>
      <c r="Y470" s="957"/>
      <c r="Z470" s="957"/>
      <c r="AA470" s="957"/>
      <c r="AB470" s="957"/>
      <c r="AC470" s="957"/>
      <c r="AD470" s="957"/>
    </row>
    <row r="471" ht="15.75" customHeight="1">
      <c r="A471" s="518"/>
      <c r="B471" s="517"/>
      <c r="C471" s="518"/>
      <c r="D471" s="992"/>
      <c r="E471" s="989"/>
      <c r="F471" s="989"/>
      <c r="G471" s="993"/>
      <c r="H471" s="993"/>
      <c r="I471" s="986"/>
      <c r="J471" s="523"/>
      <c r="K471" s="994"/>
      <c r="L471" s="995"/>
      <c r="M471" s="704"/>
      <c r="N471" s="704"/>
      <c r="O471" s="704"/>
      <c r="P471" s="957"/>
      <c r="Q471" s="957"/>
      <c r="R471" s="957"/>
      <c r="S471" s="957"/>
      <c r="T471" s="957"/>
      <c r="U471" s="957"/>
      <c r="V471" s="957"/>
      <c r="W471" s="957"/>
      <c r="X471" s="957"/>
      <c r="Y471" s="957"/>
      <c r="Z471" s="957"/>
      <c r="AA471" s="957"/>
      <c r="AB471" s="957"/>
      <c r="AC471" s="957"/>
      <c r="AD471" s="957"/>
    </row>
    <row r="472" ht="15.75" customHeight="1">
      <c r="A472" s="518"/>
      <c r="B472" s="517"/>
      <c r="C472" s="518"/>
      <c r="D472" s="992"/>
      <c r="E472" s="989"/>
      <c r="F472" s="989"/>
      <c r="G472" s="993"/>
      <c r="H472" s="993"/>
      <c r="I472" s="986"/>
      <c r="J472" s="523"/>
      <c r="K472" s="994"/>
      <c r="L472" s="995"/>
      <c r="M472" s="704"/>
      <c r="N472" s="704"/>
      <c r="O472" s="704"/>
      <c r="P472" s="957"/>
      <c r="Q472" s="957"/>
      <c r="R472" s="957"/>
      <c r="S472" s="957"/>
      <c r="T472" s="957"/>
      <c r="U472" s="957"/>
      <c r="V472" s="957"/>
      <c r="W472" s="957"/>
      <c r="X472" s="957"/>
      <c r="Y472" s="957"/>
      <c r="Z472" s="957"/>
      <c r="AA472" s="957"/>
      <c r="AB472" s="957"/>
      <c r="AC472" s="957"/>
      <c r="AD472" s="957"/>
    </row>
    <row r="473" ht="15.75" customHeight="1">
      <c r="A473" s="518"/>
      <c r="B473" s="517"/>
      <c r="C473" s="518"/>
      <c r="D473" s="992"/>
      <c r="E473" s="989"/>
      <c r="F473" s="989"/>
      <c r="G473" s="993"/>
      <c r="H473" s="993"/>
      <c r="I473" s="986"/>
      <c r="J473" s="523"/>
      <c r="K473" s="994"/>
      <c r="L473" s="995"/>
      <c r="M473" s="704"/>
      <c r="N473" s="704"/>
      <c r="O473" s="704"/>
      <c r="P473" s="957"/>
      <c r="Q473" s="957"/>
      <c r="R473" s="957"/>
      <c r="S473" s="957"/>
      <c r="T473" s="957"/>
      <c r="U473" s="957"/>
      <c r="V473" s="957"/>
      <c r="W473" s="957"/>
      <c r="X473" s="957"/>
      <c r="Y473" s="957"/>
      <c r="Z473" s="957"/>
      <c r="AA473" s="957"/>
      <c r="AB473" s="957"/>
      <c r="AC473" s="957"/>
      <c r="AD473" s="957"/>
    </row>
    <row r="474" ht="15.75" customHeight="1">
      <c r="A474" s="518"/>
      <c r="B474" s="517"/>
      <c r="C474" s="518"/>
      <c r="D474" s="992"/>
      <c r="E474" s="989"/>
      <c r="F474" s="989"/>
      <c r="G474" s="993"/>
      <c r="H474" s="993"/>
      <c r="I474" s="986"/>
      <c r="J474" s="523"/>
      <c r="K474" s="994"/>
      <c r="L474" s="995"/>
      <c r="M474" s="704"/>
      <c r="N474" s="704"/>
      <c r="O474" s="704"/>
      <c r="P474" s="957"/>
      <c r="Q474" s="957"/>
      <c r="R474" s="957"/>
      <c r="S474" s="957"/>
      <c r="T474" s="957"/>
      <c r="U474" s="957"/>
      <c r="V474" s="957"/>
      <c r="W474" s="957"/>
      <c r="X474" s="957"/>
      <c r="Y474" s="957"/>
      <c r="Z474" s="957"/>
      <c r="AA474" s="957"/>
      <c r="AB474" s="957"/>
      <c r="AC474" s="957"/>
      <c r="AD474" s="957"/>
    </row>
    <row r="475" ht="15.75" customHeight="1">
      <c r="A475" s="518"/>
      <c r="B475" s="517"/>
      <c r="C475" s="518"/>
      <c r="D475" s="992"/>
      <c r="E475" s="989"/>
      <c r="F475" s="989"/>
      <c r="G475" s="993"/>
      <c r="H475" s="993"/>
      <c r="I475" s="986"/>
      <c r="J475" s="523"/>
      <c r="K475" s="994"/>
      <c r="L475" s="995"/>
      <c r="M475" s="704"/>
      <c r="N475" s="704"/>
      <c r="O475" s="704"/>
      <c r="P475" s="957"/>
      <c r="Q475" s="957"/>
      <c r="R475" s="957"/>
      <c r="S475" s="957"/>
      <c r="T475" s="957"/>
      <c r="U475" s="957"/>
      <c r="V475" s="957"/>
      <c r="W475" s="957"/>
      <c r="X475" s="957"/>
      <c r="Y475" s="957"/>
      <c r="Z475" s="957"/>
      <c r="AA475" s="957"/>
      <c r="AB475" s="957"/>
      <c r="AC475" s="957"/>
      <c r="AD475" s="957"/>
    </row>
    <row r="476" ht="15.75" customHeight="1">
      <c r="A476" s="518"/>
      <c r="B476" s="517"/>
      <c r="C476" s="518"/>
      <c r="D476" s="992"/>
      <c r="E476" s="989"/>
      <c r="F476" s="989"/>
      <c r="G476" s="993"/>
      <c r="H476" s="993"/>
      <c r="I476" s="986"/>
      <c r="J476" s="523"/>
      <c r="K476" s="994"/>
      <c r="L476" s="995"/>
      <c r="M476" s="704"/>
      <c r="N476" s="704"/>
      <c r="O476" s="704"/>
      <c r="P476" s="957"/>
      <c r="Q476" s="957"/>
      <c r="R476" s="957"/>
      <c r="S476" s="957"/>
      <c r="T476" s="957"/>
      <c r="U476" s="957"/>
      <c r="V476" s="957"/>
      <c r="W476" s="957"/>
      <c r="X476" s="957"/>
      <c r="Y476" s="957"/>
      <c r="Z476" s="957"/>
      <c r="AA476" s="957"/>
      <c r="AB476" s="957"/>
      <c r="AC476" s="957"/>
      <c r="AD476" s="957"/>
    </row>
    <row r="477" ht="15.75" customHeight="1">
      <c r="A477" s="518"/>
      <c r="B477" s="517"/>
      <c r="C477" s="518"/>
      <c r="D477" s="992"/>
      <c r="E477" s="989"/>
      <c r="F477" s="989"/>
      <c r="G477" s="993"/>
      <c r="H477" s="993"/>
      <c r="I477" s="986"/>
      <c r="J477" s="523"/>
      <c r="K477" s="994"/>
      <c r="L477" s="995"/>
      <c r="M477" s="704"/>
      <c r="N477" s="704"/>
      <c r="O477" s="704"/>
      <c r="P477" s="957"/>
      <c r="Q477" s="957"/>
      <c r="R477" s="957"/>
      <c r="S477" s="957"/>
      <c r="T477" s="957"/>
      <c r="U477" s="957"/>
      <c r="V477" s="957"/>
      <c r="W477" s="957"/>
      <c r="X477" s="957"/>
      <c r="Y477" s="957"/>
      <c r="Z477" s="957"/>
      <c r="AA477" s="957"/>
      <c r="AB477" s="957"/>
      <c r="AC477" s="957"/>
      <c r="AD477" s="957"/>
    </row>
    <row r="478" ht="15.75" customHeight="1">
      <c r="A478" s="518"/>
      <c r="B478" s="517"/>
      <c r="C478" s="518"/>
      <c r="D478" s="992"/>
      <c r="E478" s="989"/>
      <c r="F478" s="989"/>
      <c r="G478" s="993"/>
      <c r="H478" s="993"/>
      <c r="I478" s="986"/>
      <c r="J478" s="523"/>
      <c r="K478" s="994"/>
      <c r="L478" s="995"/>
      <c r="M478" s="704"/>
      <c r="N478" s="704"/>
      <c r="O478" s="704"/>
      <c r="P478" s="957"/>
      <c r="Q478" s="957"/>
      <c r="R478" s="957"/>
      <c r="S478" s="957"/>
      <c r="T478" s="957"/>
      <c r="U478" s="957"/>
      <c r="V478" s="957"/>
      <c r="W478" s="957"/>
      <c r="X478" s="957"/>
      <c r="Y478" s="957"/>
      <c r="Z478" s="957"/>
      <c r="AA478" s="957"/>
      <c r="AB478" s="957"/>
      <c r="AC478" s="957"/>
      <c r="AD478" s="957"/>
    </row>
    <row r="479" ht="15.75" customHeight="1">
      <c r="A479" s="518"/>
      <c r="B479" s="517"/>
      <c r="C479" s="518"/>
      <c r="D479" s="992"/>
      <c r="E479" s="989"/>
      <c r="F479" s="989"/>
      <c r="G479" s="993"/>
      <c r="H479" s="993"/>
      <c r="I479" s="986"/>
      <c r="J479" s="523"/>
      <c r="K479" s="994"/>
      <c r="L479" s="995"/>
      <c r="M479" s="704"/>
      <c r="N479" s="704"/>
      <c r="O479" s="704"/>
      <c r="P479" s="957"/>
      <c r="Q479" s="957"/>
      <c r="R479" s="957"/>
      <c r="S479" s="957"/>
      <c r="T479" s="957"/>
      <c r="U479" s="957"/>
      <c r="V479" s="957"/>
      <c r="W479" s="957"/>
      <c r="X479" s="957"/>
      <c r="Y479" s="957"/>
      <c r="Z479" s="957"/>
      <c r="AA479" s="957"/>
      <c r="AB479" s="957"/>
      <c r="AC479" s="957"/>
      <c r="AD479" s="957"/>
    </row>
    <row r="480" ht="15.75" customHeight="1">
      <c r="A480" s="518"/>
      <c r="B480" s="517"/>
      <c r="C480" s="518"/>
      <c r="D480" s="992"/>
      <c r="E480" s="989"/>
      <c r="F480" s="989"/>
      <c r="G480" s="993"/>
      <c r="H480" s="993"/>
      <c r="I480" s="986"/>
      <c r="J480" s="523"/>
      <c r="K480" s="994"/>
      <c r="L480" s="995"/>
      <c r="M480" s="704"/>
      <c r="N480" s="704"/>
      <c r="O480" s="704"/>
      <c r="P480" s="957"/>
      <c r="Q480" s="957"/>
      <c r="R480" s="957"/>
      <c r="S480" s="957"/>
      <c r="T480" s="957"/>
      <c r="U480" s="957"/>
      <c r="V480" s="957"/>
      <c r="W480" s="957"/>
      <c r="X480" s="957"/>
      <c r="Y480" s="957"/>
      <c r="Z480" s="957"/>
      <c r="AA480" s="957"/>
      <c r="AB480" s="957"/>
      <c r="AC480" s="957"/>
      <c r="AD480" s="957"/>
    </row>
    <row r="481" ht="15.75" customHeight="1">
      <c r="A481" s="518"/>
      <c r="B481" s="517"/>
      <c r="C481" s="518"/>
      <c r="D481" s="992"/>
      <c r="E481" s="989"/>
      <c r="F481" s="989"/>
      <c r="G481" s="993"/>
      <c r="H481" s="993"/>
      <c r="I481" s="986"/>
      <c r="J481" s="523"/>
      <c r="K481" s="994"/>
      <c r="L481" s="995"/>
      <c r="M481" s="704"/>
      <c r="N481" s="704"/>
      <c r="O481" s="704"/>
      <c r="P481" s="957"/>
      <c r="Q481" s="957"/>
      <c r="R481" s="957"/>
      <c r="S481" s="957"/>
      <c r="T481" s="957"/>
      <c r="U481" s="957"/>
      <c r="V481" s="957"/>
      <c r="W481" s="957"/>
      <c r="X481" s="957"/>
      <c r="Y481" s="957"/>
      <c r="Z481" s="957"/>
      <c r="AA481" s="957"/>
      <c r="AB481" s="957"/>
      <c r="AC481" s="957"/>
      <c r="AD481" s="957"/>
    </row>
    <row r="482" ht="15.75" customHeight="1">
      <c r="A482" s="518"/>
      <c r="B482" s="517"/>
      <c r="C482" s="518"/>
      <c r="D482" s="992"/>
      <c r="E482" s="989"/>
      <c r="F482" s="989"/>
      <c r="G482" s="993"/>
      <c r="H482" s="993"/>
      <c r="I482" s="986"/>
      <c r="J482" s="523"/>
      <c r="K482" s="994"/>
      <c r="L482" s="995"/>
      <c r="M482" s="704"/>
      <c r="N482" s="704"/>
      <c r="O482" s="704"/>
      <c r="P482" s="957"/>
      <c r="Q482" s="957"/>
      <c r="R482" s="957"/>
      <c r="S482" s="957"/>
      <c r="T482" s="957"/>
      <c r="U482" s="957"/>
      <c r="V482" s="957"/>
      <c r="W482" s="957"/>
      <c r="X482" s="957"/>
      <c r="Y482" s="957"/>
      <c r="Z482" s="957"/>
      <c r="AA482" s="957"/>
      <c r="AB482" s="957"/>
      <c r="AC482" s="957"/>
      <c r="AD482" s="957"/>
    </row>
    <row r="483" ht="15.75" customHeight="1">
      <c r="A483" s="518"/>
      <c r="B483" s="517"/>
      <c r="C483" s="518"/>
      <c r="D483" s="992"/>
      <c r="E483" s="989"/>
      <c r="F483" s="989"/>
      <c r="G483" s="993"/>
      <c r="H483" s="993"/>
      <c r="I483" s="986"/>
      <c r="J483" s="523"/>
      <c r="K483" s="994"/>
      <c r="L483" s="995"/>
      <c r="M483" s="704"/>
      <c r="N483" s="704"/>
      <c r="O483" s="704"/>
      <c r="P483" s="957"/>
      <c r="Q483" s="957"/>
      <c r="R483" s="957"/>
      <c r="S483" s="957"/>
      <c r="T483" s="957"/>
      <c r="U483" s="957"/>
      <c r="V483" s="957"/>
      <c r="W483" s="957"/>
      <c r="X483" s="957"/>
      <c r="Y483" s="957"/>
      <c r="Z483" s="957"/>
      <c r="AA483" s="957"/>
      <c r="AB483" s="957"/>
      <c r="AC483" s="957"/>
      <c r="AD483" s="957"/>
    </row>
    <row r="484" ht="15.75" customHeight="1">
      <c r="A484" s="518"/>
      <c r="B484" s="517"/>
      <c r="C484" s="518"/>
      <c r="D484" s="992"/>
      <c r="E484" s="989"/>
      <c r="F484" s="989"/>
      <c r="G484" s="993"/>
      <c r="H484" s="993"/>
      <c r="I484" s="986"/>
      <c r="J484" s="523"/>
      <c r="K484" s="994"/>
      <c r="L484" s="995"/>
      <c r="M484" s="704"/>
      <c r="N484" s="704"/>
      <c r="O484" s="704"/>
      <c r="P484" s="957"/>
      <c r="Q484" s="957"/>
      <c r="R484" s="957"/>
      <c r="S484" s="957"/>
      <c r="T484" s="957"/>
      <c r="U484" s="957"/>
      <c r="V484" s="957"/>
      <c r="W484" s="957"/>
      <c r="X484" s="957"/>
      <c r="Y484" s="957"/>
      <c r="Z484" s="957"/>
      <c r="AA484" s="957"/>
      <c r="AB484" s="957"/>
      <c r="AC484" s="957"/>
      <c r="AD484" s="957"/>
    </row>
    <row r="485" ht="15.75" customHeight="1">
      <c r="A485" s="518"/>
      <c r="B485" s="517"/>
      <c r="C485" s="518"/>
      <c r="D485" s="992"/>
      <c r="E485" s="989"/>
      <c r="F485" s="989"/>
      <c r="G485" s="993"/>
      <c r="H485" s="993"/>
      <c r="I485" s="986"/>
      <c r="J485" s="523"/>
      <c r="K485" s="994"/>
      <c r="L485" s="995"/>
      <c r="M485" s="704"/>
      <c r="N485" s="704"/>
      <c r="O485" s="704"/>
      <c r="P485" s="957"/>
      <c r="Q485" s="957"/>
      <c r="R485" s="957"/>
      <c r="S485" s="957"/>
      <c r="T485" s="957"/>
      <c r="U485" s="957"/>
      <c r="V485" s="957"/>
      <c r="W485" s="957"/>
      <c r="X485" s="957"/>
      <c r="Y485" s="957"/>
      <c r="Z485" s="957"/>
      <c r="AA485" s="957"/>
      <c r="AB485" s="957"/>
      <c r="AC485" s="957"/>
      <c r="AD485" s="957"/>
    </row>
    <row r="486" ht="15.75" customHeight="1">
      <c r="A486" s="518"/>
      <c r="B486" s="517"/>
      <c r="C486" s="518"/>
      <c r="D486" s="992"/>
      <c r="E486" s="989"/>
      <c r="F486" s="989"/>
      <c r="G486" s="993"/>
      <c r="H486" s="993"/>
      <c r="I486" s="986"/>
      <c r="J486" s="523"/>
      <c r="K486" s="994"/>
      <c r="L486" s="995"/>
      <c r="M486" s="704"/>
      <c r="N486" s="704"/>
      <c r="O486" s="704"/>
      <c r="P486" s="957"/>
      <c r="Q486" s="957"/>
      <c r="R486" s="957"/>
      <c r="S486" s="957"/>
      <c r="T486" s="957"/>
      <c r="U486" s="957"/>
      <c r="V486" s="957"/>
      <c r="W486" s="957"/>
      <c r="X486" s="957"/>
      <c r="Y486" s="957"/>
      <c r="Z486" s="957"/>
      <c r="AA486" s="957"/>
      <c r="AB486" s="957"/>
      <c r="AC486" s="957"/>
      <c r="AD486" s="957"/>
    </row>
    <row r="487" ht="15.75" customHeight="1">
      <c r="A487" s="518"/>
      <c r="B487" s="517"/>
      <c r="C487" s="518"/>
      <c r="D487" s="992"/>
      <c r="E487" s="989"/>
      <c r="F487" s="989"/>
      <c r="G487" s="993"/>
      <c r="H487" s="993"/>
      <c r="I487" s="986"/>
      <c r="J487" s="523"/>
      <c r="K487" s="994"/>
      <c r="L487" s="995"/>
      <c r="M487" s="704"/>
      <c r="N487" s="704"/>
      <c r="O487" s="704"/>
      <c r="P487" s="957"/>
      <c r="Q487" s="957"/>
      <c r="R487" s="957"/>
      <c r="S487" s="957"/>
      <c r="T487" s="957"/>
      <c r="U487" s="957"/>
      <c r="V487" s="957"/>
      <c r="W487" s="957"/>
      <c r="X487" s="957"/>
      <c r="Y487" s="957"/>
      <c r="Z487" s="957"/>
      <c r="AA487" s="957"/>
      <c r="AB487" s="957"/>
      <c r="AC487" s="957"/>
      <c r="AD487" s="957"/>
    </row>
    <row r="488" ht="15.75" customHeight="1">
      <c r="A488" s="518"/>
      <c r="B488" s="517"/>
      <c r="C488" s="518"/>
      <c r="D488" s="992"/>
      <c r="E488" s="989"/>
      <c r="F488" s="989"/>
      <c r="G488" s="993"/>
      <c r="H488" s="993"/>
      <c r="I488" s="986"/>
      <c r="J488" s="523"/>
      <c r="K488" s="994"/>
      <c r="L488" s="995"/>
      <c r="M488" s="704"/>
      <c r="N488" s="704"/>
      <c r="O488" s="704"/>
      <c r="P488" s="957"/>
      <c r="Q488" s="957"/>
      <c r="R488" s="957"/>
      <c r="S488" s="957"/>
      <c r="T488" s="957"/>
      <c r="U488" s="957"/>
      <c r="V488" s="957"/>
      <c r="W488" s="957"/>
      <c r="X488" s="957"/>
      <c r="Y488" s="957"/>
      <c r="Z488" s="957"/>
      <c r="AA488" s="957"/>
      <c r="AB488" s="957"/>
      <c r="AC488" s="957"/>
      <c r="AD488" s="957"/>
    </row>
    <row r="489" ht="15.75" customHeight="1">
      <c r="A489" s="518"/>
      <c r="B489" s="517"/>
      <c r="C489" s="518"/>
      <c r="D489" s="992"/>
      <c r="E489" s="989"/>
      <c r="F489" s="989"/>
      <c r="G489" s="993"/>
      <c r="H489" s="993"/>
      <c r="I489" s="986"/>
      <c r="J489" s="523"/>
      <c r="K489" s="994"/>
      <c r="L489" s="995"/>
      <c r="M489" s="704"/>
      <c r="N489" s="704"/>
      <c r="O489" s="704"/>
      <c r="P489" s="957"/>
      <c r="Q489" s="957"/>
      <c r="R489" s="957"/>
      <c r="S489" s="957"/>
      <c r="T489" s="957"/>
      <c r="U489" s="957"/>
      <c r="V489" s="957"/>
      <c r="W489" s="957"/>
      <c r="X489" s="957"/>
      <c r="Y489" s="957"/>
      <c r="Z489" s="957"/>
      <c r="AA489" s="957"/>
      <c r="AB489" s="957"/>
      <c r="AC489" s="957"/>
      <c r="AD489" s="957"/>
    </row>
    <row r="490" ht="15.75" customHeight="1">
      <c r="A490" s="518"/>
      <c r="B490" s="517"/>
      <c r="C490" s="518"/>
      <c r="D490" s="992"/>
      <c r="E490" s="989"/>
      <c r="F490" s="989"/>
      <c r="G490" s="993"/>
      <c r="H490" s="993"/>
      <c r="I490" s="986"/>
      <c r="J490" s="523"/>
      <c r="K490" s="994"/>
      <c r="L490" s="995"/>
      <c r="M490" s="704"/>
      <c r="N490" s="704"/>
      <c r="O490" s="704"/>
      <c r="P490" s="957"/>
      <c r="Q490" s="957"/>
      <c r="R490" s="957"/>
      <c r="S490" s="957"/>
      <c r="T490" s="957"/>
      <c r="U490" s="957"/>
      <c r="V490" s="957"/>
      <c r="W490" s="957"/>
      <c r="X490" s="957"/>
      <c r="Y490" s="957"/>
      <c r="Z490" s="957"/>
      <c r="AA490" s="957"/>
      <c r="AB490" s="957"/>
      <c r="AC490" s="957"/>
      <c r="AD490" s="957"/>
    </row>
    <row r="491" ht="15.75" customHeight="1">
      <c r="A491" s="518"/>
      <c r="B491" s="517"/>
      <c r="C491" s="518"/>
      <c r="D491" s="992"/>
      <c r="E491" s="989"/>
      <c r="F491" s="989"/>
      <c r="G491" s="993"/>
      <c r="H491" s="993"/>
      <c r="I491" s="986"/>
      <c r="J491" s="523"/>
      <c r="K491" s="994"/>
      <c r="L491" s="995"/>
      <c r="M491" s="704"/>
      <c r="N491" s="704"/>
      <c r="O491" s="704"/>
      <c r="P491" s="957"/>
      <c r="Q491" s="957"/>
      <c r="R491" s="957"/>
      <c r="S491" s="957"/>
      <c r="T491" s="957"/>
      <c r="U491" s="957"/>
      <c r="V491" s="957"/>
      <c r="W491" s="957"/>
      <c r="X491" s="957"/>
      <c r="Y491" s="957"/>
      <c r="Z491" s="957"/>
      <c r="AA491" s="957"/>
      <c r="AB491" s="957"/>
      <c r="AC491" s="957"/>
      <c r="AD491" s="957"/>
    </row>
    <row r="492" ht="15.75" customHeight="1">
      <c r="A492" s="518"/>
      <c r="B492" s="517"/>
      <c r="C492" s="518"/>
      <c r="D492" s="992"/>
      <c r="E492" s="989"/>
      <c r="F492" s="989"/>
      <c r="G492" s="993"/>
      <c r="H492" s="993"/>
      <c r="I492" s="986"/>
      <c r="J492" s="523"/>
      <c r="K492" s="994"/>
      <c r="L492" s="995"/>
      <c r="M492" s="704"/>
      <c r="N492" s="704"/>
      <c r="O492" s="704"/>
      <c r="P492" s="957"/>
      <c r="Q492" s="957"/>
      <c r="R492" s="957"/>
      <c r="S492" s="957"/>
      <c r="T492" s="957"/>
      <c r="U492" s="957"/>
      <c r="V492" s="957"/>
      <c r="W492" s="957"/>
      <c r="X492" s="957"/>
      <c r="Y492" s="957"/>
      <c r="Z492" s="957"/>
      <c r="AA492" s="957"/>
      <c r="AB492" s="957"/>
      <c r="AC492" s="957"/>
      <c r="AD492" s="957"/>
    </row>
    <row r="493" ht="15.75" customHeight="1">
      <c r="A493" s="518"/>
      <c r="B493" s="517"/>
      <c r="C493" s="518"/>
      <c r="D493" s="992"/>
      <c r="E493" s="989"/>
      <c r="F493" s="989"/>
      <c r="G493" s="993"/>
      <c r="H493" s="993"/>
      <c r="I493" s="986"/>
      <c r="J493" s="523"/>
      <c r="K493" s="994"/>
      <c r="L493" s="995"/>
      <c r="M493" s="704"/>
      <c r="N493" s="704"/>
      <c r="O493" s="704"/>
      <c r="P493" s="957"/>
      <c r="Q493" s="957"/>
      <c r="R493" s="957"/>
      <c r="S493" s="957"/>
      <c r="T493" s="957"/>
      <c r="U493" s="957"/>
      <c r="V493" s="957"/>
      <c r="W493" s="957"/>
      <c r="X493" s="957"/>
      <c r="Y493" s="957"/>
      <c r="Z493" s="957"/>
      <c r="AA493" s="957"/>
      <c r="AB493" s="957"/>
      <c r="AC493" s="957"/>
      <c r="AD493" s="957"/>
    </row>
    <row r="494" ht="15.75" customHeight="1">
      <c r="A494" s="518"/>
      <c r="B494" s="517"/>
      <c r="C494" s="518"/>
      <c r="D494" s="992"/>
      <c r="E494" s="989"/>
      <c r="F494" s="989"/>
      <c r="G494" s="993"/>
      <c r="H494" s="993"/>
      <c r="I494" s="986"/>
      <c r="J494" s="523"/>
      <c r="K494" s="994"/>
      <c r="L494" s="995"/>
      <c r="M494" s="704"/>
      <c r="N494" s="704"/>
      <c r="O494" s="704"/>
      <c r="P494" s="957"/>
      <c r="Q494" s="957"/>
      <c r="R494" s="957"/>
      <c r="S494" s="957"/>
      <c r="T494" s="957"/>
      <c r="U494" s="957"/>
      <c r="V494" s="957"/>
      <c r="W494" s="957"/>
      <c r="X494" s="957"/>
      <c r="Y494" s="957"/>
      <c r="Z494" s="957"/>
      <c r="AA494" s="957"/>
      <c r="AB494" s="957"/>
      <c r="AC494" s="957"/>
      <c r="AD494" s="957"/>
    </row>
    <row r="495" ht="15.75" customHeight="1">
      <c r="A495" s="518"/>
      <c r="B495" s="517"/>
      <c r="C495" s="518"/>
      <c r="D495" s="992"/>
      <c r="E495" s="989"/>
      <c r="F495" s="989"/>
      <c r="G495" s="993"/>
      <c r="H495" s="993"/>
      <c r="I495" s="986"/>
      <c r="J495" s="523"/>
      <c r="K495" s="994"/>
      <c r="L495" s="995"/>
      <c r="M495" s="704"/>
      <c r="N495" s="704"/>
      <c r="O495" s="704"/>
      <c r="P495" s="957"/>
      <c r="Q495" s="957"/>
      <c r="R495" s="957"/>
      <c r="S495" s="957"/>
      <c r="T495" s="957"/>
      <c r="U495" s="957"/>
      <c r="V495" s="957"/>
      <c r="W495" s="957"/>
      <c r="X495" s="957"/>
      <c r="Y495" s="957"/>
      <c r="Z495" s="957"/>
      <c r="AA495" s="957"/>
      <c r="AB495" s="957"/>
      <c r="AC495" s="957"/>
      <c r="AD495" s="957"/>
    </row>
    <row r="496" ht="15.75" customHeight="1">
      <c r="A496" s="518"/>
      <c r="B496" s="517"/>
      <c r="C496" s="518"/>
      <c r="D496" s="992"/>
      <c r="E496" s="989"/>
      <c r="F496" s="989"/>
      <c r="G496" s="993"/>
      <c r="H496" s="993"/>
      <c r="I496" s="986"/>
      <c r="J496" s="523"/>
      <c r="K496" s="994"/>
      <c r="L496" s="995"/>
      <c r="M496" s="704"/>
      <c r="N496" s="704"/>
      <c r="O496" s="704"/>
      <c r="P496" s="957"/>
      <c r="Q496" s="957"/>
      <c r="R496" s="957"/>
      <c r="S496" s="957"/>
      <c r="T496" s="957"/>
      <c r="U496" s="957"/>
      <c r="V496" s="957"/>
      <c r="W496" s="957"/>
      <c r="X496" s="957"/>
      <c r="Y496" s="957"/>
      <c r="Z496" s="957"/>
      <c r="AA496" s="957"/>
      <c r="AB496" s="957"/>
      <c r="AC496" s="957"/>
      <c r="AD496" s="957"/>
    </row>
    <row r="497" ht="15.75" customHeight="1">
      <c r="A497" s="518"/>
      <c r="B497" s="517"/>
      <c r="C497" s="518"/>
      <c r="D497" s="992"/>
      <c r="E497" s="989"/>
      <c r="F497" s="989"/>
      <c r="G497" s="993"/>
      <c r="H497" s="993"/>
      <c r="I497" s="986"/>
      <c r="J497" s="523"/>
      <c r="K497" s="994"/>
      <c r="L497" s="995"/>
      <c r="M497" s="704"/>
      <c r="N497" s="704"/>
      <c r="O497" s="704"/>
      <c r="P497" s="957"/>
      <c r="Q497" s="957"/>
      <c r="R497" s="957"/>
      <c r="S497" s="957"/>
      <c r="T497" s="957"/>
      <c r="U497" s="957"/>
      <c r="V497" s="957"/>
      <c r="W497" s="957"/>
      <c r="X497" s="957"/>
      <c r="Y497" s="957"/>
      <c r="Z497" s="957"/>
      <c r="AA497" s="957"/>
      <c r="AB497" s="957"/>
      <c r="AC497" s="957"/>
      <c r="AD497" s="957"/>
    </row>
    <row r="498" ht="15.75" customHeight="1">
      <c r="A498" s="518"/>
      <c r="B498" s="517"/>
      <c r="C498" s="518"/>
      <c r="D498" s="992"/>
      <c r="E498" s="989"/>
      <c r="F498" s="989"/>
      <c r="G498" s="993"/>
      <c r="H498" s="993"/>
      <c r="I498" s="986"/>
      <c r="J498" s="523"/>
      <c r="K498" s="994"/>
      <c r="L498" s="995"/>
      <c r="M498" s="704"/>
      <c r="N498" s="704"/>
      <c r="O498" s="704"/>
      <c r="P498" s="957"/>
      <c r="Q498" s="957"/>
      <c r="R498" s="957"/>
      <c r="S498" s="957"/>
      <c r="T498" s="957"/>
      <c r="U498" s="957"/>
      <c r="V498" s="957"/>
      <c r="W498" s="957"/>
      <c r="X498" s="957"/>
      <c r="Y498" s="957"/>
      <c r="Z498" s="957"/>
      <c r="AA498" s="957"/>
      <c r="AB498" s="957"/>
      <c r="AC498" s="957"/>
      <c r="AD498" s="957"/>
    </row>
    <row r="499" ht="15.75" customHeight="1">
      <c r="A499" s="518"/>
      <c r="B499" s="517"/>
      <c r="C499" s="518"/>
      <c r="D499" s="992"/>
      <c r="E499" s="989"/>
      <c r="F499" s="989"/>
      <c r="G499" s="993"/>
      <c r="H499" s="993"/>
      <c r="I499" s="986"/>
      <c r="J499" s="523"/>
      <c r="K499" s="994"/>
      <c r="L499" s="995"/>
      <c r="M499" s="704"/>
      <c r="N499" s="704"/>
      <c r="O499" s="704"/>
      <c r="P499" s="957"/>
      <c r="Q499" s="957"/>
      <c r="R499" s="957"/>
      <c r="S499" s="957"/>
      <c r="T499" s="957"/>
      <c r="U499" s="957"/>
      <c r="V499" s="957"/>
      <c r="W499" s="957"/>
      <c r="X499" s="957"/>
      <c r="Y499" s="957"/>
      <c r="Z499" s="957"/>
      <c r="AA499" s="957"/>
      <c r="AB499" s="957"/>
      <c r="AC499" s="957"/>
      <c r="AD499" s="957"/>
    </row>
    <row r="500" ht="15.75" customHeight="1">
      <c r="A500" s="518"/>
      <c r="B500" s="517"/>
      <c r="C500" s="518"/>
      <c r="D500" s="992"/>
      <c r="E500" s="989"/>
      <c r="F500" s="989"/>
      <c r="G500" s="993"/>
      <c r="H500" s="993"/>
      <c r="I500" s="986"/>
      <c r="J500" s="523"/>
      <c r="K500" s="994"/>
      <c r="L500" s="995"/>
      <c r="M500" s="704"/>
      <c r="N500" s="704"/>
      <c r="O500" s="704"/>
      <c r="P500" s="957"/>
      <c r="Q500" s="957"/>
      <c r="R500" s="957"/>
      <c r="S500" s="957"/>
      <c r="T500" s="957"/>
      <c r="U500" s="957"/>
      <c r="V500" s="957"/>
      <c r="W500" s="957"/>
      <c r="X500" s="957"/>
      <c r="Y500" s="957"/>
      <c r="Z500" s="957"/>
      <c r="AA500" s="957"/>
      <c r="AB500" s="957"/>
      <c r="AC500" s="957"/>
      <c r="AD500" s="957"/>
    </row>
    <row r="501" ht="15.75" customHeight="1">
      <c r="A501" s="518"/>
      <c r="B501" s="517"/>
      <c r="C501" s="518"/>
      <c r="D501" s="992"/>
      <c r="E501" s="989"/>
      <c r="F501" s="989"/>
      <c r="G501" s="993"/>
      <c r="H501" s="993"/>
      <c r="I501" s="986"/>
      <c r="J501" s="523"/>
      <c r="K501" s="994"/>
      <c r="L501" s="995"/>
      <c r="M501" s="704"/>
      <c r="N501" s="704"/>
      <c r="O501" s="704"/>
      <c r="P501" s="957"/>
      <c r="Q501" s="957"/>
      <c r="R501" s="957"/>
      <c r="S501" s="957"/>
      <c r="T501" s="957"/>
      <c r="U501" s="957"/>
      <c r="V501" s="957"/>
      <c r="W501" s="957"/>
      <c r="X501" s="957"/>
      <c r="Y501" s="957"/>
      <c r="Z501" s="957"/>
      <c r="AA501" s="957"/>
      <c r="AB501" s="957"/>
      <c r="AC501" s="957"/>
      <c r="AD501" s="957"/>
    </row>
    <row r="502" ht="15.75" customHeight="1">
      <c r="A502" s="518"/>
      <c r="B502" s="517"/>
      <c r="C502" s="518"/>
      <c r="D502" s="992"/>
      <c r="E502" s="989"/>
      <c r="F502" s="989"/>
      <c r="G502" s="993"/>
      <c r="H502" s="993"/>
      <c r="I502" s="986"/>
      <c r="J502" s="523"/>
      <c r="K502" s="994"/>
      <c r="L502" s="995"/>
      <c r="M502" s="704"/>
      <c r="N502" s="704"/>
      <c r="O502" s="704"/>
      <c r="P502" s="957"/>
      <c r="Q502" s="957"/>
      <c r="R502" s="957"/>
      <c r="S502" s="957"/>
      <c r="T502" s="957"/>
      <c r="U502" s="957"/>
      <c r="V502" s="957"/>
      <c r="W502" s="957"/>
      <c r="X502" s="957"/>
      <c r="Y502" s="957"/>
      <c r="Z502" s="957"/>
      <c r="AA502" s="957"/>
      <c r="AB502" s="957"/>
      <c r="AC502" s="957"/>
      <c r="AD502" s="957"/>
    </row>
    <row r="503" ht="15.75" customHeight="1">
      <c r="A503" s="518"/>
      <c r="B503" s="517"/>
      <c r="C503" s="518"/>
      <c r="D503" s="992"/>
      <c r="E503" s="989"/>
      <c r="F503" s="989"/>
      <c r="G503" s="993"/>
      <c r="H503" s="993"/>
      <c r="I503" s="986"/>
      <c r="J503" s="523"/>
      <c r="K503" s="994"/>
      <c r="L503" s="995"/>
      <c r="M503" s="704"/>
      <c r="N503" s="704"/>
      <c r="O503" s="704"/>
      <c r="P503" s="957"/>
      <c r="Q503" s="957"/>
      <c r="R503" s="957"/>
      <c r="S503" s="957"/>
      <c r="T503" s="957"/>
      <c r="U503" s="957"/>
      <c r="V503" s="957"/>
      <c r="W503" s="957"/>
      <c r="X503" s="957"/>
      <c r="Y503" s="957"/>
      <c r="Z503" s="957"/>
      <c r="AA503" s="957"/>
      <c r="AB503" s="957"/>
      <c r="AC503" s="957"/>
      <c r="AD503" s="957"/>
    </row>
    <row r="504" ht="15.75" customHeight="1">
      <c r="A504" s="518"/>
      <c r="B504" s="517"/>
      <c r="C504" s="518"/>
      <c r="D504" s="992"/>
      <c r="E504" s="989"/>
      <c r="F504" s="989"/>
      <c r="G504" s="993"/>
      <c r="H504" s="993"/>
      <c r="I504" s="986"/>
      <c r="J504" s="523"/>
      <c r="K504" s="994"/>
      <c r="L504" s="995"/>
      <c r="M504" s="704"/>
      <c r="N504" s="704"/>
      <c r="O504" s="704"/>
      <c r="P504" s="957"/>
      <c r="Q504" s="957"/>
      <c r="R504" s="957"/>
      <c r="S504" s="957"/>
      <c r="T504" s="957"/>
      <c r="U504" s="957"/>
      <c r="V504" s="957"/>
      <c r="W504" s="957"/>
      <c r="X504" s="957"/>
      <c r="Y504" s="957"/>
      <c r="Z504" s="957"/>
      <c r="AA504" s="957"/>
      <c r="AB504" s="957"/>
      <c r="AC504" s="957"/>
      <c r="AD504" s="957"/>
    </row>
    <row r="505" ht="15.75" customHeight="1">
      <c r="A505" s="518"/>
      <c r="B505" s="517"/>
      <c r="C505" s="518"/>
      <c r="D505" s="992"/>
      <c r="E505" s="989"/>
      <c r="F505" s="989"/>
      <c r="G505" s="993"/>
      <c r="H505" s="993"/>
      <c r="I505" s="986"/>
      <c r="J505" s="523"/>
      <c r="K505" s="994"/>
      <c r="L505" s="995"/>
      <c r="M505" s="704"/>
      <c r="N505" s="704"/>
      <c r="O505" s="704"/>
      <c r="P505" s="957"/>
      <c r="Q505" s="957"/>
      <c r="R505" s="957"/>
      <c r="S505" s="957"/>
      <c r="T505" s="957"/>
      <c r="U505" s="957"/>
      <c r="V505" s="957"/>
      <c r="W505" s="957"/>
      <c r="X505" s="957"/>
      <c r="Y505" s="957"/>
      <c r="Z505" s="957"/>
      <c r="AA505" s="957"/>
      <c r="AB505" s="957"/>
      <c r="AC505" s="957"/>
      <c r="AD505" s="957"/>
    </row>
    <row r="506" ht="15.75" customHeight="1">
      <c r="A506" s="518"/>
      <c r="B506" s="517"/>
      <c r="C506" s="518"/>
      <c r="D506" s="992"/>
      <c r="E506" s="989"/>
      <c r="F506" s="989"/>
      <c r="G506" s="993"/>
      <c r="H506" s="993"/>
      <c r="I506" s="986"/>
      <c r="J506" s="523"/>
      <c r="K506" s="994"/>
      <c r="L506" s="995"/>
      <c r="M506" s="704"/>
      <c r="N506" s="704"/>
      <c r="O506" s="704"/>
      <c r="P506" s="957"/>
      <c r="Q506" s="957"/>
      <c r="R506" s="957"/>
      <c r="S506" s="957"/>
      <c r="T506" s="957"/>
      <c r="U506" s="957"/>
      <c r="V506" s="957"/>
      <c r="W506" s="957"/>
      <c r="X506" s="957"/>
      <c r="Y506" s="957"/>
      <c r="Z506" s="957"/>
      <c r="AA506" s="957"/>
      <c r="AB506" s="957"/>
      <c r="AC506" s="957"/>
      <c r="AD506" s="957"/>
    </row>
    <row r="507" ht="15.75" customHeight="1">
      <c r="A507" s="518"/>
      <c r="B507" s="517"/>
      <c r="C507" s="518"/>
      <c r="D507" s="992"/>
      <c r="E507" s="989"/>
      <c r="F507" s="989"/>
      <c r="G507" s="993"/>
      <c r="H507" s="993"/>
      <c r="I507" s="986"/>
      <c r="J507" s="523"/>
      <c r="K507" s="994"/>
      <c r="L507" s="995"/>
      <c r="M507" s="704"/>
      <c r="N507" s="704"/>
      <c r="O507" s="704"/>
      <c r="P507" s="957"/>
      <c r="Q507" s="957"/>
      <c r="R507" s="957"/>
      <c r="S507" s="957"/>
      <c r="T507" s="957"/>
      <c r="U507" s="957"/>
      <c r="V507" s="957"/>
      <c r="W507" s="957"/>
      <c r="X507" s="957"/>
      <c r="Y507" s="957"/>
      <c r="Z507" s="957"/>
      <c r="AA507" s="957"/>
      <c r="AB507" s="957"/>
      <c r="AC507" s="957"/>
      <c r="AD507" s="957"/>
    </row>
    <row r="508" ht="15.75" customHeight="1">
      <c r="A508" s="518"/>
      <c r="B508" s="517"/>
      <c r="C508" s="518"/>
      <c r="D508" s="992"/>
      <c r="E508" s="989"/>
      <c r="F508" s="989"/>
      <c r="G508" s="993"/>
      <c r="H508" s="993"/>
      <c r="I508" s="986"/>
      <c r="J508" s="523"/>
      <c r="K508" s="994"/>
      <c r="L508" s="995"/>
      <c r="M508" s="704"/>
      <c r="N508" s="704"/>
      <c r="O508" s="704"/>
      <c r="P508" s="957"/>
      <c r="Q508" s="957"/>
      <c r="R508" s="957"/>
      <c r="S508" s="957"/>
      <c r="T508" s="957"/>
      <c r="U508" s="957"/>
      <c r="V508" s="957"/>
      <c r="W508" s="957"/>
      <c r="X508" s="957"/>
      <c r="Y508" s="957"/>
      <c r="Z508" s="957"/>
      <c r="AA508" s="957"/>
      <c r="AB508" s="957"/>
      <c r="AC508" s="957"/>
      <c r="AD508" s="957"/>
    </row>
    <row r="509" ht="15.75" customHeight="1">
      <c r="A509" s="518"/>
      <c r="B509" s="517"/>
      <c r="C509" s="518"/>
      <c r="D509" s="992"/>
      <c r="E509" s="989"/>
      <c r="F509" s="989"/>
      <c r="G509" s="993"/>
      <c r="H509" s="993"/>
      <c r="I509" s="986"/>
      <c r="J509" s="523"/>
      <c r="K509" s="994"/>
      <c r="L509" s="995"/>
      <c r="M509" s="704"/>
      <c r="N509" s="704"/>
      <c r="O509" s="704"/>
      <c r="P509" s="957"/>
      <c r="Q509" s="957"/>
      <c r="R509" s="957"/>
      <c r="S509" s="957"/>
      <c r="T509" s="957"/>
      <c r="U509" s="957"/>
      <c r="V509" s="957"/>
      <c r="W509" s="957"/>
      <c r="X509" s="957"/>
      <c r="Y509" s="957"/>
      <c r="Z509" s="957"/>
      <c r="AA509" s="957"/>
      <c r="AB509" s="957"/>
      <c r="AC509" s="957"/>
      <c r="AD509" s="957"/>
    </row>
    <row r="510" ht="15.75" customHeight="1">
      <c r="A510" s="518"/>
      <c r="B510" s="517"/>
      <c r="C510" s="518"/>
      <c r="D510" s="992"/>
      <c r="E510" s="989"/>
      <c r="F510" s="989"/>
      <c r="G510" s="993"/>
      <c r="H510" s="993"/>
      <c r="I510" s="986"/>
      <c r="J510" s="523"/>
      <c r="K510" s="994"/>
      <c r="L510" s="995"/>
      <c r="M510" s="704"/>
      <c r="N510" s="704"/>
      <c r="O510" s="704"/>
      <c r="P510" s="957"/>
      <c r="Q510" s="957"/>
      <c r="R510" s="957"/>
      <c r="S510" s="957"/>
      <c r="T510" s="957"/>
      <c r="U510" s="957"/>
      <c r="V510" s="957"/>
      <c r="W510" s="957"/>
      <c r="X510" s="957"/>
      <c r="Y510" s="957"/>
      <c r="Z510" s="957"/>
      <c r="AA510" s="957"/>
      <c r="AB510" s="957"/>
      <c r="AC510" s="957"/>
      <c r="AD510" s="957"/>
    </row>
    <row r="511" ht="15.75" customHeight="1">
      <c r="A511" s="518"/>
      <c r="B511" s="517"/>
      <c r="C511" s="518"/>
      <c r="D511" s="992"/>
      <c r="E511" s="989"/>
      <c r="F511" s="989"/>
      <c r="G511" s="993"/>
      <c r="H511" s="993"/>
      <c r="I511" s="986"/>
      <c r="J511" s="523"/>
      <c r="K511" s="994"/>
      <c r="L511" s="995"/>
      <c r="M511" s="704"/>
      <c r="N511" s="704"/>
      <c r="O511" s="704"/>
      <c r="P511" s="957"/>
      <c r="Q511" s="957"/>
      <c r="R511" s="957"/>
      <c r="S511" s="957"/>
      <c r="T511" s="957"/>
      <c r="U511" s="957"/>
      <c r="V511" s="957"/>
      <c r="W511" s="957"/>
      <c r="X511" s="957"/>
      <c r="Y511" s="957"/>
      <c r="Z511" s="957"/>
      <c r="AA511" s="957"/>
      <c r="AB511" s="957"/>
      <c r="AC511" s="957"/>
      <c r="AD511" s="957"/>
    </row>
    <row r="512" ht="15.75" customHeight="1">
      <c r="A512" s="518"/>
      <c r="B512" s="517"/>
      <c r="C512" s="518"/>
      <c r="D512" s="992"/>
      <c r="E512" s="989"/>
      <c r="F512" s="989"/>
      <c r="G512" s="993"/>
      <c r="H512" s="993"/>
      <c r="I512" s="986"/>
      <c r="J512" s="523"/>
      <c r="K512" s="994"/>
      <c r="L512" s="995"/>
      <c r="M512" s="704"/>
      <c r="N512" s="704"/>
      <c r="O512" s="704"/>
      <c r="P512" s="957"/>
      <c r="Q512" s="957"/>
      <c r="R512" s="957"/>
      <c r="S512" s="957"/>
      <c r="T512" s="957"/>
      <c r="U512" s="957"/>
      <c r="V512" s="957"/>
      <c r="W512" s="957"/>
      <c r="X512" s="957"/>
      <c r="Y512" s="957"/>
      <c r="Z512" s="957"/>
      <c r="AA512" s="957"/>
      <c r="AB512" s="957"/>
      <c r="AC512" s="957"/>
      <c r="AD512" s="957"/>
    </row>
    <row r="513" ht="15.75" customHeight="1">
      <c r="A513" s="518"/>
      <c r="B513" s="517"/>
      <c r="C513" s="518"/>
      <c r="D513" s="992"/>
      <c r="E513" s="989"/>
      <c r="F513" s="989"/>
      <c r="G513" s="993"/>
      <c r="H513" s="993"/>
      <c r="I513" s="986"/>
      <c r="J513" s="523"/>
      <c r="K513" s="994"/>
      <c r="L513" s="995"/>
      <c r="M513" s="704"/>
      <c r="N513" s="704"/>
      <c r="O513" s="704"/>
      <c r="P513" s="957"/>
      <c r="Q513" s="957"/>
      <c r="R513" s="957"/>
      <c r="S513" s="957"/>
      <c r="T513" s="957"/>
      <c r="U513" s="957"/>
      <c r="V513" s="957"/>
      <c r="W513" s="957"/>
      <c r="X513" s="957"/>
      <c r="Y513" s="957"/>
      <c r="Z513" s="957"/>
      <c r="AA513" s="957"/>
      <c r="AB513" s="957"/>
      <c r="AC513" s="957"/>
      <c r="AD513" s="957"/>
    </row>
    <row r="514" ht="15.75" customHeight="1">
      <c r="A514" s="518"/>
      <c r="B514" s="517"/>
      <c r="C514" s="518"/>
      <c r="D514" s="992"/>
      <c r="E514" s="989"/>
      <c r="F514" s="989"/>
      <c r="G514" s="993"/>
      <c r="H514" s="993"/>
      <c r="I514" s="986"/>
      <c r="J514" s="523"/>
      <c r="K514" s="994"/>
      <c r="L514" s="995"/>
      <c r="M514" s="704"/>
      <c r="N514" s="704"/>
      <c r="O514" s="704"/>
      <c r="P514" s="957"/>
      <c r="Q514" s="957"/>
      <c r="R514" s="957"/>
      <c r="S514" s="957"/>
      <c r="T514" s="957"/>
      <c r="U514" s="957"/>
      <c r="V514" s="957"/>
      <c r="W514" s="957"/>
      <c r="X514" s="957"/>
      <c r="Y514" s="957"/>
      <c r="Z514" s="957"/>
      <c r="AA514" s="957"/>
      <c r="AB514" s="957"/>
      <c r="AC514" s="957"/>
      <c r="AD514" s="957"/>
    </row>
    <row r="515" ht="15.75" customHeight="1">
      <c r="A515" s="518"/>
      <c r="B515" s="517"/>
      <c r="C515" s="518"/>
      <c r="D515" s="992"/>
      <c r="E515" s="989"/>
      <c r="F515" s="989"/>
      <c r="G515" s="993"/>
      <c r="H515" s="993"/>
      <c r="I515" s="986"/>
      <c r="J515" s="523"/>
      <c r="K515" s="994"/>
      <c r="L515" s="995"/>
      <c r="M515" s="704"/>
      <c r="N515" s="704"/>
      <c r="O515" s="704"/>
      <c r="P515" s="957"/>
      <c r="Q515" s="957"/>
      <c r="R515" s="957"/>
      <c r="S515" s="957"/>
      <c r="T515" s="957"/>
      <c r="U515" s="957"/>
      <c r="V515" s="957"/>
      <c r="W515" s="957"/>
      <c r="X515" s="957"/>
      <c r="Y515" s="957"/>
      <c r="Z515" s="957"/>
      <c r="AA515" s="957"/>
      <c r="AB515" s="957"/>
      <c r="AC515" s="957"/>
      <c r="AD515" s="957"/>
    </row>
    <row r="516" ht="15.75" customHeight="1">
      <c r="A516" s="518"/>
      <c r="B516" s="517"/>
      <c r="C516" s="518"/>
      <c r="D516" s="992"/>
      <c r="E516" s="989"/>
      <c r="F516" s="989"/>
      <c r="G516" s="993"/>
      <c r="H516" s="993"/>
      <c r="I516" s="986"/>
      <c r="J516" s="523"/>
      <c r="K516" s="994"/>
      <c r="L516" s="995"/>
      <c r="M516" s="704"/>
      <c r="N516" s="704"/>
      <c r="O516" s="704"/>
      <c r="P516" s="957"/>
      <c r="Q516" s="957"/>
      <c r="R516" s="957"/>
      <c r="S516" s="957"/>
      <c r="T516" s="957"/>
      <c r="U516" s="957"/>
      <c r="V516" s="957"/>
      <c r="W516" s="957"/>
      <c r="X516" s="957"/>
      <c r="Y516" s="957"/>
      <c r="Z516" s="957"/>
      <c r="AA516" s="957"/>
      <c r="AB516" s="957"/>
      <c r="AC516" s="957"/>
      <c r="AD516" s="957"/>
    </row>
    <row r="517" ht="15.75" customHeight="1">
      <c r="A517" s="518"/>
      <c r="B517" s="517"/>
      <c r="C517" s="518"/>
      <c r="D517" s="992"/>
      <c r="E517" s="989"/>
      <c r="F517" s="989"/>
      <c r="G517" s="993"/>
      <c r="H517" s="993"/>
      <c r="I517" s="986"/>
      <c r="J517" s="523"/>
      <c r="K517" s="994"/>
      <c r="L517" s="995"/>
      <c r="M517" s="704"/>
      <c r="N517" s="704"/>
      <c r="O517" s="704"/>
      <c r="P517" s="957"/>
      <c r="Q517" s="957"/>
      <c r="R517" s="957"/>
      <c r="S517" s="957"/>
      <c r="T517" s="957"/>
      <c r="U517" s="957"/>
      <c r="V517" s="957"/>
      <c r="W517" s="957"/>
      <c r="X517" s="957"/>
      <c r="Y517" s="957"/>
      <c r="Z517" s="957"/>
      <c r="AA517" s="957"/>
      <c r="AB517" s="957"/>
      <c r="AC517" s="957"/>
      <c r="AD517" s="957"/>
    </row>
    <row r="518" ht="15.75" customHeight="1">
      <c r="A518" s="518"/>
      <c r="B518" s="517"/>
      <c r="C518" s="518"/>
      <c r="D518" s="992"/>
      <c r="E518" s="989"/>
      <c r="F518" s="989"/>
      <c r="G518" s="993"/>
      <c r="H518" s="993"/>
      <c r="I518" s="986"/>
      <c r="J518" s="523"/>
      <c r="K518" s="994"/>
      <c r="L518" s="995"/>
      <c r="M518" s="704"/>
      <c r="N518" s="704"/>
      <c r="O518" s="704"/>
      <c r="P518" s="957"/>
      <c r="Q518" s="957"/>
      <c r="R518" s="957"/>
      <c r="S518" s="957"/>
      <c r="T518" s="957"/>
      <c r="U518" s="957"/>
      <c r="V518" s="957"/>
      <c r="W518" s="957"/>
      <c r="X518" s="957"/>
      <c r="Y518" s="957"/>
      <c r="Z518" s="957"/>
      <c r="AA518" s="957"/>
      <c r="AB518" s="957"/>
      <c r="AC518" s="957"/>
      <c r="AD518" s="957"/>
    </row>
    <row r="519" ht="15.75" customHeight="1">
      <c r="A519" s="518"/>
      <c r="B519" s="517"/>
      <c r="C519" s="518"/>
      <c r="D519" s="992"/>
      <c r="E519" s="989"/>
      <c r="F519" s="989"/>
      <c r="G519" s="993"/>
      <c r="H519" s="993"/>
      <c r="I519" s="986"/>
      <c r="J519" s="523"/>
      <c r="K519" s="994"/>
      <c r="L519" s="995"/>
      <c r="M519" s="704"/>
      <c r="N519" s="704"/>
      <c r="O519" s="704"/>
      <c r="P519" s="957"/>
      <c r="Q519" s="957"/>
      <c r="R519" s="957"/>
      <c r="S519" s="957"/>
      <c r="T519" s="957"/>
      <c r="U519" s="957"/>
      <c r="V519" s="957"/>
      <c r="W519" s="957"/>
      <c r="X519" s="957"/>
      <c r="Y519" s="957"/>
      <c r="Z519" s="957"/>
      <c r="AA519" s="957"/>
      <c r="AB519" s="957"/>
      <c r="AC519" s="957"/>
      <c r="AD519" s="957"/>
    </row>
    <row r="520" ht="15.75" customHeight="1">
      <c r="A520" s="518"/>
      <c r="B520" s="517"/>
      <c r="C520" s="518"/>
      <c r="D520" s="992"/>
      <c r="E520" s="989"/>
      <c r="F520" s="989"/>
      <c r="G520" s="993"/>
      <c r="H520" s="993"/>
      <c r="I520" s="986"/>
      <c r="J520" s="523"/>
      <c r="K520" s="994"/>
      <c r="L520" s="995"/>
      <c r="M520" s="704"/>
      <c r="N520" s="704"/>
      <c r="O520" s="704"/>
      <c r="P520" s="957"/>
      <c r="Q520" s="957"/>
      <c r="R520" s="957"/>
      <c r="S520" s="957"/>
      <c r="T520" s="957"/>
      <c r="U520" s="957"/>
      <c r="V520" s="957"/>
      <c r="W520" s="957"/>
      <c r="X520" s="957"/>
      <c r="Y520" s="957"/>
      <c r="Z520" s="957"/>
      <c r="AA520" s="957"/>
      <c r="AB520" s="957"/>
      <c r="AC520" s="957"/>
      <c r="AD520" s="957"/>
    </row>
    <row r="521" ht="15.75" customHeight="1">
      <c r="A521" s="518"/>
      <c r="B521" s="517"/>
      <c r="C521" s="518"/>
      <c r="D521" s="992"/>
      <c r="E521" s="989"/>
      <c r="F521" s="989"/>
      <c r="G521" s="993"/>
      <c r="H521" s="993"/>
      <c r="I521" s="986"/>
      <c r="J521" s="523"/>
      <c r="K521" s="994"/>
      <c r="L521" s="995"/>
      <c r="M521" s="704"/>
      <c r="N521" s="704"/>
      <c r="O521" s="704"/>
      <c r="P521" s="957"/>
      <c r="Q521" s="957"/>
      <c r="R521" s="957"/>
      <c r="S521" s="957"/>
      <c r="T521" s="957"/>
      <c r="U521" s="957"/>
      <c r="V521" s="957"/>
      <c r="W521" s="957"/>
      <c r="X521" s="957"/>
      <c r="Y521" s="957"/>
      <c r="Z521" s="957"/>
      <c r="AA521" s="957"/>
      <c r="AB521" s="957"/>
      <c r="AC521" s="957"/>
      <c r="AD521" s="957"/>
    </row>
    <row r="522" ht="15.75" customHeight="1">
      <c r="A522" s="518"/>
      <c r="B522" s="517"/>
      <c r="C522" s="518"/>
      <c r="D522" s="992"/>
      <c r="E522" s="989"/>
      <c r="F522" s="989"/>
      <c r="G522" s="993"/>
      <c r="H522" s="993"/>
      <c r="I522" s="986"/>
      <c r="J522" s="523"/>
      <c r="K522" s="994"/>
      <c r="L522" s="995"/>
      <c r="M522" s="704"/>
      <c r="N522" s="704"/>
      <c r="O522" s="704"/>
      <c r="P522" s="957"/>
      <c r="Q522" s="957"/>
      <c r="R522" s="957"/>
      <c r="S522" s="957"/>
      <c r="T522" s="957"/>
      <c r="U522" s="957"/>
      <c r="V522" s="957"/>
      <c r="W522" s="957"/>
      <c r="X522" s="957"/>
      <c r="Y522" s="957"/>
      <c r="Z522" s="957"/>
      <c r="AA522" s="957"/>
      <c r="AB522" s="957"/>
      <c r="AC522" s="957"/>
      <c r="AD522" s="957"/>
    </row>
    <row r="523" ht="15.75" customHeight="1">
      <c r="A523" s="518"/>
      <c r="B523" s="517"/>
      <c r="C523" s="518"/>
      <c r="D523" s="992"/>
      <c r="E523" s="989"/>
      <c r="F523" s="989"/>
      <c r="G523" s="993"/>
      <c r="H523" s="993"/>
      <c r="I523" s="986"/>
      <c r="J523" s="523"/>
      <c r="K523" s="994"/>
      <c r="L523" s="995"/>
      <c r="M523" s="704"/>
      <c r="N523" s="704"/>
      <c r="O523" s="704"/>
      <c r="P523" s="957"/>
      <c r="Q523" s="957"/>
      <c r="R523" s="957"/>
      <c r="S523" s="957"/>
      <c r="T523" s="957"/>
      <c r="U523" s="957"/>
      <c r="V523" s="957"/>
      <c r="W523" s="957"/>
      <c r="X523" s="957"/>
      <c r="Y523" s="957"/>
      <c r="Z523" s="957"/>
      <c r="AA523" s="957"/>
      <c r="AB523" s="957"/>
      <c r="AC523" s="957"/>
      <c r="AD523" s="957"/>
    </row>
    <row r="524" ht="15.75" customHeight="1">
      <c r="A524" s="518"/>
      <c r="B524" s="517"/>
      <c r="C524" s="518"/>
      <c r="D524" s="992"/>
      <c r="E524" s="989"/>
      <c r="F524" s="989"/>
      <c r="G524" s="993"/>
      <c r="H524" s="993"/>
      <c r="I524" s="986"/>
      <c r="J524" s="523"/>
      <c r="K524" s="994"/>
      <c r="L524" s="995"/>
      <c r="M524" s="704"/>
      <c r="N524" s="704"/>
      <c r="O524" s="704"/>
      <c r="P524" s="957"/>
      <c r="Q524" s="957"/>
      <c r="R524" s="957"/>
      <c r="S524" s="957"/>
      <c r="T524" s="957"/>
      <c r="U524" s="957"/>
      <c r="V524" s="957"/>
      <c r="W524" s="957"/>
      <c r="X524" s="957"/>
      <c r="Y524" s="957"/>
      <c r="Z524" s="957"/>
      <c r="AA524" s="957"/>
      <c r="AB524" s="957"/>
      <c r="AC524" s="957"/>
      <c r="AD524" s="957"/>
    </row>
    <row r="525" ht="15.75" customHeight="1">
      <c r="A525" s="518"/>
      <c r="B525" s="517"/>
      <c r="C525" s="518"/>
      <c r="D525" s="992"/>
      <c r="E525" s="989"/>
      <c r="F525" s="989"/>
      <c r="G525" s="993"/>
      <c r="H525" s="993"/>
      <c r="I525" s="986"/>
      <c r="J525" s="523"/>
      <c r="K525" s="994"/>
      <c r="L525" s="995"/>
      <c r="M525" s="704"/>
      <c r="N525" s="704"/>
      <c r="O525" s="704"/>
      <c r="P525" s="957"/>
      <c r="Q525" s="957"/>
      <c r="R525" s="957"/>
      <c r="S525" s="957"/>
      <c r="T525" s="957"/>
      <c r="U525" s="957"/>
      <c r="V525" s="957"/>
      <c r="W525" s="957"/>
      <c r="X525" s="957"/>
      <c r="Y525" s="957"/>
      <c r="Z525" s="957"/>
      <c r="AA525" s="957"/>
      <c r="AB525" s="957"/>
      <c r="AC525" s="957"/>
      <c r="AD525" s="957"/>
    </row>
    <row r="526" ht="15.75" customHeight="1">
      <c r="A526" s="518"/>
      <c r="B526" s="517"/>
      <c r="C526" s="518"/>
      <c r="D526" s="992"/>
      <c r="E526" s="989"/>
      <c r="F526" s="989"/>
      <c r="G526" s="993"/>
      <c r="H526" s="993"/>
      <c r="I526" s="986"/>
      <c r="J526" s="523"/>
      <c r="K526" s="994"/>
      <c r="L526" s="995"/>
      <c r="M526" s="704"/>
      <c r="N526" s="704"/>
      <c r="O526" s="704"/>
      <c r="P526" s="957"/>
      <c r="Q526" s="957"/>
      <c r="R526" s="957"/>
      <c r="S526" s="957"/>
      <c r="T526" s="957"/>
      <c r="U526" s="957"/>
      <c r="V526" s="957"/>
      <c r="W526" s="957"/>
      <c r="X526" s="957"/>
      <c r="Y526" s="957"/>
      <c r="Z526" s="957"/>
      <c r="AA526" s="957"/>
      <c r="AB526" s="957"/>
      <c r="AC526" s="957"/>
      <c r="AD526" s="957"/>
    </row>
    <row r="527" ht="15.75" customHeight="1">
      <c r="A527" s="518"/>
      <c r="B527" s="517"/>
      <c r="C527" s="518"/>
      <c r="D527" s="992"/>
      <c r="E527" s="989"/>
      <c r="F527" s="989"/>
      <c r="G527" s="993"/>
      <c r="H527" s="993"/>
      <c r="I527" s="986"/>
      <c r="J527" s="523"/>
      <c r="K527" s="994"/>
      <c r="L527" s="995"/>
      <c r="M527" s="704"/>
      <c r="N527" s="704"/>
      <c r="O527" s="704"/>
      <c r="P527" s="957"/>
      <c r="Q527" s="957"/>
      <c r="R527" s="957"/>
      <c r="S527" s="957"/>
      <c r="T527" s="957"/>
      <c r="U527" s="957"/>
      <c r="V527" s="957"/>
      <c r="W527" s="957"/>
      <c r="X527" s="957"/>
      <c r="Y527" s="957"/>
      <c r="Z527" s="957"/>
      <c r="AA527" s="957"/>
      <c r="AB527" s="957"/>
      <c r="AC527" s="957"/>
      <c r="AD527" s="957"/>
    </row>
    <row r="528" ht="15.75" customHeight="1">
      <c r="A528" s="518"/>
      <c r="B528" s="517"/>
      <c r="C528" s="518"/>
      <c r="D528" s="992"/>
      <c r="E528" s="989"/>
      <c r="F528" s="989"/>
      <c r="G528" s="993"/>
      <c r="H528" s="993"/>
      <c r="I528" s="986"/>
      <c r="J528" s="523"/>
      <c r="K528" s="994"/>
      <c r="L528" s="995"/>
      <c r="M528" s="704"/>
      <c r="N528" s="704"/>
      <c r="O528" s="704"/>
      <c r="P528" s="957"/>
      <c r="Q528" s="957"/>
      <c r="R528" s="957"/>
      <c r="S528" s="957"/>
      <c r="T528" s="957"/>
      <c r="U528" s="957"/>
      <c r="V528" s="957"/>
      <c r="W528" s="957"/>
      <c r="X528" s="957"/>
      <c r="Y528" s="957"/>
      <c r="Z528" s="957"/>
      <c r="AA528" s="957"/>
      <c r="AB528" s="957"/>
      <c r="AC528" s="957"/>
      <c r="AD528" s="957"/>
    </row>
    <row r="529" ht="15.75" customHeight="1">
      <c r="A529" s="518"/>
      <c r="B529" s="517"/>
      <c r="C529" s="518"/>
      <c r="D529" s="992"/>
      <c r="E529" s="989"/>
      <c r="F529" s="989"/>
      <c r="G529" s="993"/>
      <c r="H529" s="993"/>
      <c r="I529" s="986"/>
      <c r="J529" s="523"/>
      <c r="K529" s="994"/>
      <c r="L529" s="995"/>
      <c r="M529" s="704"/>
      <c r="N529" s="704"/>
      <c r="O529" s="704"/>
      <c r="P529" s="957"/>
      <c r="Q529" s="957"/>
      <c r="R529" s="957"/>
      <c r="S529" s="957"/>
      <c r="T529" s="957"/>
      <c r="U529" s="957"/>
      <c r="V529" s="957"/>
      <c r="W529" s="957"/>
      <c r="X529" s="957"/>
      <c r="Y529" s="957"/>
      <c r="Z529" s="957"/>
      <c r="AA529" s="957"/>
      <c r="AB529" s="957"/>
      <c r="AC529" s="957"/>
      <c r="AD529" s="957"/>
    </row>
    <row r="530" ht="15.75" customHeight="1">
      <c r="A530" s="518"/>
      <c r="B530" s="517"/>
      <c r="C530" s="518"/>
      <c r="D530" s="992"/>
      <c r="E530" s="989"/>
      <c r="F530" s="989"/>
      <c r="G530" s="993"/>
      <c r="H530" s="993"/>
      <c r="I530" s="986"/>
      <c r="J530" s="523"/>
      <c r="K530" s="994"/>
      <c r="L530" s="995"/>
      <c r="M530" s="704"/>
      <c r="N530" s="704"/>
      <c r="O530" s="704"/>
      <c r="P530" s="957"/>
      <c r="Q530" s="957"/>
      <c r="R530" s="957"/>
      <c r="S530" s="957"/>
      <c r="T530" s="957"/>
      <c r="U530" s="957"/>
      <c r="V530" s="957"/>
      <c r="W530" s="957"/>
      <c r="X530" s="957"/>
      <c r="Y530" s="957"/>
      <c r="Z530" s="957"/>
      <c r="AA530" s="957"/>
      <c r="AB530" s="957"/>
      <c r="AC530" s="957"/>
      <c r="AD530" s="957"/>
    </row>
    <row r="531" ht="15.75" customHeight="1">
      <c r="A531" s="518"/>
      <c r="B531" s="517"/>
      <c r="C531" s="518"/>
      <c r="D531" s="992"/>
      <c r="E531" s="989"/>
      <c r="F531" s="989"/>
      <c r="G531" s="993"/>
      <c r="H531" s="993"/>
      <c r="I531" s="986"/>
      <c r="J531" s="523"/>
      <c r="K531" s="994"/>
      <c r="L531" s="995"/>
      <c r="M531" s="704"/>
      <c r="N531" s="704"/>
      <c r="O531" s="704"/>
      <c r="P531" s="957"/>
      <c r="Q531" s="957"/>
      <c r="R531" s="957"/>
      <c r="S531" s="957"/>
      <c r="T531" s="957"/>
      <c r="U531" s="957"/>
      <c r="V531" s="957"/>
      <c r="W531" s="957"/>
      <c r="X531" s="957"/>
      <c r="Y531" s="957"/>
      <c r="Z531" s="957"/>
      <c r="AA531" s="957"/>
      <c r="AB531" s="957"/>
      <c r="AC531" s="957"/>
      <c r="AD531" s="957"/>
    </row>
    <row r="532" ht="15.75" customHeight="1">
      <c r="A532" s="518"/>
      <c r="B532" s="517"/>
      <c r="C532" s="518"/>
      <c r="D532" s="992"/>
      <c r="E532" s="989"/>
      <c r="F532" s="989"/>
      <c r="G532" s="993"/>
      <c r="H532" s="993"/>
      <c r="I532" s="986"/>
      <c r="J532" s="523"/>
      <c r="K532" s="994"/>
      <c r="L532" s="995"/>
      <c r="M532" s="704"/>
      <c r="N532" s="704"/>
      <c r="O532" s="704"/>
      <c r="P532" s="957"/>
      <c r="Q532" s="957"/>
      <c r="R532" s="957"/>
      <c r="S532" s="957"/>
      <c r="T532" s="957"/>
      <c r="U532" s="957"/>
      <c r="V532" s="957"/>
      <c r="W532" s="957"/>
      <c r="X532" s="957"/>
      <c r="Y532" s="957"/>
      <c r="Z532" s="957"/>
      <c r="AA532" s="957"/>
      <c r="AB532" s="957"/>
      <c r="AC532" s="957"/>
      <c r="AD532" s="957"/>
    </row>
    <row r="533" ht="15.75" customHeight="1">
      <c r="A533" s="518"/>
      <c r="B533" s="517"/>
      <c r="C533" s="518"/>
      <c r="D533" s="992"/>
      <c r="E533" s="989"/>
      <c r="F533" s="989"/>
      <c r="G533" s="993"/>
      <c r="H533" s="993"/>
      <c r="I533" s="986"/>
      <c r="J533" s="523"/>
      <c r="K533" s="994"/>
      <c r="L533" s="995"/>
      <c r="M533" s="704"/>
      <c r="N533" s="704"/>
      <c r="O533" s="704"/>
      <c r="P533" s="957"/>
      <c r="Q533" s="957"/>
      <c r="R533" s="957"/>
      <c r="S533" s="957"/>
      <c r="T533" s="957"/>
      <c r="U533" s="957"/>
      <c r="V533" s="957"/>
      <c r="W533" s="957"/>
      <c r="X533" s="957"/>
      <c r="Y533" s="957"/>
      <c r="Z533" s="957"/>
      <c r="AA533" s="957"/>
      <c r="AB533" s="957"/>
      <c r="AC533" s="957"/>
      <c r="AD533" s="957"/>
    </row>
    <row r="534" ht="15.75" customHeight="1">
      <c r="A534" s="518"/>
      <c r="B534" s="517"/>
      <c r="C534" s="518"/>
      <c r="D534" s="992"/>
      <c r="E534" s="989"/>
      <c r="F534" s="989"/>
      <c r="G534" s="993"/>
      <c r="H534" s="993"/>
      <c r="I534" s="986"/>
      <c r="J534" s="523"/>
      <c r="K534" s="994"/>
      <c r="L534" s="995"/>
      <c r="M534" s="704"/>
      <c r="N534" s="704"/>
      <c r="O534" s="704"/>
      <c r="P534" s="957"/>
      <c r="Q534" s="957"/>
      <c r="R534" s="957"/>
      <c r="S534" s="957"/>
      <c r="T534" s="957"/>
      <c r="U534" s="957"/>
      <c r="V534" s="957"/>
      <c r="W534" s="957"/>
      <c r="X534" s="957"/>
      <c r="Y534" s="957"/>
      <c r="Z534" s="957"/>
      <c r="AA534" s="957"/>
      <c r="AB534" s="957"/>
      <c r="AC534" s="957"/>
      <c r="AD534" s="957"/>
    </row>
    <row r="535" ht="15.75" customHeight="1">
      <c r="A535" s="518"/>
      <c r="B535" s="517"/>
      <c r="C535" s="518"/>
      <c r="D535" s="992"/>
      <c r="E535" s="989"/>
      <c r="F535" s="989"/>
      <c r="G535" s="993"/>
      <c r="H535" s="993"/>
      <c r="I535" s="986"/>
      <c r="J535" s="523"/>
      <c r="K535" s="994"/>
      <c r="L535" s="995"/>
      <c r="M535" s="704"/>
      <c r="N535" s="704"/>
      <c r="O535" s="704"/>
      <c r="P535" s="957"/>
      <c r="Q535" s="957"/>
      <c r="R535" s="957"/>
      <c r="S535" s="957"/>
      <c r="T535" s="957"/>
      <c r="U535" s="957"/>
      <c r="V535" s="957"/>
      <c r="W535" s="957"/>
      <c r="X535" s="957"/>
      <c r="Y535" s="957"/>
      <c r="Z535" s="957"/>
      <c r="AA535" s="957"/>
      <c r="AB535" s="957"/>
      <c r="AC535" s="957"/>
      <c r="AD535" s="957"/>
    </row>
    <row r="536" ht="15.75" customHeight="1">
      <c r="A536" s="518"/>
      <c r="B536" s="517"/>
      <c r="C536" s="518"/>
      <c r="D536" s="992"/>
      <c r="E536" s="989"/>
      <c r="F536" s="989"/>
      <c r="G536" s="993"/>
      <c r="H536" s="993"/>
      <c r="I536" s="986"/>
      <c r="J536" s="523"/>
      <c r="K536" s="994"/>
      <c r="L536" s="995"/>
      <c r="M536" s="704"/>
      <c r="N536" s="704"/>
      <c r="O536" s="704"/>
      <c r="P536" s="957"/>
      <c r="Q536" s="957"/>
      <c r="R536" s="957"/>
      <c r="S536" s="957"/>
      <c r="T536" s="957"/>
      <c r="U536" s="957"/>
      <c r="V536" s="957"/>
      <c r="W536" s="957"/>
      <c r="X536" s="957"/>
      <c r="Y536" s="957"/>
      <c r="Z536" s="957"/>
      <c r="AA536" s="957"/>
      <c r="AB536" s="957"/>
      <c r="AC536" s="957"/>
      <c r="AD536" s="957"/>
    </row>
    <row r="537" ht="15.75" customHeight="1">
      <c r="A537" s="518"/>
      <c r="B537" s="517"/>
      <c r="C537" s="518"/>
      <c r="D537" s="992"/>
      <c r="E537" s="989"/>
      <c r="F537" s="989"/>
      <c r="G537" s="993"/>
      <c r="H537" s="993"/>
      <c r="I537" s="986"/>
      <c r="J537" s="523"/>
      <c r="K537" s="994"/>
      <c r="L537" s="995"/>
      <c r="M537" s="704"/>
      <c r="N537" s="704"/>
      <c r="O537" s="704"/>
      <c r="P537" s="957"/>
      <c r="Q537" s="957"/>
      <c r="R537" s="957"/>
      <c r="S537" s="957"/>
      <c r="T537" s="957"/>
      <c r="U537" s="957"/>
      <c r="V537" s="957"/>
      <c r="W537" s="957"/>
      <c r="X537" s="957"/>
      <c r="Y537" s="957"/>
      <c r="Z537" s="957"/>
      <c r="AA537" s="957"/>
      <c r="AB537" s="957"/>
      <c r="AC537" s="957"/>
      <c r="AD537" s="957"/>
    </row>
    <row r="538" ht="15.75" customHeight="1">
      <c r="A538" s="518"/>
      <c r="B538" s="517"/>
      <c r="C538" s="518"/>
      <c r="D538" s="992"/>
      <c r="E538" s="989"/>
      <c r="F538" s="989"/>
      <c r="G538" s="993"/>
      <c r="H538" s="993"/>
      <c r="I538" s="986"/>
      <c r="J538" s="523"/>
      <c r="K538" s="994"/>
      <c r="L538" s="995"/>
      <c r="M538" s="704"/>
      <c r="N538" s="704"/>
      <c r="O538" s="704"/>
      <c r="P538" s="957"/>
      <c r="Q538" s="957"/>
      <c r="R538" s="957"/>
      <c r="S538" s="957"/>
      <c r="T538" s="957"/>
      <c r="U538" s="957"/>
      <c r="V538" s="957"/>
      <c r="W538" s="957"/>
      <c r="X538" s="957"/>
      <c r="Y538" s="957"/>
      <c r="Z538" s="957"/>
      <c r="AA538" s="957"/>
      <c r="AB538" s="957"/>
      <c r="AC538" s="957"/>
      <c r="AD538" s="957"/>
    </row>
    <row r="539" ht="15.75" customHeight="1">
      <c r="A539" s="518"/>
      <c r="B539" s="517"/>
      <c r="C539" s="518"/>
      <c r="D539" s="992"/>
      <c r="E539" s="989"/>
      <c r="F539" s="989"/>
      <c r="G539" s="993"/>
      <c r="H539" s="993"/>
      <c r="I539" s="986"/>
      <c r="J539" s="523"/>
      <c r="K539" s="994"/>
      <c r="L539" s="995"/>
      <c r="M539" s="704"/>
      <c r="N539" s="704"/>
      <c r="O539" s="704"/>
      <c r="P539" s="957"/>
      <c r="Q539" s="957"/>
      <c r="R539" s="957"/>
      <c r="S539" s="957"/>
      <c r="T539" s="957"/>
      <c r="U539" s="957"/>
      <c r="V539" s="957"/>
      <c r="W539" s="957"/>
      <c r="X539" s="957"/>
      <c r="Y539" s="957"/>
      <c r="Z539" s="957"/>
      <c r="AA539" s="957"/>
      <c r="AB539" s="957"/>
      <c r="AC539" s="957"/>
      <c r="AD539" s="957"/>
    </row>
    <row r="540" ht="15.75" customHeight="1">
      <c r="A540" s="518"/>
      <c r="B540" s="517"/>
      <c r="C540" s="518"/>
      <c r="D540" s="992"/>
      <c r="E540" s="989"/>
      <c r="F540" s="989"/>
      <c r="G540" s="993"/>
      <c r="H540" s="993"/>
      <c r="I540" s="986"/>
      <c r="J540" s="523"/>
      <c r="K540" s="994"/>
      <c r="L540" s="995"/>
      <c r="M540" s="704"/>
      <c r="N540" s="704"/>
      <c r="O540" s="704"/>
      <c r="P540" s="957"/>
      <c r="Q540" s="957"/>
      <c r="R540" s="957"/>
      <c r="S540" s="957"/>
      <c r="T540" s="957"/>
      <c r="U540" s="957"/>
      <c r="V540" s="957"/>
      <c r="W540" s="957"/>
      <c r="X540" s="957"/>
      <c r="Y540" s="957"/>
      <c r="Z540" s="957"/>
      <c r="AA540" s="957"/>
      <c r="AB540" s="957"/>
      <c r="AC540" s="957"/>
      <c r="AD540" s="957"/>
    </row>
    <row r="541" ht="15.75" customHeight="1">
      <c r="A541" s="518"/>
      <c r="B541" s="517"/>
      <c r="C541" s="518"/>
      <c r="D541" s="992"/>
      <c r="E541" s="989"/>
      <c r="F541" s="989"/>
      <c r="G541" s="993"/>
      <c r="H541" s="993"/>
      <c r="I541" s="986"/>
      <c r="J541" s="523"/>
      <c r="K541" s="994"/>
      <c r="L541" s="995"/>
      <c r="M541" s="704"/>
      <c r="N541" s="704"/>
      <c r="O541" s="704"/>
      <c r="P541" s="957"/>
      <c r="Q541" s="957"/>
      <c r="R541" s="957"/>
      <c r="S541" s="957"/>
      <c r="T541" s="957"/>
      <c r="U541" s="957"/>
      <c r="V541" s="957"/>
      <c r="W541" s="957"/>
      <c r="X541" s="957"/>
      <c r="Y541" s="957"/>
      <c r="Z541" s="957"/>
      <c r="AA541" s="957"/>
      <c r="AB541" s="957"/>
      <c r="AC541" s="957"/>
      <c r="AD541" s="957"/>
    </row>
    <row r="542" ht="15.75" customHeight="1">
      <c r="A542" s="518"/>
      <c r="B542" s="517"/>
      <c r="C542" s="518"/>
      <c r="D542" s="992"/>
      <c r="E542" s="989"/>
      <c r="F542" s="989"/>
      <c r="G542" s="993"/>
      <c r="H542" s="993"/>
      <c r="I542" s="986"/>
      <c r="J542" s="523"/>
      <c r="K542" s="994"/>
      <c r="L542" s="995"/>
      <c r="M542" s="704"/>
      <c r="N542" s="704"/>
      <c r="O542" s="704"/>
      <c r="P542" s="957"/>
      <c r="Q542" s="957"/>
      <c r="R542" s="957"/>
      <c r="S542" s="957"/>
      <c r="T542" s="957"/>
      <c r="U542" s="957"/>
      <c r="V542" s="957"/>
      <c r="W542" s="957"/>
      <c r="X542" s="957"/>
      <c r="Y542" s="957"/>
      <c r="Z542" s="957"/>
      <c r="AA542" s="957"/>
      <c r="AB542" s="957"/>
      <c r="AC542" s="957"/>
      <c r="AD542" s="957"/>
    </row>
    <row r="543" ht="15.75" customHeight="1">
      <c r="A543" s="518"/>
      <c r="B543" s="517"/>
      <c r="C543" s="518"/>
      <c r="D543" s="992"/>
      <c r="E543" s="989"/>
      <c r="F543" s="989"/>
      <c r="G543" s="993"/>
      <c r="H543" s="993"/>
      <c r="I543" s="986"/>
      <c r="J543" s="523"/>
      <c r="K543" s="994"/>
      <c r="L543" s="995"/>
      <c r="M543" s="704"/>
      <c r="N543" s="704"/>
      <c r="O543" s="704"/>
      <c r="P543" s="957"/>
      <c r="Q543" s="957"/>
      <c r="R543" s="957"/>
      <c r="S543" s="957"/>
      <c r="T543" s="957"/>
      <c r="U543" s="957"/>
      <c r="V543" s="957"/>
      <c r="W543" s="957"/>
      <c r="X543" s="957"/>
      <c r="Y543" s="957"/>
      <c r="Z543" s="957"/>
      <c r="AA543" s="957"/>
      <c r="AB543" s="957"/>
      <c r="AC543" s="957"/>
      <c r="AD543" s="957"/>
    </row>
    <row r="544" ht="15.75" customHeight="1">
      <c r="A544" s="518"/>
      <c r="B544" s="517"/>
      <c r="C544" s="518"/>
      <c r="D544" s="992"/>
      <c r="E544" s="989"/>
      <c r="F544" s="989"/>
      <c r="G544" s="993"/>
      <c r="H544" s="993"/>
      <c r="I544" s="986"/>
      <c r="J544" s="523"/>
      <c r="K544" s="994"/>
      <c r="L544" s="995"/>
      <c r="M544" s="704"/>
      <c r="N544" s="704"/>
      <c r="O544" s="704"/>
      <c r="P544" s="957"/>
      <c r="Q544" s="957"/>
      <c r="R544" s="957"/>
      <c r="S544" s="957"/>
      <c r="T544" s="957"/>
      <c r="U544" s="957"/>
      <c r="V544" s="957"/>
      <c r="W544" s="957"/>
      <c r="X544" s="957"/>
      <c r="Y544" s="957"/>
      <c r="Z544" s="957"/>
      <c r="AA544" s="957"/>
      <c r="AB544" s="957"/>
      <c r="AC544" s="957"/>
      <c r="AD544" s="957"/>
    </row>
    <row r="545" ht="15.75" customHeight="1">
      <c r="A545" s="518"/>
      <c r="B545" s="517"/>
      <c r="C545" s="518"/>
      <c r="D545" s="992"/>
      <c r="E545" s="989"/>
      <c r="F545" s="989"/>
      <c r="G545" s="993"/>
      <c r="H545" s="993"/>
      <c r="I545" s="986"/>
      <c r="J545" s="523"/>
      <c r="K545" s="994"/>
      <c r="L545" s="995"/>
      <c r="M545" s="704"/>
      <c r="N545" s="704"/>
      <c r="O545" s="704"/>
      <c r="P545" s="957"/>
      <c r="Q545" s="957"/>
      <c r="R545" s="957"/>
      <c r="S545" s="957"/>
      <c r="T545" s="957"/>
      <c r="U545" s="957"/>
      <c r="V545" s="957"/>
      <c r="W545" s="957"/>
      <c r="X545" s="957"/>
      <c r="Y545" s="957"/>
      <c r="Z545" s="957"/>
      <c r="AA545" s="957"/>
      <c r="AB545" s="957"/>
      <c r="AC545" s="957"/>
      <c r="AD545" s="957"/>
    </row>
    <row r="546" ht="15.75" customHeight="1">
      <c r="A546" s="518"/>
      <c r="B546" s="517"/>
      <c r="C546" s="518"/>
      <c r="D546" s="992"/>
      <c r="E546" s="989"/>
      <c r="F546" s="989"/>
      <c r="G546" s="993"/>
      <c r="H546" s="993"/>
      <c r="I546" s="986"/>
      <c r="J546" s="523"/>
      <c r="K546" s="994"/>
      <c r="L546" s="995"/>
      <c r="M546" s="704"/>
      <c r="N546" s="704"/>
      <c r="O546" s="704"/>
      <c r="P546" s="957"/>
      <c r="Q546" s="957"/>
      <c r="R546" s="957"/>
      <c r="S546" s="957"/>
      <c r="T546" s="957"/>
      <c r="U546" s="957"/>
      <c r="V546" s="957"/>
      <c r="W546" s="957"/>
      <c r="X546" s="957"/>
      <c r="Y546" s="957"/>
      <c r="Z546" s="957"/>
      <c r="AA546" s="957"/>
      <c r="AB546" s="957"/>
      <c r="AC546" s="957"/>
      <c r="AD546" s="957"/>
    </row>
    <row r="547" ht="15.75" customHeight="1">
      <c r="A547" s="518"/>
      <c r="B547" s="517"/>
      <c r="C547" s="518"/>
      <c r="D547" s="992"/>
      <c r="E547" s="989"/>
      <c r="F547" s="989"/>
      <c r="G547" s="993"/>
      <c r="H547" s="993"/>
      <c r="I547" s="986"/>
      <c r="J547" s="523"/>
      <c r="K547" s="994"/>
      <c r="L547" s="995"/>
      <c r="M547" s="704"/>
      <c r="N547" s="704"/>
      <c r="O547" s="704"/>
      <c r="P547" s="957"/>
      <c r="Q547" s="957"/>
      <c r="R547" s="957"/>
      <c r="S547" s="957"/>
      <c r="T547" s="957"/>
      <c r="U547" s="957"/>
      <c r="V547" s="957"/>
      <c r="W547" s="957"/>
      <c r="X547" s="957"/>
      <c r="Y547" s="957"/>
      <c r="Z547" s="957"/>
      <c r="AA547" s="957"/>
      <c r="AB547" s="957"/>
      <c r="AC547" s="957"/>
      <c r="AD547" s="957"/>
    </row>
    <row r="548" ht="15.75" customHeight="1">
      <c r="A548" s="518"/>
      <c r="B548" s="517"/>
      <c r="C548" s="518"/>
      <c r="D548" s="992"/>
      <c r="E548" s="989"/>
      <c r="F548" s="989"/>
      <c r="G548" s="993"/>
      <c r="H548" s="993"/>
      <c r="I548" s="986"/>
      <c r="J548" s="523"/>
      <c r="K548" s="994"/>
      <c r="L548" s="995"/>
      <c r="M548" s="704"/>
      <c r="N548" s="704"/>
      <c r="O548" s="704"/>
      <c r="P548" s="957"/>
      <c r="Q548" s="957"/>
      <c r="R548" s="957"/>
      <c r="S548" s="957"/>
      <c r="T548" s="957"/>
      <c r="U548" s="957"/>
      <c r="V548" s="957"/>
      <c r="W548" s="957"/>
      <c r="X548" s="957"/>
      <c r="Y548" s="957"/>
      <c r="Z548" s="957"/>
      <c r="AA548" s="957"/>
      <c r="AB548" s="957"/>
      <c r="AC548" s="957"/>
      <c r="AD548" s="957"/>
    </row>
    <row r="549" ht="15.75" customHeight="1">
      <c r="A549" s="518"/>
      <c r="B549" s="517"/>
      <c r="C549" s="518"/>
      <c r="D549" s="992"/>
      <c r="E549" s="989"/>
      <c r="F549" s="989"/>
      <c r="G549" s="993"/>
      <c r="H549" s="993"/>
      <c r="I549" s="986"/>
      <c r="J549" s="523"/>
      <c r="K549" s="994"/>
      <c r="L549" s="995"/>
      <c r="M549" s="704"/>
      <c r="N549" s="704"/>
      <c r="O549" s="704"/>
      <c r="P549" s="957"/>
      <c r="Q549" s="957"/>
      <c r="R549" s="957"/>
      <c r="S549" s="957"/>
      <c r="T549" s="957"/>
      <c r="U549" s="957"/>
      <c r="V549" s="957"/>
      <c r="W549" s="957"/>
      <c r="X549" s="957"/>
      <c r="Y549" s="957"/>
      <c r="Z549" s="957"/>
      <c r="AA549" s="957"/>
      <c r="AB549" s="957"/>
      <c r="AC549" s="957"/>
      <c r="AD549" s="957"/>
    </row>
    <row r="550" ht="15.75" customHeight="1">
      <c r="A550" s="518"/>
      <c r="B550" s="517"/>
      <c r="C550" s="518"/>
      <c r="D550" s="992"/>
      <c r="E550" s="989"/>
      <c r="F550" s="989"/>
      <c r="G550" s="993"/>
      <c r="H550" s="993"/>
      <c r="I550" s="986"/>
      <c r="J550" s="523"/>
      <c r="K550" s="994"/>
      <c r="L550" s="995"/>
      <c r="M550" s="704"/>
      <c r="N550" s="704"/>
      <c r="O550" s="704"/>
      <c r="P550" s="957"/>
      <c r="Q550" s="957"/>
      <c r="R550" s="957"/>
      <c r="S550" s="957"/>
      <c r="T550" s="957"/>
      <c r="U550" s="957"/>
      <c r="V550" s="957"/>
      <c r="W550" s="957"/>
      <c r="X550" s="957"/>
      <c r="Y550" s="957"/>
      <c r="Z550" s="957"/>
      <c r="AA550" s="957"/>
      <c r="AB550" s="957"/>
      <c r="AC550" s="957"/>
      <c r="AD550" s="957"/>
    </row>
    <row r="551" ht="15.75" customHeight="1">
      <c r="A551" s="518"/>
      <c r="B551" s="517"/>
      <c r="C551" s="518"/>
      <c r="D551" s="992"/>
      <c r="E551" s="989"/>
      <c r="F551" s="989"/>
      <c r="G551" s="993"/>
      <c r="H551" s="993"/>
      <c r="I551" s="986"/>
      <c r="J551" s="523"/>
      <c r="K551" s="994"/>
      <c r="L551" s="995"/>
      <c r="M551" s="704"/>
      <c r="N551" s="704"/>
      <c r="O551" s="704"/>
      <c r="P551" s="957"/>
      <c r="Q551" s="957"/>
      <c r="R551" s="957"/>
      <c r="S551" s="957"/>
      <c r="T551" s="957"/>
      <c r="U551" s="957"/>
      <c r="V551" s="957"/>
      <c r="W551" s="957"/>
      <c r="X551" s="957"/>
      <c r="Y551" s="957"/>
      <c r="Z551" s="957"/>
      <c r="AA551" s="957"/>
      <c r="AB551" s="957"/>
      <c r="AC551" s="957"/>
      <c r="AD551" s="957"/>
    </row>
    <row r="552" ht="15.75" customHeight="1">
      <c r="A552" s="518"/>
      <c r="B552" s="517"/>
      <c r="C552" s="518"/>
      <c r="D552" s="992"/>
      <c r="E552" s="989"/>
      <c r="F552" s="989"/>
      <c r="G552" s="993"/>
      <c r="H552" s="993"/>
      <c r="I552" s="986"/>
      <c r="J552" s="523"/>
      <c r="K552" s="994"/>
      <c r="L552" s="995"/>
      <c r="M552" s="704"/>
      <c r="N552" s="704"/>
      <c r="O552" s="704"/>
      <c r="P552" s="957"/>
      <c r="Q552" s="957"/>
      <c r="R552" s="957"/>
      <c r="S552" s="957"/>
      <c r="T552" s="957"/>
      <c r="U552" s="957"/>
      <c r="V552" s="957"/>
      <c r="W552" s="957"/>
      <c r="X552" s="957"/>
      <c r="Y552" s="957"/>
      <c r="Z552" s="957"/>
      <c r="AA552" s="957"/>
      <c r="AB552" s="957"/>
      <c r="AC552" s="957"/>
      <c r="AD552" s="957"/>
    </row>
    <row r="553" ht="15.75" customHeight="1">
      <c r="A553" s="518"/>
      <c r="B553" s="517"/>
      <c r="C553" s="518"/>
      <c r="D553" s="992"/>
      <c r="E553" s="989"/>
      <c r="F553" s="989"/>
      <c r="G553" s="993"/>
      <c r="H553" s="993"/>
      <c r="I553" s="986"/>
      <c r="J553" s="523"/>
      <c r="K553" s="994"/>
      <c r="L553" s="995"/>
      <c r="M553" s="704"/>
      <c r="N553" s="704"/>
      <c r="O553" s="704"/>
      <c r="P553" s="957"/>
      <c r="Q553" s="957"/>
      <c r="R553" s="957"/>
      <c r="S553" s="957"/>
      <c r="T553" s="957"/>
      <c r="U553" s="957"/>
      <c r="V553" s="957"/>
      <c r="W553" s="957"/>
      <c r="X553" s="957"/>
      <c r="Y553" s="957"/>
      <c r="Z553" s="957"/>
      <c r="AA553" s="957"/>
      <c r="AB553" s="957"/>
      <c r="AC553" s="957"/>
      <c r="AD553" s="957"/>
    </row>
    <row r="554" ht="15.75" customHeight="1">
      <c r="A554" s="518"/>
      <c r="B554" s="517"/>
      <c r="C554" s="518"/>
      <c r="D554" s="992"/>
      <c r="E554" s="989"/>
      <c r="F554" s="989"/>
      <c r="G554" s="993"/>
      <c r="H554" s="993"/>
      <c r="I554" s="986"/>
      <c r="J554" s="523"/>
      <c r="K554" s="994"/>
      <c r="L554" s="995"/>
      <c r="M554" s="704"/>
      <c r="N554" s="704"/>
      <c r="O554" s="704"/>
      <c r="P554" s="957"/>
      <c r="Q554" s="957"/>
      <c r="R554" s="957"/>
      <c r="S554" s="957"/>
      <c r="T554" s="957"/>
      <c r="U554" s="957"/>
      <c r="V554" s="957"/>
      <c r="W554" s="957"/>
      <c r="X554" s="957"/>
      <c r="Y554" s="957"/>
      <c r="Z554" s="957"/>
      <c r="AA554" s="957"/>
      <c r="AB554" s="957"/>
      <c r="AC554" s="957"/>
      <c r="AD554" s="957"/>
    </row>
    <row r="555" ht="15.75" customHeight="1">
      <c r="A555" s="518"/>
      <c r="B555" s="517"/>
      <c r="C555" s="518"/>
      <c r="D555" s="992"/>
      <c r="E555" s="989"/>
      <c r="F555" s="989"/>
      <c r="G555" s="993"/>
      <c r="H555" s="993"/>
      <c r="I555" s="986"/>
      <c r="J555" s="523"/>
      <c r="K555" s="994"/>
      <c r="L555" s="995"/>
      <c r="M555" s="704"/>
      <c r="N555" s="704"/>
      <c r="O555" s="704"/>
      <c r="P555" s="957"/>
      <c r="Q555" s="957"/>
      <c r="R555" s="957"/>
      <c r="S555" s="957"/>
      <c r="T555" s="957"/>
      <c r="U555" s="957"/>
      <c r="V555" s="957"/>
      <c r="W555" s="957"/>
      <c r="X555" s="957"/>
      <c r="Y555" s="957"/>
      <c r="Z555" s="957"/>
      <c r="AA555" s="957"/>
      <c r="AB555" s="957"/>
      <c r="AC555" s="957"/>
      <c r="AD555" s="957"/>
    </row>
    <row r="556" ht="15.75" customHeight="1">
      <c r="A556" s="518"/>
      <c r="B556" s="517"/>
      <c r="C556" s="518"/>
      <c r="D556" s="992"/>
      <c r="E556" s="989"/>
      <c r="F556" s="989"/>
      <c r="G556" s="993"/>
      <c r="H556" s="993"/>
      <c r="I556" s="986"/>
      <c r="J556" s="523"/>
      <c r="K556" s="994"/>
      <c r="L556" s="995"/>
      <c r="M556" s="704"/>
      <c r="N556" s="704"/>
      <c r="O556" s="704"/>
      <c r="P556" s="957"/>
      <c r="Q556" s="957"/>
      <c r="R556" s="957"/>
      <c r="S556" s="957"/>
      <c r="T556" s="957"/>
      <c r="U556" s="957"/>
      <c r="V556" s="957"/>
      <c r="W556" s="957"/>
      <c r="X556" s="957"/>
      <c r="Y556" s="957"/>
      <c r="Z556" s="957"/>
      <c r="AA556" s="957"/>
      <c r="AB556" s="957"/>
      <c r="AC556" s="957"/>
      <c r="AD556" s="957"/>
    </row>
    <row r="557" ht="15.75" customHeight="1">
      <c r="A557" s="518"/>
      <c r="B557" s="517"/>
      <c r="C557" s="518"/>
      <c r="D557" s="992"/>
      <c r="E557" s="989"/>
      <c r="F557" s="989"/>
      <c r="G557" s="993"/>
      <c r="H557" s="993"/>
      <c r="I557" s="986"/>
      <c r="J557" s="523"/>
      <c r="K557" s="994"/>
      <c r="L557" s="995"/>
      <c r="M557" s="704"/>
      <c r="N557" s="704"/>
      <c r="O557" s="704"/>
      <c r="P557" s="957"/>
      <c r="Q557" s="957"/>
      <c r="R557" s="957"/>
      <c r="S557" s="957"/>
      <c r="T557" s="957"/>
      <c r="U557" s="957"/>
      <c r="V557" s="957"/>
      <c r="W557" s="957"/>
      <c r="X557" s="957"/>
      <c r="Y557" s="957"/>
      <c r="Z557" s="957"/>
      <c r="AA557" s="957"/>
      <c r="AB557" s="957"/>
      <c r="AC557" s="957"/>
      <c r="AD557" s="957"/>
    </row>
    <row r="558" ht="15.75" customHeight="1">
      <c r="A558" s="518"/>
      <c r="B558" s="517"/>
      <c r="C558" s="518"/>
      <c r="D558" s="992"/>
      <c r="E558" s="989"/>
      <c r="F558" s="989"/>
      <c r="G558" s="993"/>
      <c r="H558" s="993"/>
      <c r="I558" s="986"/>
      <c r="J558" s="523"/>
      <c r="K558" s="994"/>
      <c r="L558" s="995"/>
      <c r="M558" s="704"/>
      <c r="N558" s="704"/>
      <c r="O558" s="704"/>
      <c r="P558" s="957"/>
      <c r="Q558" s="957"/>
      <c r="R558" s="957"/>
      <c r="S558" s="957"/>
      <c r="T558" s="957"/>
      <c r="U558" s="957"/>
      <c r="V558" s="957"/>
      <c r="W558" s="957"/>
      <c r="X558" s="957"/>
      <c r="Y558" s="957"/>
      <c r="Z558" s="957"/>
      <c r="AA558" s="957"/>
      <c r="AB558" s="957"/>
      <c r="AC558" s="957"/>
      <c r="AD558" s="957"/>
    </row>
    <row r="559" ht="15.75" customHeight="1">
      <c r="A559" s="518"/>
      <c r="B559" s="517"/>
      <c r="C559" s="518"/>
      <c r="D559" s="992"/>
      <c r="E559" s="989"/>
      <c r="F559" s="989"/>
      <c r="G559" s="993"/>
      <c r="H559" s="993"/>
      <c r="I559" s="986"/>
      <c r="J559" s="523"/>
      <c r="K559" s="994"/>
      <c r="L559" s="995"/>
      <c r="M559" s="704"/>
      <c r="N559" s="704"/>
      <c r="O559" s="704"/>
      <c r="P559" s="957"/>
      <c r="Q559" s="957"/>
      <c r="R559" s="957"/>
      <c r="S559" s="957"/>
      <c r="T559" s="957"/>
      <c r="U559" s="957"/>
      <c r="V559" s="957"/>
      <c r="W559" s="957"/>
      <c r="X559" s="957"/>
      <c r="Y559" s="957"/>
      <c r="Z559" s="957"/>
      <c r="AA559" s="957"/>
      <c r="AB559" s="957"/>
      <c r="AC559" s="957"/>
      <c r="AD559" s="957"/>
    </row>
    <row r="560" ht="15.75" customHeight="1">
      <c r="A560" s="518"/>
      <c r="B560" s="517"/>
      <c r="C560" s="518"/>
      <c r="D560" s="992"/>
      <c r="E560" s="989"/>
      <c r="F560" s="989"/>
      <c r="G560" s="993"/>
      <c r="H560" s="993"/>
      <c r="I560" s="986"/>
      <c r="J560" s="523"/>
      <c r="K560" s="994"/>
      <c r="L560" s="995"/>
      <c r="M560" s="704"/>
      <c r="N560" s="704"/>
      <c r="O560" s="704"/>
      <c r="P560" s="957"/>
      <c r="Q560" s="957"/>
      <c r="R560" s="957"/>
      <c r="S560" s="957"/>
      <c r="T560" s="957"/>
      <c r="U560" s="957"/>
      <c r="V560" s="957"/>
      <c r="W560" s="957"/>
      <c r="X560" s="957"/>
      <c r="Y560" s="957"/>
      <c r="Z560" s="957"/>
      <c r="AA560" s="957"/>
      <c r="AB560" s="957"/>
      <c r="AC560" s="957"/>
      <c r="AD560" s="957"/>
    </row>
    <row r="561" ht="15.75" customHeight="1">
      <c r="A561" s="518"/>
      <c r="B561" s="517"/>
      <c r="C561" s="518"/>
      <c r="D561" s="992"/>
      <c r="E561" s="989"/>
      <c r="F561" s="989"/>
      <c r="G561" s="993"/>
      <c r="H561" s="993"/>
      <c r="I561" s="986"/>
      <c r="J561" s="523"/>
      <c r="K561" s="994"/>
      <c r="L561" s="995"/>
      <c r="M561" s="704"/>
      <c r="N561" s="704"/>
      <c r="O561" s="704"/>
      <c r="P561" s="957"/>
      <c r="Q561" s="957"/>
      <c r="R561" s="957"/>
      <c r="S561" s="957"/>
      <c r="T561" s="957"/>
      <c r="U561" s="957"/>
      <c r="V561" s="957"/>
      <c r="W561" s="957"/>
      <c r="X561" s="957"/>
      <c r="Y561" s="957"/>
      <c r="Z561" s="957"/>
      <c r="AA561" s="957"/>
      <c r="AB561" s="957"/>
      <c r="AC561" s="957"/>
      <c r="AD561" s="957"/>
    </row>
    <row r="562" ht="15.75" customHeight="1">
      <c r="A562" s="518"/>
      <c r="B562" s="517"/>
      <c r="C562" s="518"/>
      <c r="D562" s="992"/>
      <c r="E562" s="989"/>
      <c r="F562" s="989"/>
      <c r="G562" s="993"/>
      <c r="H562" s="993"/>
      <c r="I562" s="986"/>
      <c r="J562" s="523"/>
      <c r="K562" s="994"/>
      <c r="L562" s="995"/>
      <c r="M562" s="704"/>
      <c r="N562" s="704"/>
      <c r="O562" s="704"/>
      <c r="P562" s="957"/>
      <c r="Q562" s="957"/>
      <c r="R562" s="957"/>
      <c r="S562" s="957"/>
      <c r="T562" s="957"/>
      <c r="U562" s="957"/>
      <c r="V562" s="957"/>
      <c r="W562" s="957"/>
      <c r="X562" s="957"/>
      <c r="Y562" s="957"/>
      <c r="Z562" s="957"/>
      <c r="AA562" s="957"/>
      <c r="AB562" s="957"/>
      <c r="AC562" s="957"/>
      <c r="AD562" s="957"/>
    </row>
    <row r="563" ht="15.75" customHeight="1">
      <c r="A563" s="518"/>
      <c r="B563" s="517"/>
      <c r="C563" s="518"/>
      <c r="D563" s="992"/>
      <c r="E563" s="989"/>
      <c r="F563" s="989"/>
      <c r="G563" s="993"/>
      <c r="H563" s="993"/>
      <c r="I563" s="986"/>
      <c r="J563" s="523"/>
      <c r="K563" s="994"/>
      <c r="L563" s="995"/>
      <c r="M563" s="704"/>
      <c r="N563" s="704"/>
      <c r="O563" s="704"/>
      <c r="P563" s="957"/>
      <c r="Q563" s="957"/>
      <c r="R563" s="957"/>
      <c r="S563" s="957"/>
      <c r="T563" s="957"/>
      <c r="U563" s="957"/>
      <c r="V563" s="957"/>
      <c r="W563" s="957"/>
      <c r="X563" s="957"/>
      <c r="Y563" s="957"/>
      <c r="Z563" s="957"/>
      <c r="AA563" s="957"/>
      <c r="AB563" s="957"/>
      <c r="AC563" s="957"/>
      <c r="AD563" s="957"/>
    </row>
    <row r="564" ht="15.75" customHeight="1">
      <c r="A564" s="518"/>
      <c r="B564" s="517"/>
      <c r="C564" s="518"/>
      <c r="D564" s="992"/>
      <c r="E564" s="989"/>
      <c r="F564" s="989"/>
      <c r="G564" s="993"/>
      <c r="H564" s="993"/>
      <c r="I564" s="986"/>
      <c r="J564" s="523"/>
      <c r="K564" s="994"/>
      <c r="L564" s="995"/>
      <c r="M564" s="704"/>
      <c r="N564" s="704"/>
      <c r="O564" s="704"/>
      <c r="P564" s="957"/>
      <c r="Q564" s="957"/>
      <c r="R564" s="957"/>
      <c r="S564" s="957"/>
      <c r="T564" s="957"/>
      <c r="U564" s="957"/>
      <c r="V564" s="957"/>
      <c r="W564" s="957"/>
      <c r="X564" s="957"/>
      <c r="Y564" s="957"/>
      <c r="Z564" s="957"/>
      <c r="AA564" s="957"/>
      <c r="AB564" s="957"/>
      <c r="AC564" s="957"/>
      <c r="AD564" s="957"/>
    </row>
    <row r="565" ht="15.75" customHeight="1">
      <c r="A565" s="518"/>
      <c r="B565" s="517"/>
      <c r="C565" s="518"/>
      <c r="D565" s="992"/>
      <c r="E565" s="989"/>
      <c r="F565" s="989"/>
      <c r="G565" s="993"/>
      <c r="H565" s="993"/>
      <c r="I565" s="986"/>
      <c r="J565" s="523"/>
      <c r="K565" s="994"/>
      <c r="L565" s="995"/>
      <c r="M565" s="704"/>
      <c r="N565" s="704"/>
      <c r="O565" s="704"/>
      <c r="P565" s="957"/>
      <c r="Q565" s="957"/>
      <c r="R565" s="957"/>
      <c r="S565" s="957"/>
      <c r="T565" s="957"/>
      <c r="U565" s="957"/>
      <c r="V565" s="957"/>
      <c r="W565" s="957"/>
      <c r="X565" s="957"/>
      <c r="Y565" s="957"/>
      <c r="Z565" s="957"/>
      <c r="AA565" s="957"/>
      <c r="AB565" s="957"/>
      <c r="AC565" s="957"/>
      <c r="AD565" s="957"/>
    </row>
    <row r="566" ht="15.75" customHeight="1">
      <c r="A566" s="518"/>
      <c r="B566" s="517"/>
      <c r="C566" s="518"/>
      <c r="D566" s="992"/>
      <c r="E566" s="989"/>
      <c r="F566" s="989"/>
      <c r="G566" s="993"/>
      <c r="H566" s="993"/>
      <c r="I566" s="986"/>
      <c r="J566" s="523"/>
      <c r="K566" s="994"/>
      <c r="L566" s="995"/>
      <c r="M566" s="704"/>
      <c r="N566" s="704"/>
      <c r="O566" s="704"/>
      <c r="P566" s="957"/>
      <c r="Q566" s="957"/>
      <c r="R566" s="957"/>
      <c r="S566" s="957"/>
      <c r="T566" s="957"/>
      <c r="U566" s="957"/>
      <c r="V566" s="957"/>
      <c r="W566" s="957"/>
      <c r="X566" s="957"/>
      <c r="Y566" s="957"/>
      <c r="Z566" s="957"/>
      <c r="AA566" s="957"/>
      <c r="AB566" s="957"/>
      <c r="AC566" s="957"/>
      <c r="AD566" s="957"/>
    </row>
    <row r="567" ht="15.75" customHeight="1">
      <c r="A567" s="518"/>
      <c r="B567" s="517"/>
      <c r="C567" s="518"/>
      <c r="D567" s="992"/>
      <c r="E567" s="989"/>
      <c r="F567" s="989"/>
      <c r="G567" s="993"/>
      <c r="H567" s="993"/>
      <c r="I567" s="986"/>
      <c r="J567" s="523"/>
      <c r="K567" s="994"/>
      <c r="L567" s="995"/>
      <c r="M567" s="704"/>
      <c r="N567" s="704"/>
      <c r="O567" s="704"/>
      <c r="P567" s="957"/>
      <c r="Q567" s="957"/>
      <c r="R567" s="957"/>
      <c r="S567" s="957"/>
      <c r="T567" s="957"/>
      <c r="U567" s="957"/>
      <c r="V567" s="957"/>
      <c r="W567" s="957"/>
      <c r="X567" s="957"/>
      <c r="Y567" s="957"/>
      <c r="Z567" s="957"/>
      <c r="AA567" s="957"/>
      <c r="AB567" s="957"/>
      <c r="AC567" s="957"/>
      <c r="AD567" s="957"/>
    </row>
    <row r="568" ht="15.75" customHeight="1">
      <c r="A568" s="518"/>
      <c r="B568" s="517"/>
      <c r="C568" s="518"/>
      <c r="D568" s="992"/>
      <c r="E568" s="989"/>
      <c r="F568" s="989"/>
      <c r="G568" s="993"/>
      <c r="H568" s="993"/>
      <c r="I568" s="986"/>
      <c r="J568" s="523"/>
      <c r="K568" s="994"/>
      <c r="L568" s="995"/>
      <c r="M568" s="704"/>
      <c r="N568" s="704"/>
      <c r="O568" s="704"/>
      <c r="P568" s="957"/>
      <c r="Q568" s="957"/>
      <c r="R568" s="957"/>
      <c r="S568" s="957"/>
      <c r="T568" s="957"/>
      <c r="U568" s="957"/>
      <c r="V568" s="957"/>
      <c r="W568" s="957"/>
      <c r="X568" s="957"/>
      <c r="Y568" s="957"/>
      <c r="Z568" s="957"/>
      <c r="AA568" s="957"/>
      <c r="AB568" s="957"/>
      <c r="AC568" s="957"/>
      <c r="AD568" s="957"/>
    </row>
    <row r="569" ht="15.75" customHeight="1">
      <c r="A569" s="518"/>
      <c r="B569" s="517"/>
      <c r="C569" s="518"/>
      <c r="D569" s="992"/>
      <c r="E569" s="989"/>
      <c r="F569" s="989"/>
      <c r="G569" s="993"/>
      <c r="H569" s="993"/>
      <c r="I569" s="986"/>
      <c r="J569" s="523"/>
      <c r="K569" s="994"/>
      <c r="L569" s="995"/>
      <c r="M569" s="704"/>
      <c r="N569" s="704"/>
      <c r="O569" s="704"/>
      <c r="P569" s="957"/>
      <c r="Q569" s="957"/>
      <c r="R569" s="957"/>
      <c r="S569" s="957"/>
      <c r="T569" s="957"/>
      <c r="U569" s="957"/>
      <c r="V569" s="957"/>
      <c r="W569" s="957"/>
      <c r="X569" s="957"/>
      <c r="Y569" s="957"/>
      <c r="Z569" s="957"/>
      <c r="AA569" s="957"/>
      <c r="AB569" s="957"/>
      <c r="AC569" s="957"/>
      <c r="AD569" s="957"/>
    </row>
    <row r="570" ht="15.75" customHeight="1">
      <c r="A570" s="518"/>
      <c r="B570" s="517"/>
      <c r="C570" s="518"/>
      <c r="D570" s="992"/>
      <c r="E570" s="989"/>
      <c r="F570" s="989"/>
      <c r="G570" s="993"/>
      <c r="H570" s="993"/>
      <c r="I570" s="986"/>
      <c r="J570" s="523"/>
      <c r="K570" s="994"/>
      <c r="L570" s="995"/>
      <c r="M570" s="704"/>
      <c r="N570" s="704"/>
      <c r="O570" s="704"/>
      <c r="P570" s="957"/>
      <c r="Q570" s="957"/>
      <c r="R570" s="957"/>
      <c r="S570" s="957"/>
      <c r="T570" s="957"/>
      <c r="U570" s="957"/>
      <c r="V570" s="957"/>
      <c r="W570" s="957"/>
      <c r="X570" s="957"/>
      <c r="Y570" s="957"/>
      <c r="Z570" s="957"/>
      <c r="AA570" s="957"/>
      <c r="AB570" s="957"/>
      <c r="AC570" s="957"/>
      <c r="AD570" s="957"/>
    </row>
    <row r="571" ht="15.75" customHeight="1">
      <c r="A571" s="518"/>
      <c r="B571" s="517"/>
      <c r="C571" s="518"/>
      <c r="D571" s="992"/>
      <c r="E571" s="989"/>
      <c r="F571" s="989"/>
      <c r="G571" s="993"/>
      <c r="H571" s="993"/>
      <c r="I571" s="986"/>
      <c r="J571" s="523"/>
      <c r="K571" s="994"/>
      <c r="L571" s="995"/>
      <c r="M571" s="704"/>
      <c r="N571" s="704"/>
      <c r="O571" s="704"/>
      <c r="P571" s="957"/>
      <c r="Q571" s="957"/>
      <c r="R571" s="957"/>
      <c r="S571" s="957"/>
      <c r="T571" s="957"/>
      <c r="U571" s="957"/>
      <c r="V571" s="957"/>
      <c r="W571" s="957"/>
      <c r="X571" s="957"/>
      <c r="Y571" s="957"/>
      <c r="Z571" s="957"/>
      <c r="AA571" s="957"/>
      <c r="AB571" s="957"/>
      <c r="AC571" s="957"/>
      <c r="AD571" s="957"/>
    </row>
    <row r="572" ht="15.75" customHeight="1">
      <c r="A572" s="518"/>
      <c r="B572" s="517"/>
      <c r="C572" s="518"/>
      <c r="D572" s="992"/>
      <c r="E572" s="989"/>
      <c r="F572" s="989"/>
      <c r="G572" s="993"/>
      <c r="H572" s="993"/>
      <c r="I572" s="986"/>
      <c r="J572" s="523"/>
      <c r="K572" s="994"/>
      <c r="L572" s="995"/>
      <c r="M572" s="704"/>
      <c r="N572" s="704"/>
      <c r="O572" s="704"/>
      <c r="P572" s="957"/>
      <c r="Q572" s="957"/>
      <c r="R572" s="957"/>
      <c r="S572" s="957"/>
      <c r="T572" s="957"/>
      <c r="U572" s="957"/>
      <c r="V572" s="957"/>
      <c r="W572" s="957"/>
      <c r="X572" s="957"/>
      <c r="Y572" s="957"/>
      <c r="Z572" s="957"/>
      <c r="AA572" s="957"/>
      <c r="AB572" s="957"/>
      <c r="AC572" s="957"/>
      <c r="AD572" s="957"/>
    </row>
    <row r="573" ht="15.75" customHeight="1">
      <c r="A573" s="518"/>
      <c r="B573" s="517"/>
      <c r="C573" s="518"/>
      <c r="D573" s="992"/>
      <c r="E573" s="989"/>
      <c r="F573" s="989"/>
      <c r="G573" s="993"/>
      <c r="H573" s="993"/>
      <c r="I573" s="986"/>
      <c r="J573" s="523"/>
      <c r="K573" s="994"/>
      <c r="L573" s="995"/>
      <c r="M573" s="704"/>
      <c r="N573" s="704"/>
      <c r="O573" s="704"/>
      <c r="P573" s="957"/>
      <c r="Q573" s="957"/>
      <c r="R573" s="957"/>
      <c r="S573" s="957"/>
      <c r="T573" s="957"/>
      <c r="U573" s="957"/>
      <c r="V573" s="957"/>
      <c r="W573" s="957"/>
      <c r="X573" s="957"/>
      <c r="Y573" s="957"/>
      <c r="Z573" s="957"/>
      <c r="AA573" s="957"/>
      <c r="AB573" s="957"/>
      <c r="AC573" s="957"/>
      <c r="AD573" s="957"/>
    </row>
    <row r="574" ht="15.75" customHeight="1">
      <c r="A574" s="518"/>
      <c r="B574" s="517"/>
      <c r="C574" s="518"/>
      <c r="D574" s="992"/>
      <c r="E574" s="989"/>
      <c r="F574" s="989"/>
      <c r="G574" s="993"/>
      <c r="H574" s="993"/>
      <c r="I574" s="986"/>
      <c r="J574" s="523"/>
      <c r="K574" s="994"/>
      <c r="L574" s="995"/>
      <c r="M574" s="704"/>
      <c r="N574" s="704"/>
      <c r="O574" s="704"/>
      <c r="P574" s="957"/>
      <c r="Q574" s="957"/>
      <c r="R574" s="957"/>
      <c r="S574" s="957"/>
      <c r="T574" s="957"/>
      <c r="U574" s="957"/>
      <c r="V574" s="957"/>
      <c r="W574" s="957"/>
      <c r="X574" s="957"/>
      <c r="Y574" s="957"/>
      <c r="Z574" s="957"/>
      <c r="AA574" s="957"/>
      <c r="AB574" s="957"/>
      <c r="AC574" s="957"/>
      <c r="AD574" s="957"/>
    </row>
    <row r="575" ht="15.75" customHeight="1">
      <c r="A575" s="518"/>
      <c r="B575" s="517"/>
      <c r="C575" s="518"/>
      <c r="D575" s="992"/>
      <c r="E575" s="989"/>
      <c r="F575" s="989"/>
      <c r="G575" s="993"/>
      <c r="H575" s="993"/>
      <c r="I575" s="986"/>
      <c r="J575" s="523"/>
      <c r="K575" s="994"/>
      <c r="L575" s="995"/>
      <c r="M575" s="704"/>
      <c r="N575" s="704"/>
      <c r="O575" s="704"/>
      <c r="P575" s="957"/>
      <c r="Q575" s="957"/>
      <c r="R575" s="957"/>
      <c r="S575" s="957"/>
      <c r="T575" s="957"/>
      <c r="U575" s="957"/>
      <c r="V575" s="957"/>
      <c r="W575" s="957"/>
      <c r="X575" s="957"/>
      <c r="Y575" s="957"/>
      <c r="Z575" s="957"/>
      <c r="AA575" s="957"/>
      <c r="AB575" s="957"/>
      <c r="AC575" s="957"/>
      <c r="AD575" s="957"/>
    </row>
    <row r="576" ht="15.75" customHeight="1">
      <c r="A576" s="518"/>
      <c r="B576" s="517"/>
      <c r="C576" s="518"/>
      <c r="D576" s="992"/>
      <c r="E576" s="989"/>
      <c r="F576" s="989"/>
      <c r="G576" s="993"/>
      <c r="H576" s="993"/>
      <c r="I576" s="986"/>
      <c r="J576" s="523"/>
      <c r="K576" s="994"/>
      <c r="L576" s="995"/>
      <c r="M576" s="704"/>
      <c r="N576" s="704"/>
      <c r="O576" s="704"/>
      <c r="P576" s="957"/>
      <c r="Q576" s="957"/>
      <c r="R576" s="957"/>
      <c r="S576" s="957"/>
      <c r="T576" s="957"/>
      <c r="U576" s="957"/>
      <c r="V576" s="957"/>
      <c r="W576" s="957"/>
      <c r="X576" s="957"/>
      <c r="Y576" s="957"/>
      <c r="Z576" s="957"/>
      <c r="AA576" s="957"/>
      <c r="AB576" s="957"/>
      <c r="AC576" s="957"/>
      <c r="AD576" s="957"/>
    </row>
    <row r="577" ht="15.75" customHeight="1">
      <c r="A577" s="518"/>
      <c r="B577" s="517"/>
      <c r="C577" s="518"/>
      <c r="D577" s="992"/>
      <c r="E577" s="989"/>
      <c r="F577" s="989"/>
      <c r="G577" s="993"/>
      <c r="H577" s="993"/>
      <c r="I577" s="986"/>
      <c r="J577" s="523"/>
      <c r="K577" s="994"/>
      <c r="L577" s="995"/>
      <c r="M577" s="704"/>
      <c r="N577" s="704"/>
      <c r="O577" s="704"/>
      <c r="P577" s="957"/>
      <c r="Q577" s="957"/>
      <c r="R577" s="957"/>
      <c r="S577" s="957"/>
      <c r="T577" s="957"/>
      <c r="U577" s="957"/>
      <c r="V577" s="957"/>
      <c r="W577" s="957"/>
      <c r="X577" s="957"/>
      <c r="Y577" s="957"/>
      <c r="Z577" s="957"/>
      <c r="AA577" s="957"/>
      <c r="AB577" s="957"/>
      <c r="AC577" s="957"/>
      <c r="AD577" s="957"/>
    </row>
    <row r="578" ht="15.75" customHeight="1">
      <c r="A578" s="518"/>
      <c r="B578" s="517"/>
      <c r="C578" s="518"/>
      <c r="D578" s="992"/>
      <c r="E578" s="989"/>
      <c r="F578" s="989"/>
      <c r="G578" s="993"/>
      <c r="H578" s="993"/>
      <c r="I578" s="986"/>
      <c r="J578" s="523"/>
      <c r="K578" s="994"/>
      <c r="L578" s="995"/>
      <c r="M578" s="704"/>
      <c r="N578" s="704"/>
      <c r="O578" s="704"/>
      <c r="P578" s="957"/>
      <c r="Q578" s="957"/>
      <c r="R578" s="957"/>
      <c r="S578" s="957"/>
      <c r="T578" s="957"/>
      <c r="U578" s="957"/>
      <c r="V578" s="957"/>
      <c r="W578" s="957"/>
      <c r="X578" s="957"/>
      <c r="Y578" s="957"/>
      <c r="Z578" s="957"/>
      <c r="AA578" s="957"/>
      <c r="AB578" s="957"/>
      <c r="AC578" s="957"/>
      <c r="AD578" s="957"/>
    </row>
    <row r="579" ht="15.75" customHeight="1">
      <c r="A579" s="518"/>
      <c r="B579" s="517"/>
      <c r="C579" s="518"/>
      <c r="D579" s="992"/>
      <c r="E579" s="989"/>
      <c r="F579" s="989"/>
      <c r="G579" s="993"/>
      <c r="H579" s="993"/>
      <c r="I579" s="986"/>
      <c r="J579" s="523"/>
      <c r="K579" s="994"/>
      <c r="L579" s="995"/>
      <c r="M579" s="704"/>
      <c r="N579" s="704"/>
      <c r="O579" s="704"/>
      <c r="P579" s="957"/>
      <c r="Q579" s="957"/>
      <c r="R579" s="957"/>
      <c r="S579" s="957"/>
      <c r="T579" s="957"/>
      <c r="U579" s="957"/>
      <c r="V579" s="957"/>
      <c r="W579" s="957"/>
      <c r="X579" s="957"/>
      <c r="Y579" s="957"/>
      <c r="Z579" s="957"/>
      <c r="AA579" s="957"/>
      <c r="AB579" s="957"/>
      <c r="AC579" s="957"/>
      <c r="AD579" s="957"/>
    </row>
    <row r="580" ht="15.75" customHeight="1">
      <c r="A580" s="518"/>
      <c r="B580" s="517"/>
      <c r="C580" s="518"/>
      <c r="D580" s="992"/>
      <c r="E580" s="989"/>
      <c r="F580" s="989"/>
      <c r="G580" s="993"/>
      <c r="H580" s="993"/>
      <c r="I580" s="986"/>
      <c r="J580" s="523"/>
      <c r="K580" s="994"/>
      <c r="L580" s="995"/>
      <c r="M580" s="704"/>
      <c r="N580" s="704"/>
      <c r="O580" s="704"/>
      <c r="P580" s="957"/>
      <c r="Q580" s="957"/>
      <c r="R580" s="957"/>
      <c r="S580" s="957"/>
      <c r="T580" s="957"/>
      <c r="U580" s="957"/>
      <c r="V580" s="957"/>
      <c r="W580" s="957"/>
      <c r="X580" s="957"/>
      <c r="Y580" s="957"/>
      <c r="Z580" s="957"/>
      <c r="AA580" s="957"/>
      <c r="AB580" s="957"/>
      <c r="AC580" s="957"/>
      <c r="AD580" s="957"/>
    </row>
    <row r="581" ht="15.75" customHeight="1">
      <c r="A581" s="518"/>
      <c r="B581" s="517"/>
      <c r="C581" s="518"/>
      <c r="D581" s="992"/>
      <c r="E581" s="989"/>
      <c r="F581" s="989"/>
      <c r="G581" s="993"/>
      <c r="H581" s="993"/>
      <c r="I581" s="986"/>
      <c r="J581" s="523"/>
      <c r="K581" s="994"/>
      <c r="L581" s="995"/>
      <c r="M581" s="704"/>
      <c r="N581" s="704"/>
      <c r="O581" s="704"/>
      <c r="P581" s="957"/>
      <c r="Q581" s="957"/>
      <c r="R581" s="957"/>
      <c r="S581" s="957"/>
      <c r="T581" s="957"/>
      <c r="U581" s="957"/>
      <c r="V581" s="957"/>
      <c r="W581" s="957"/>
      <c r="X581" s="957"/>
      <c r="Y581" s="957"/>
      <c r="Z581" s="957"/>
      <c r="AA581" s="957"/>
      <c r="AB581" s="957"/>
      <c r="AC581" s="957"/>
      <c r="AD581" s="957"/>
    </row>
    <row r="582" ht="15.75" customHeight="1">
      <c r="A582" s="518"/>
      <c r="B582" s="517"/>
      <c r="C582" s="518"/>
      <c r="D582" s="992"/>
      <c r="E582" s="989"/>
      <c r="F582" s="989"/>
      <c r="G582" s="993"/>
      <c r="H582" s="993"/>
      <c r="I582" s="986"/>
      <c r="J582" s="523"/>
      <c r="K582" s="994"/>
      <c r="L582" s="995"/>
      <c r="M582" s="704"/>
      <c r="N582" s="704"/>
      <c r="O582" s="704"/>
      <c r="P582" s="957"/>
      <c r="Q582" s="957"/>
      <c r="R582" s="957"/>
      <c r="S582" s="957"/>
      <c r="T582" s="957"/>
      <c r="U582" s="957"/>
      <c r="V582" s="957"/>
      <c r="W582" s="957"/>
      <c r="X582" s="957"/>
      <c r="Y582" s="957"/>
      <c r="Z582" s="957"/>
      <c r="AA582" s="957"/>
      <c r="AB582" s="957"/>
      <c r="AC582" s="957"/>
      <c r="AD582" s="957"/>
    </row>
    <row r="583" ht="15.75" customHeight="1">
      <c r="A583" s="518"/>
      <c r="B583" s="517"/>
      <c r="C583" s="518"/>
      <c r="D583" s="992"/>
      <c r="E583" s="989"/>
      <c r="F583" s="989"/>
      <c r="G583" s="993"/>
      <c r="H583" s="993"/>
      <c r="I583" s="986"/>
      <c r="J583" s="523"/>
      <c r="K583" s="994"/>
      <c r="L583" s="995"/>
      <c r="M583" s="704"/>
      <c r="N583" s="704"/>
      <c r="O583" s="704"/>
      <c r="P583" s="957"/>
      <c r="Q583" s="957"/>
      <c r="R583" s="957"/>
      <c r="S583" s="957"/>
      <c r="T583" s="957"/>
      <c r="U583" s="957"/>
      <c r="V583" s="957"/>
      <c r="W583" s="957"/>
      <c r="X583" s="957"/>
      <c r="Y583" s="957"/>
      <c r="Z583" s="957"/>
      <c r="AA583" s="957"/>
      <c r="AB583" s="957"/>
      <c r="AC583" s="957"/>
      <c r="AD583" s="957"/>
    </row>
    <row r="584" ht="15.75" customHeight="1">
      <c r="A584" s="518"/>
      <c r="B584" s="517"/>
      <c r="C584" s="518"/>
      <c r="D584" s="992"/>
      <c r="E584" s="989"/>
      <c r="F584" s="989"/>
      <c r="G584" s="993"/>
      <c r="H584" s="993"/>
      <c r="I584" s="986"/>
      <c r="J584" s="523"/>
      <c r="K584" s="994"/>
      <c r="L584" s="995"/>
      <c r="M584" s="704"/>
      <c r="N584" s="704"/>
      <c r="O584" s="704"/>
      <c r="P584" s="957"/>
      <c r="Q584" s="957"/>
      <c r="R584" s="957"/>
      <c r="S584" s="957"/>
      <c r="T584" s="957"/>
      <c r="U584" s="957"/>
      <c r="V584" s="957"/>
      <c r="W584" s="957"/>
      <c r="X584" s="957"/>
      <c r="Y584" s="957"/>
      <c r="Z584" s="957"/>
      <c r="AA584" s="957"/>
      <c r="AB584" s="957"/>
      <c r="AC584" s="957"/>
      <c r="AD584" s="957"/>
    </row>
    <row r="585" ht="15.75" customHeight="1">
      <c r="A585" s="518"/>
      <c r="B585" s="517"/>
      <c r="C585" s="518"/>
      <c r="D585" s="992"/>
      <c r="E585" s="989"/>
      <c r="F585" s="989"/>
      <c r="G585" s="993"/>
      <c r="H585" s="993"/>
      <c r="I585" s="986"/>
      <c r="J585" s="523"/>
      <c r="K585" s="994"/>
      <c r="L585" s="995"/>
      <c r="M585" s="704"/>
      <c r="N585" s="704"/>
      <c r="O585" s="704"/>
      <c r="P585" s="957"/>
      <c r="Q585" s="957"/>
      <c r="R585" s="957"/>
      <c r="S585" s="957"/>
      <c r="T585" s="957"/>
      <c r="U585" s="957"/>
      <c r="V585" s="957"/>
      <c r="W585" s="957"/>
      <c r="X585" s="957"/>
      <c r="Y585" s="957"/>
      <c r="Z585" s="957"/>
      <c r="AA585" s="957"/>
      <c r="AB585" s="957"/>
      <c r="AC585" s="957"/>
      <c r="AD585" s="957"/>
    </row>
    <row r="586" ht="15.75" customHeight="1">
      <c r="A586" s="518"/>
      <c r="B586" s="517"/>
      <c r="C586" s="518"/>
      <c r="D586" s="992"/>
      <c r="E586" s="989"/>
      <c r="F586" s="989"/>
      <c r="G586" s="993"/>
      <c r="H586" s="993"/>
      <c r="I586" s="986"/>
      <c r="J586" s="523"/>
      <c r="K586" s="994"/>
      <c r="L586" s="995"/>
      <c r="M586" s="704"/>
      <c r="N586" s="704"/>
      <c r="O586" s="704"/>
      <c r="P586" s="957"/>
      <c r="Q586" s="957"/>
      <c r="R586" s="957"/>
      <c r="S586" s="957"/>
      <c r="T586" s="957"/>
      <c r="U586" s="957"/>
      <c r="V586" s="957"/>
      <c r="W586" s="957"/>
      <c r="X586" s="957"/>
      <c r="Y586" s="957"/>
      <c r="Z586" s="957"/>
      <c r="AA586" s="957"/>
      <c r="AB586" s="957"/>
      <c r="AC586" s="957"/>
      <c r="AD586" s="957"/>
    </row>
    <row r="587" ht="15.75" customHeight="1">
      <c r="A587" s="518"/>
      <c r="B587" s="517"/>
      <c r="C587" s="518"/>
      <c r="D587" s="992"/>
      <c r="E587" s="989"/>
      <c r="F587" s="989"/>
      <c r="G587" s="993"/>
      <c r="H587" s="993"/>
      <c r="I587" s="986"/>
      <c r="J587" s="523"/>
      <c r="K587" s="994"/>
      <c r="L587" s="995"/>
      <c r="M587" s="704"/>
      <c r="N587" s="704"/>
      <c r="O587" s="704"/>
      <c r="P587" s="957"/>
      <c r="Q587" s="957"/>
      <c r="R587" s="957"/>
      <c r="S587" s="957"/>
      <c r="T587" s="957"/>
      <c r="U587" s="957"/>
      <c r="V587" s="957"/>
      <c r="W587" s="957"/>
      <c r="X587" s="957"/>
      <c r="Y587" s="957"/>
      <c r="Z587" s="957"/>
      <c r="AA587" s="957"/>
      <c r="AB587" s="957"/>
      <c r="AC587" s="957"/>
      <c r="AD587" s="957"/>
    </row>
    <row r="588" ht="15.75" customHeight="1">
      <c r="A588" s="518"/>
      <c r="B588" s="517"/>
      <c r="C588" s="518"/>
      <c r="D588" s="992"/>
      <c r="E588" s="989"/>
      <c r="F588" s="989"/>
      <c r="G588" s="993"/>
      <c r="H588" s="993"/>
      <c r="I588" s="986"/>
      <c r="J588" s="523"/>
      <c r="K588" s="994"/>
      <c r="L588" s="995"/>
      <c r="M588" s="704"/>
      <c r="N588" s="704"/>
      <c r="O588" s="704"/>
      <c r="P588" s="957"/>
      <c r="Q588" s="957"/>
      <c r="R588" s="957"/>
      <c r="S588" s="957"/>
      <c r="T588" s="957"/>
      <c r="U588" s="957"/>
      <c r="V588" s="957"/>
      <c r="W588" s="957"/>
      <c r="X588" s="957"/>
      <c r="Y588" s="957"/>
      <c r="Z588" s="957"/>
      <c r="AA588" s="957"/>
      <c r="AB588" s="957"/>
      <c r="AC588" s="957"/>
      <c r="AD588" s="957"/>
    </row>
    <row r="589" ht="15.75" customHeight="1">
      <c r="A589" s="518"/>
      <c r="B589" s="517"/>
      <c r="C589" s="518"/>
      <c r="D589" s="992"/>
      <c r="E589" s="989"/>
      <c r="F589" s="989"/>
      <c r="G589" s="993"/>
      <c r="H589" s="993"/>
      <c r="I589" s="986"/>
      <c r="J589" s="523"/>
      <c r="K589" s="994"/>
      <c r="L589" s="995"/>
      <c r="M589" s="704"/>
      <c r="N589" s="704"/>
      <c r="O589" s="704"/>
      <c r="P589" s="957"/>
      <c r="Q589" s="957"/>
      <c r="R589" s="957"/>
      <c r="S589" s="957"/>
      <c r="T589" s="957"/>
      <c r="U589" s="957"/>
      <c r="V589" s="957"/>
      <c r="W589" s="957"/>
      <c r="X589" s="957"/>
      <c r="Y589" s="957"/>
      <c r="Z589" s="957"/>
      <c r="AA589" s="957"/>
      <c r="AB589" s="957"/>
      <c r="AC589" s="957"/>
      <c r="AD589" s="957"/>
    </row>
    <row r="590" ht="15.75" customHeight="1">
      <c r="A590" s="518"/>
      <c r="B590" s="517"/>
      <c r="C590" s="518"/>
      <c r="D590" s="992"/>
      <c r="E590" s="989"/>
      <c r="F590" s="989"/>
      <c r="G590" s="993"/>
      <c r="H590" s="993"/>
      <c r="I590" s="986"/>
      <c r="J590" s="523"/>
      <c r="K590" s="994"/>
      <c r="L590" s="995"/>
      <c r="M590" s="704"/>
      <c r="N590" s="704"/>
      <c r="O590" s="704"/>
      <c r="P590" s="957"/>
      <c r="Q590" s="957"/>
      <c r="R590" s="957"/>
      <c r="S590" s="957"/>
      <c r="T590" s="957"/>
      <c r="U590" s="957"/>
      <c r="V590" s="957"/>
      <c r="W590" s="957"/>
      <c r="X590" s="957"/>
      <c r="Y590" s="957"/>
      <c r="Z590" s="957"/>
      <c r="AA590" s="957"/>
      <c r="AB590" s="957"/>
      <c r="AC590" s="957"/>
      <c r="AD590" s="957"/>
    </row>
    <row r="591" ht="15.75" customHeight="1">
      <c r="A591" s="518"/>
      <c r="B591" s="517"/>
      <c r="C591" s="518"/>
      <c r="D591" s="992"/>
      <c r="E591" s="989"/>
      <c r="F591" s="989"/>
      <c r="G591" s="993"/>
      <c r="H591" s="993"/>
      <c r="I591" s="986"/>
      <c r="J591" s="523"/>
      <c r="K591" s="994"/>
      <c r="L591" s="995"/>
      <c r="M591" s="704"/>
      <c r="N591" s="704"/>
      <c r="O591" s="704"/>
      <c r="P591" s="957"/>
      <c r="Q591" s="957"/>
      <c r="R591" s="957"/>
      <c r="S591" s="957"/>
      <c r="T591" s="957"/>
      <c r="U591" s="957"/>
      <c r="V591" s="957"/>
      <c r="W591" s="957"/>
      <c r="X591" s="957"/>
      <c r="Y591" s="957"/>
      <c r="Z591" s="957"/>
      <c r="AA591" s="957"/>
      <c r="AB591" s="957"/>
      <c r="AC591" s="957"/>
      <c r="AD591" s="957"/>
    </row>
    <row r="592" ht="15.75" customHeight="1">
      <c r="A592" s="518"/>
      <c r="B592" s="517"/>
      <c r="C592" s="518"/>
      <c r="D592" s="992"/>
      <c r="E592" s="989"/>
      <c r="F592" s="989"/>
      <c r="G592" s="993"/>
      <c r="H592" s="993"/>
      <c r="I592" s="986"/>
      <c r="J592" s="523"/>
      <c r="K592" s="994"/>
      <c r="L592" s="995"/>
      <c r="M592" s="704"/>
      <c r="N592" s="704"/>
      <c r="O592" s="704"/>
      <c r="P592" s="957"/>
      <c r="Q592" s="957"/>
      <c r="R592" s="957"/>
      <c r="S592" s="957"/>
      <c r="T592" s="957"/>
      <c r="U592" s="957"/>
      <c r="V592" s="957"/>
      <c r="W592" s="957"/>
      <c r="X592" s="957"/>
      <c r="Y592" s="957"/>
      <c r="Z592" s="957"/>
      <c r="AA592" s="957"/>
      <c r="AB592" s="957"/>
      <c r="AC592" s="957"/>
      <c r="AD592" s="957"/>
    </row>
    <row r="593" ht="15.75" customHeight="1">
      <c r="A593" s="518"/>
      <c r="B593" s="517"/>
      <c r="C593" s="518"/>
      <c r="D593" s="992"/>
      <c r="E593" s="989"/>
      <c r="F593" s="989"/>
      <c r="G593" s="993"/>
      <c r="H593" s="993"/>
      <c r="I593" s="986"/>
      <c r="J593" s="523"/>
      <c r="K593" s="994"/>
      <c r="L593" s="995"/>
      <c r="M593" s="704"/>
      <c r="N593" s="704"/>
      <c r="O593" s="704"/>
      <c r="P593" s="957"/>
      <c r="Q593" s="957"/>
      <c r="R593" s="957"/>
      <c r="S593" s="957"/>
      <c r="T593" s="957"/>
      <c r="U593" s="957"/>
      <c r="V593" s="957"/>
      <c r="W593" s="957"/>
      <c r="X593" s="957"/>
      <c r="Y593" s="957"/>
      <c r="Z593" s="957"/>
      <c r="AA593" s="957"/>
      <c r="AB593" s="957"/>
      <c r="AC593" s="957"/>
      <c r="AD593" s="957"/>
    </row>
    <row r="594" ht="15.75" customHeight="1">
      <c r="A594" s="518"/>
      <c r="B594" s="517"/>
      <c r="C594" s="518"/>
      <c r="D594" s="992"/>
      <c r="E594" s="989"/>
      <c r="F594" s="989"/>
      <c r="G594" s="993"/>
      <c r="H594" s="993"/>
      <c r="I594" s="986"/>
      <c r="J594" s="523"/>
      <c r="K594" s="994"/>
      <c r="L594" s="995"/>
      <c r="M594" s="704"/>
      <c r="N594" s="704"/>
      <c r="O594" s="704"/>
      <c r="P594" s="957"/>
      <c r="Q594" s="957"/>
      <c r="R594" s="957"/>
      <c r="S594" s="957"/>
      <c r="T594" s="957"/>
      <c r="U594" s="957"/>
      <c r="V594" s="957"/>
      <c r="W594" s="957"/>
      <c r="X594" s="957"/>
      <c r="Y594" s="957"/>
      <c r="Z594" s="957"/>
      <c r="AA594" s="957"/>
      <c r="AB594" s="957"/>
      <c r="AC594" s="957"/>
      <c r="AD594" s="957"/>
    </row>
    <row r="595" ht="15.75" customHeight="1">
      <c r="A595" s="518"/>
      <c r="B595" s="517"/>
      <c r="C595" s="518"/>
      <c r="D595" s="992"/>
      <c r="E595" s="989"/>
      <c r="F595" s="989"/>
      <c r="G595" s="993"/>
      <c r="H595" s="993"/>
      <c r="I595" s="986"/>
      <c r="J595" s="523"/>
      <c r="K595" s="994"/>
      <c r="L595" s="995"/>
      <c r="M595" s="704"/>
      <c r="N595" s="704"/>
      <c r="O595" s="704"/>
      <c r="P595" s="957"/>
      <c r="Q595" s="957"/>
      <c r="R595" s="957"/>
      <c r="S595" s="957"/>
      <c r="T595" s="957"/>
      <c r="U595" s="957"/>
      <c r="V595" s="957"/>
      <c r="W595" s="957"/>
      <c r="X595" s="957"/>
      <c r="Y595" s="957"/>
      <c r="Z595" s="957"/>
      <c r="AA595" s="957"/>
      <c r="AB595" s="957"/>
      <c r="AC595" s="957"/>
      <c r="AD595" s="957"/>
    </row>
    <row r="596" ht="15.75" customHeight="1">
      <c r="A596" s="518"/>
      <c r="B596" s="517"/>
      <c r="C596" s="518"/>
      <c r="D596" s="992"/>
      <c r="E596" s="989"/>
      <c r="F596" s="989"/>
      <c r="G596" s="993"/>
      <c r="H596" s="993"/>
      <c r="I596" s="986"/>
      <c r="J596" s="523"/>
      <c r="K596" s="994"/>
      <c r="L596" s="995"/>
      <c r="M596" s="704"/>
      <c r="N596" s="704"/>
      <c r="O596" s="704"/>
      <c r="P596" s="957"/>
      <c r="Q596" s="957"/>
      <c r="R596" s="957"/>
      <c r="S596" s="957"/>
      <c r="T596" s="957"/>
      <c r="U596" s="957"/>
      <c r="V596" s="957"/>
      <c r="W596" s="957"/>
      <c r="X596" s="957"/>
      <c r="Y596" s="957"/>
      <c r="Z596" s="957"/>
      <c r="AA596" s="957"/>
      <c r="AB596" s="957"/>
      <c r="AC596" s="957"/>
      <c r="AD596" s="957"/>
    </row>
    <row r="597" ht="15.75" customHeight="1">
      <c r="A597" s="518"/>
      <c r="B597" s="517"/>
      <c r="C597" s="518"/>
      <c r="D597" s="992"/>
      <c r="E597" s="989"/>
      <c r="F597" s="989"/>
      <c r="G597" s="993"/>
      <c r="H597" s="993"/>
      <c r="I597" s="986"/>
      <c r="J597" s="523"/>
      <c r="K597" s="994"/>
      <c r="L597" s="995"/>
      <c r="M597" s="704"/>
      <c r="N597" s="704"/>
      <c r="O597" s="704"/>
      <c r="P597" s="957"/>
      <c r="Q597" s="957"/>
      <c r="R597" s="957"/>
      <c r="S597" s="957"/>
      <c r="T597" s="957"/>
      <c r="U597" s="957"/>
      <c r="V597" s="957"/>
      <c r="W597" s="957"/>
      <c r="X597" s="957"/>
      <c r="Y597" s="957"/>
      <c r="Z597" s="957"/>
      <c r="AA597" s="957"/>
      <c r="AB597" s="957"/>
      <c r="AC597" s="957"/>
      <c r="AD597" s="957"/>
    </row>
    <row r="598" ht="15.75" customHeight="1">
      <c r="A598" s="518"/>
      <c r="B598" s="517"/>
      <c r="C598" s="518"/>
      <c r="D598" s="992"/>
      <c r="E598" s="989"/>
      <c r="F598" s="989"/>
      <c r="G598" s="993"/>
      <c r="H598" s="993"/>
      <c r="I598" s="986"/>
      <c r="J598" s="523"/>
      <c r="K598" s="994"/>
      <c r="L598" s="995"/>
      <c r="M598" s="704"/>
      <c r="N598" s="704"/>
      <c r="O598" s="704"/>
      <c r="P598" s="957"/>
      <c r="Q598" s="957"/>
      <c r="R598" s="957"/>
      <c r="S598" s="957"/>
      <c r="T598" s="957"/>
      <c r="U598" s="957"/>
      <c r="V598" s="957"/>
      <c r="W598" s="957"/>
      <c r="X598" s="957"/>
      <c r="Y598" s="957"/>
      <c r="Z598" s="957"/>
      <c r="AA598" s="957"/>
      <c r="AB598" s="957"/>
      <c r="AC598" s="957"/>
      <c r="AD598" s="957"/>
    </row>
    <row r="599" ht="15.75" customHeight="1">
      <c r="A599" s="518"/>
      <c r="B599" s="517"/>
      <c r="C599" s="518"/>
      <c r="D599" s="992"/>
      <c r="E599" s="989"/>
      <c r="F599" s="989"/>
      <c r="G599" s="993"/>
      <c r="H599" s="993"/>
      <c r="I599" s="986"/>
      <c r="J599" s="523"/>
      <c r="K599" s="994"/>
      <c r="L599" s="995"/>
      <c r="M599" s="704"/>
      <c r="N599" s="704"/>
      <c r="O599" s="704"/>
      <c r="P599" s="957"/>
      <c r="Q599" s="957"/>
      <c r="R599" s="957"/>
      <c r="S599" s="957"/>
      <c r="T599" s="957"/>
      <c r="U599" s="957"/>
      <c r="V599" s="957"/>
      <c r="W599" s="957"/>
      <c r="X599" s="957"/>
      <c r="Y599" s="957"/>
      <c r="Z599" s="957"/>
      <c r="AA599" s="957"/>
      <c r="AB599" s="957"/>
      <c r="AC599" s="957"/>
      <c r="AD599" s="957"/>
    </row>
    <row r="600" ht="15.75" customHeight="1">
      <c r="A600" s="518"/>
      <c r="B600" s="517"/>
      <c r="C600" s="518"/>
      <c r="D600" s="992"/>
      <c r="E600" s="989"/>
      <c r="F600" s="989"/>
      <c r="G600" s="993"/>
      <c r="H600" s="993"/>
      <c r="I600" s="986"/>
      <c r="J600" s="523"/>
      <c r="K600" s="994"/>
      <c r="L600" s="995"/>
      <c r="M600" s="704"/>
      <c r="N600" s="704"/>
      <c r="O600" s="704"/>
      <c r="P600" s="957"/>
      <c r="Q600" s="957"/>
      <c r="R600" s="957"/>
      <c r="S600" s="957"/>
      <c r="T600" s="957"/>
      <c r="U600" s="957"/>
      <c r="V600" s="957"/>
      <c r="W600" s="957"/>
      <c r="X600" s="957"/>
      <c r="Y600" s="957"/>
      <c r="Z600" s="957"/>
      <c r="AA600" s="957"/>
      <c r="AB600" s="957"/>
      <c r="AC600" s="957"/>
      <c r="AD600" s="957"/>
    </row>
    <row r="601" ht="15.75" customHeight="1">
      <c r="A601" s="518"/>
      <c r="B601" s="517"/>
      <c r="C601" s="518"/>
      <c r="D601" s="992"/>
      <c r="E601" s="989"/>
      <c r="F601" s="989"/>
      <c r="G601" s="993"/>
      <c r="H601" s="993"/>
      <c r="I601" s="986"/>
      <c r="J601" s="523"/>
      <c r="K601" s="994"/>
      <c r="L601" s="995"/>
      <c r="M601" s="704"/>
      <c r="N601" s="704"/>
      <c r="O601" s="704"/>
      <c r="P601" s="957"/>
      <c r="Q601" s="957"/>
      <c r="R601" s="957"/>
      <c r="S601" s="957"/>
      <c r="T601" s="957"/>
      <c r="U601" s="957"/>
      <c r="V601" s="957"/>
      <c r="W601" s="957"/>
      <c r="X601" s="957"/>
      <c r="Y601" s="957"/>
      <c r="Z601" s="957"/>
      <c r="AA601" s="957"/>
      <c r="AB601" s="957"/>
      <c r="AC601" s="957"/>
      <c r="AD601" s="957"/>
    </row>
    <row r="602" ht="15.75" customHeight="1">
      <c r="A602" s="518"/>
      <c r="B602" s="517"/>
      <c r="C602" s="518"/>
      <c r="D602" s="992"/>
      <c r="E602" s="989"/>
      <c r="F602" s="989"/>
      <c r="G602" s="993"/>
      <c r="H602" s="993"/>
      <c r="I602" s="986"/>
      <c r="J602" s="523"/>
      <c r="K602" s="994"/>
      <c r="L602" s="995"/>
      <c r="M602" s="704"/>
      <c r="N602" s="704"/>
      <c r="O602" s="704"/>
      <c r="P602" s="957"/>
      <c r="Q602" s="957"/>
      <c r="R602" s="957"/>
      <c r="S602" s="957"/>
      <c r="T602" s="957"/>
      <c r="U602" s="957"/>
      <c r="V602" s="957"/>
      <c r="W602" s="957"/>
      <c r="X602" s="957"/>
      <c r="Y602" s="957"/>
      <c r="Z602" s="957"/>
      <c r="AA602" s="957"/>
      <c r="AB602" s="957"/>
      <c r="AC602" s="957"/>
      <c r="AD602" s="957"/>
    </row>
    <row r="603" ht="15.75" customHeight="1">
      <c r="A603" s="518"/>
      <c r="B603" s="517"/>
      <c r="C603" s="518"/>
      <c r="D603" s="992"/>
      <c r="E603" s="989"/>
      <c r="F603" s="989"/>
      <c r="G603" s="993"/>
      <c r="H603" s="993"/>
      <c r="I603" s="986"/>
      <c r="J603" s="523"/>
      <c r="K603" s="994"/>
      <c r="L603" s="995"/>
      <c r="M603" s="704"/>
      <c r="N603" s="704"/>
      <c r="O603" s="704"/>
      <c r="P603" s="957"/>
      <c r="Q603" s="957"/>
      <c r="R603" s="957"/>
      <c r="S603" s="957"/>
      <c r="T603" s="957"/>
      <c r="U603" s="957"/>
      <c r="V603" s="957"/>
      <c r="W603" s="957"/>
      <c r="X603" s="957"/>
      <c r="Y603" s="957"/>
      <c r="Z603" s="957"/>
      <c r="AA603" s="957"/>
      <c r="AB603" s="957"/>
      <c r="AC603" s="957"/>
      <c r="AD603" s="957"/>
    </row>
    <row r="604" ht="15.75" customHeight="1">
      <c r="A604" s="518"/>
      <c r="B604" s="517"/>
      <c r="C604" s="518"/>
      <c r="D604" s="992"/>
      <c r="E604" s="989"/>
      <c r="F604" s="989"/>
      <c r="G604" s="993"/>
      <c r="H604" s="993"/>
      <c r="I604" s="986"/>
      <c r="J604" s="523"/>
      <c r="K604" s="994"/>
      <c r="L604" s="995"/>
      <c r="M604" s="704"/>
      <c r="N604" s="704"/>
      <c r="O604" s="704"/>
      <c r="P604" s="957"/>
      <c r="Q604" s="957"/>
      <c r="R604" s="957"/>
      <c r="S604" s="957"/>
      <c r="T604" s="957"/>
      <c r="U604" s="957"/>
      <c r="V604" s="957"/>
      <c r="W604" s="957"/>
      <c r="X604" s="957"/>
      <c r="Y604" s="957"/>
      <c r="Z604" s="957"/>
      <c r="AA604" s="957"/>
      <c r="AB604" s="957"/>
      <c r="AC604" s="957"/>
      <c r="AD604" s="957"/>
    </row>
    <row r="605" ht="15.75" customHeight="1">
      <c r="A605" s="518"/>
      <c r="B605" s="517"/>
      <c r="C605" s="518"/>
      <c r="D605" s="992"/>
      <c r="E605" s="989"/>
      <c r="F605" s="989"/>
      <c r="G605" s="993"/>
      <c r="H605" s="993"/>
      <c r="I605" s="986"/>
      <c r="J605" s="523"/>
      <c r="K605" s="994"/>
      <c r="L605" s="995"/>
      <c r="M605" s="704"/>
      <c r="N605" s="704"/>
      <c r="O605" s="704"/>
      <c r="P605" s="957"/>
      <c r="Q605" s="957"/>
      <c r="R605" s="957"/>
      <c r="S605" s="957"/>
      <c r="T605" s="957"/>
      <c r="U605" s="957"/>
      <c r="V605" s="957"/>
      <c r="W605" s="957"/>
      <c r="X605" s="957"/>
      <c r="Y605" s="957"/>
      <c r="Z605" s="957"/>
      <c r="AA605" s="957"/>
      <c r="AB605" s="957"/>
      <c r="AC605" s="957"/>
      <c r="AD605" s="957"/>
    </row>
    <row r="606" ht="15.75" customHeight="1">
      <c r="A606" s="518"/>
      <c r="B606" s="517"/>
      <c r="C606" s="518"/>
      <c r="D606" s="992"/>
      <c r="E606" s="989"/>
      <c r="F606" s="989"/>
      <c r="G606" s="993"/>
      <c r="H606" s="993"/>
      <c r="I606" s="986"/>
      <c r="J606" s="523"/>
      <c r="K606" s="994"/>
      <c r="L606" s="995"/>
      <c r="M606" s="704"/>
      <c r="N606" s="704"/>
      <c r="O606" s="704"/>
      <c r="P606" s="957"/>
      <c r="Q606" s="957"/>
      <c r="R606" s="957"/>
      <c r="S606" s="957"/>
      <c r="T606" s="957"/>
      <c r="U606" s="957"/>
      <c r="V606" s="957"/>
      <c r="W606" s="957"/>
      <c r="X606" s="957"/>
      <c r="Y606" s="957"/>
      <c r="Z606" s="957"/>
      <c r="AA606" s="957"/>
      <c r="AB606" s="957"/>
      <c r="AC606" s="957"/>
      <c r="AD606" s="957"/>
    </row>
    <row r="607" ht="15.75" customHeight="1">
      <c r="A607" s="518"/>
      <c r="B607" s="517"/>
      <c r="C607" s="518"/>
      <c r="D607" s="992"/>
      <c r="E607" s="989"/>
      <c r="F607" s="989"/>
      <c r="G607" s="993"/>
      <c r="H607" s="993"/>
      <c r="I607" s="986"/>
      <c r="J607" s="523"/>
      <c r="K607" s="994"/>
      <c r="L607" s="995"/>
      <c r="M607" s="704"/>
      <c r="N607" s="704"/>
      <c r="O607" s="704"/>
      <c r="P607" s="957"/>
      <c r="Q607" s="957"/>
      <c r="R607" s="957"/>
      <c r="S607" s="957"/>
      <c r="T607" s="957"/>
      <c r="U607" s="957"/>
      <c r="V607" s="957"/>
      <c r="W607" s="957"/>
      <c r="X607" s="957"/>
      <c r="Y607" s="957"/>
      <c r="Z607" s="957"/>
      <c r="AA607" s="957"/>
      <c r="AB607" s="957"/>
      <c r="AC607" s="957"/>
      <c r="AD607" s="957"/>
    </row>
    <row r="608" ht="15.75" customHeight="1">
      <c r="A608" s="518"/>
      <c r="B608" s="517"/>
      <c r="C608" s="518"/>
      <c r="D608" s="992"/>
      <c r="E608" s="989"/>
      <c r="F608" s="989"/>
      <c r="G608" s="993"/>
      <c r="H608" s="993"/>
      <c r="I608" s="986"/>
      <c r="J608" s="523"/>
      <c r="K608" s="994"/>
      <c r="L608" s="995"/>
      <c r="M608" s="704"/>
      <c r="N608" s="704"/>
      <c r="O608" s="704"/>
      <c r="P608" s="957"/>
      <c r="Q608" s="957"/>
      <c r="R608" s="957"/>
      <c r="S608" s="957"/>
      <c r="T608" s="957"/>
      <c r="U608" s="957"/>
      <c r="V608" s="957"/>
      <c r="W608" s="957"/>
      <c r="X608" s="957"/>
      <c r="Y608" s="957"/>
      <c r="Z608" s="957"/>
      <c r="AA608" s="957"/>
      <c r="AB608" s="957"/>
      <c r="AC608" s="957"/>
      <c r="AD608" s="957"/>
    </row>
    <row r="609" ht="15.75" customHeight="1">
      <c r="A609" s="518"/>
      <c r="B609" s="517"/>
      <c r="C609" s="518"/>
      <c r="D609" s="992"/>
      <c r="E609" s="989"/>
      <c r="F609" s="989"/>
      <c r="G609" s="993"/>
      <c r="H609" s="993"/>
      <c r="I609" s="986"/>
      <c r="J609" s="523"/>
      <c r="K609" s="994"/>
      <c r="L609" s="995"/>
      <c r="M609" s="704"/>
      <c r="N609" s="704"/>
      <c r="O609" s="704"/>
      <c r="P609" s="957"/>
      <c r="Q609" s="957"/>
      <c r="R609" s="957"/>
      <c r="S609" s="957"/>
      <c r="T609" s="957"/>
      <c r="U609" s="957"/>
      <c r="V609" s="957"/>
      <c r="W609" s="957"/>
      <c r="X609" s="957"/>
      <c r="Y609" s="957"/>
      <c r="Z609" s="957"/>
      <c r="AA609" s="957"/>
      <c r="AB609" s="957"/>
      <c r="AC609" s="957"/>
      <c r="AD609" s="957"/>
    </row>
    <row r="610" ht="15.75" customHeight="1">
      <c r="A610" s="518"/>
      <c r="B610" s="517"/>
      <c r="C610" s="518"/>
      <c r="D610" s="992"/>
      <c r="E610" s="989"/>
      <c r="F610" s="989"/>
      <c r="G610" s="993"/>
      <c r="H610" s="993"/>
      <c r="I610" s="986"/>
      <c r="J610" s="523"/>
      <c r="K610" s="994"/>
      <c r="L610" s="995"/>
      <c r="M610" s="704"/>
      <c r="N610" s="704"/>
      <c r="O610" s="704"/>
      <c r="P610" s="957"/>
      <c r="Q610" s="957"/>
      <c r="R610" s="957"/>
      <c r="S610" s="957"/>
      <c r="T610" s="957"/>
      <c r="U610" s="957"/>
      <c r="V610" s="957"/>
      <c r="W610" s="957"/>
      <c r="X610" s="957"/>
      <c r="Y610" s="957"/>
      <c r="Z610" s="957"/>
      <c r="AA610" s="957"/>
      <c r="AB610" s="957"/>
      <c r="AC610" s="957"/>
      <c r="AD610" s="957"/>
    </row>
    <row r="611" ht="15.75" customHeight="1">
      <c r="A611" s="518"/>
      <c r="B611" s="517"/>
      <c r="C611" s="518"/>
      <c r="D611" s="992"/>
      <c r="E611" s="989"/>
      <c r="F611" s="989"/>
      <c r="G611" s="993"/>
      <c r="H611" s="993"/>
      <c r="I611" s="986"/>
      <c r="J611" s="523"/>
      <c r="K611" s="994"/>
      <c r="L611" s="995"/>
      <c r="M611" s="704"/>
      <c r="N611" s="704"/>
      <c r="O611" s="704"/>
      <c r="P611" s="957"/>
      <c r="Q611" s="957"/>
      <c r="R611" s="957"/>
      <c r="S611" s="957"/>
      <c r="T611" s="957"/>
      <c r="U611" s="957"/>
      <c r="V611" s="957"/>
      <c r="W611" s="957"/>
      <c r="X611" s="957"/>
      <c r="Y611" s="957"/>
      <c r="Z611" s="957"/>
      <c r="AA611" s="957"/>
      <c r="AB611" s="957"/>
      <c r="AC611" s="957"/>
      <c r="AD611" s="957"/>
    </row>
    <row r="612" ht="15.75" customHeight="1">
      <c r="A612" s="518"/>
      <c r="B612" s="517"/>
      <c r="C612" s="518"/>
      <c r="D612" s="992"/>
      <c r="E612" s="989"/>
      <c r="F612" s="989"/>
      <c r="G612" s="993"/>
      <c r="H612" s="993"/>
      <c r="I612" s="986"/>
      <c r="J612" s="523"/>
      <c r="K612" s="994"/>
      <c r="L612" s="995"/>
      <c r="M612" s="704"/>
      <c r="N612" s="704"/>
      <c r="O612" s="704"/>
      <c r="P612" s="957"/>
      <c r="Q612" s="957"/>
      <c r="R612" s="957"/>
      <c r="S612" s="957"/>
      <c r="T612" s="957"/>
      <c r="U612" s="957"/>
      <c r="V612" s="957"/>
      <c r="W612" s="957"/>
      <c r="X612" s="957"/>
      <c r="Y612" s="957"/>
      <c r="Z612" s="957"/>
      <c r="AA612" s="957"/>
      <c r="AB612" s="957"/>
      <c r="AC612" s="957"/>
      <c r="AD612" s="957"/>
    </row>
    <row r="613" ht="15.75" customHeight="1">
      <c r="A613" s="518"/>
      <c r="B613" s="517"/>
      <c r="C613" s="518"/>
      <c r="D613" s="992"/>
      <c r="E613" s="989"/>
      <c r="F613" s="989"/>
      <c r="G613" s="993"/>
      <c r="H613" s="993"/>
      <c r="I613" s="986"/>
      <c r="J613" s="523"/>
      <c r="K613" s="994"/>
      <c r="L613" s="995"/>
      <c r="M613" s="704"/>
      <c r="N613" s="704"/>
      <c r="O613" s="704"/>
      <c r="P613" s="957"/>
      <c r="Q613" s="957"/>
      <c r="R613" s="957"/>
      <c r="S613" s="957"/>
      <c r="T613" s="957"/>
      <c r="U613" s="957"/>
      <c r="V613" s="957"/>
      <c r="W613" s="957"/>
      <c r="X613" s="957"/>
      <c r="Y613" s="957"/>
      <c r="Z613" s="957"/>
      <c r="AA613" s="957"/>
      <c r="AB613" s="957"/>
      <c r="AC613" s="957"/>
      <c r="AD613" s="957"/>
    </row>
    <row r="614" ht="15.75" customHeight="1">
      <c r="A614" s="518"/>
      <c r="B614" s="517"/>
      <c r="C614" s="518"/>
      <c r="D614" s="992"/>
      <c r="E614" s="989"/>
      <c r="F614" s="989"/>
      <c r="G614" s="993"/>
      <c r="H614" s="993"/>
      <c r="I614" s="986"/>
      <c r="J614" s="523"/>
      <c r="K614" s="994"/>
      <c r="L614" s="995"/>
      <c r="M614" s="704"/>
      <c r="N614" s="704"/>
      <c r="O614" s="704"/>
      <c r="P614" s="957"/>
      <c r="Q614" s="957"/>
      <c r="R614" s="957"/>
      <c r="S614" s="957"/>
      <c r="T614" s="957"/>
      <c r="U614" s="957"/>
      <c r="V614" s="957"/>
      <c r="W614" s="957"/>
      <c r="X614" s="957"/>
      <c r="Y614" s="957"/>
      <c r="Z614" s="957"/>
      <c r="AA614" s="957"/>
      <c r="AB614" s="957"/>
      <c r="AC614" s="957"/>
      <c r="AD614" s="957"/>
    </row>
    <row r="615" ht="15.75" customHeight="1">
      <c r="A615" s="518"/>
      <c r="B615" s="517"/>
      <c r="C615" s="518"/>
      <c r="D615" s="992"/>
      <c r="E615" s="989"/>
      <c r="F615" s="989"/>
      <c r="G615" s="993"/>
      <c r="H615" s="993"/>
      <c r="I615" s="986"/>
      <c r="J615" s="523"/>
      <c r="K615" s="994"/>
      <c r="L615" s="995"/>
      <c r="M615" s="704"/>
      <c r="N615" s="704"/>
      <c r="O615" s="704"/>
      <c r="P615" s="957"/>
      <c r="Q615" s="957"/>
      <c r="R615" s="957"/>
      <c r="S615" s="957"/>
      <c r="T615" s="957"/>
      <c r="U615" s="957"/>
      <c r="V615" s="957"/>
      <c r="W615" s="957"/>
      <c r="X615" s="957"/>
      <c r="Y615" s="957"/>
      <c r="Z615" s="957"/>
      <c r="AA615" s="957"/>
      <c r="AB615" s="957"/>
      <c r="AC615" s="957"/>
      <c r="AD615" s="957"/>
    </row>
    <row r="616" ht="15.75" customHeight="1">
      <c r="A616" s="518"/>
      <c r="B616" s="517"/>
      <c r="C616" s="518"/>
      <c r="D616" s="992"/>
      <c r="E616" s="989"/>
      <c r="F616" s="989"/>
      <c r="G616" s="993"/>
      <c r="H616" s="993"/>
      <c r="I616" s="986"/>
      <c r="J616" s="523"/>
      <c r="K616" s="994"/>
      <c r="L616" s="995"/>
      <c r="M616" s="704"/>
      <c r="N616" s="704"/>
      <c r="O616" s="704"/>
      <c r="P616" s="957"/>
      <c r="Q616" s="957"/>
      <c r="R616" s="957"/>
      <c r="S616" s="957"/>
      <c r="T616" s="957"/>
      <c r="U616" s="957"/>
      <c r="V616" s="957"/>
      <c r="W616" s="957"/>
      <c r="X616" s="957"/>
      <c r="Y616" s="957"/>
      <c r="Z616" s="957"/>
      <c r="AA616" s="957"/>
      <c r="AB616" s="957"/>
      <c r="AC616" s="957"/>
      <c r="AD616" s="957"/>
    </row>
    <row r="617" ht="15.75" customHeight="1">
      <c r="A617" s="518"/>
      <c r="B617" s="517"/>
      <c r="C617" s="518"/>
      <c r="D617" s="992"/>
      <c r="E617" s="989"/>
      <c r="F617" s="989"/>
      <c r="G617" s="993"/>
      <c r="H617" s="993"/>
      <c r="I617" s="986"/>
      <c r="J617" s="523"/>
      <c r="K617" s="994"/>
      <c r="L617" s="995"/>
      <c r="M617" s="704"/>
      <c r="N617" s="704"/>
      <c r="O617" s="704"/>
      <c r="P617" s="957"/>
      <c r="Q617" s="957"/>
      <c r="R617" s="957"/>
      <c r="S617" s="957"/>
      <c r="T617" s="957"/>
      <c r="U617" s="957"/>
      <c r="V617" s="957"/>
      <c r="W617" s="957"/>
      <c r="X617" s="957"/>
      <c r="Y617" s="957"/>
      <c r="Z617" s="957"/>
      <c r="AA617" s="957"/>
      <c r="AB617" s="957"/>
      <c r="AC617" s="957"/>
      <c r="AD617" s="957"/>
    </row>
    <row r="618" ht="15.75" customHeight="1">
      <c r="A618" s="518"/>
      <c r="B618" s="517"/>
      <c r="C618" s="518"/>
      <c r="D618" s="992"/>
      <c r="E618" s="989"/>
      <c r="F618" s="989"/>
      <c r="G618" s="993"/>
      <c r="H618" s="993"/>
      <c r="I618" s="986"/>
      <c r="J618" s="523"/>
      <c r="K618" s="994"/>
      <c r="L618" s="995"/>
      <c r="M618" s="704"/>
      <c r="N618" s="704"/>
      <c r="O618" s="704"/>
      <c r="P618" s="957"/>
      <c r="Q618" s="957"/>
      <c r="R618" s="957"/>
      <c r="S618" s="957"/>
      <c r="T618" s="957"/>
      <c r="U618" s="957"/>
      <c r="V618" s="957"/>
      <c r="W618" s="957"/>
      <c r="X618" s="957"/>
      <c r="Y618" s="957"/>
      <c r="Z618" s="957"/>
      <c r="AA618" s="957"/>
      <c r="AB618" s="957"/>
      <c r="AC618" s="957"/>
      <c r="AD618" s="957"/>
    </row>
    <row r="619" ht="15.75" customHeight="1">
      <c r="A619" s="518"/>
      <c r="B619" s="517"/>
      <c r="C619" s="518"/>
      <c r="D619" s="992"/>
      <c r="E619" s="989"/>
      <c r="F619" s="989"/>
      <c r="G619" s="993"/>
      <c r="H619" s="993"/>
      <c r="I619" s="986"/>
      <c r="J619" s="523"/>
      <c r="K619" s="994"/>
      <c r="L619" s="995"/>
      <c r="M619" s="704"/>
      <c r="N619" s="704"/>
      <c r="O619" s="704"/>
      <c r="P619" s="957"/>
      <c r="Q619" s="957"/>
      <c r="R619" s="957"/>
      <c r="S619" s="957"/>
      <c r="T619" s="957"/>
      <c r="U619" s="957"/>
      <c r="V619" s="957"/>
      <c r="W619" s="957"/>
      <c r="X619" s="957"/>
      <c r="Y619" s="957"/>
      <c r="Z619" s="957"/>
      <c r="AA619" s="957"/>
      <c r="AB619" s="957"/>
      <c r="AC619" s="957"/>
      <c r="AD619" s="957"/>
    </row>
    <row r="620" ht="15.75" customHeight="1">
      <c r="A620" s="518"/>
      <c r="B620" s="517"/>
      <c r="C620" s="518"/>
      <c r="D620" s="992"/>
      <c r="E620" s="989"/>
      <c r="F620" s="989"/>
      <c r="G620" s="993"/>
      <c r="H620" s="993"/>
      <c r="I620" s="986"/>
      <c r="J620" s="523"/>
      <c r="K620" s="994"/>
      <c r="L620" s="995"/>
      <c r="M620" s="704"/>
      <c r="N620" s="704"/>
      <c r="O620" s="704"/>
      <c r="P620" s="957"/>
      <c r="Q620" s="957"/>
      <c r="R620" s="957"/>
      <c r="S620" s="957"/>
      <c r="T620" s="957"/>
      <c r="U620" s="957"/>
      <c r="V620" s="957"/>
      <c r="W620" s="957"/>
      <c r="X620" s="957"/>
      <c r="Y620" s="957"/>
      <c r="Z620" s="957"/>
      <c r="AA620" s="957"/>
      <c r="AB620" s="957"/>
      <c r="AC620" s="957"/>
      <c r="AD620" s="957"/>
    </row>
    <row r="621" ht="15.75" customHeight="1">
      <c r="A621" s="518"/>
      <c r="B621" s="517"/>
      <c r="C621" s="518"/>
      <c r="D621" s="992"/>
      <c r="E621" s="989"/>
      <c r="F621" s="989"/>
      <c r="G621" s="993"/>
      <c r="H621" s="993"/>
      <c r="I621" s="986"/>
      <c r="J621" s="523"/>
      <c r="K621" s="994"/>
      <c r="L621" s="995"/>
      <c r="M621" s="704"/>
      <c r="N621" s="704"/>
      <c r="O621" s="704"/>
      <c r="P621" s="957"/>
      <c r="Q621" s="957"/>
      <c r="R621" s="957"/>
      <c r="S621" s="957"/>
      <c r="T621" s="957"/>
      <c r="U621" s="957"/>
      <c r="V621" s="957"/>
      <c r="W621" s="957"/>
      <c r="X621" s="957"/>
      <c r="Y621" s="957"/>
      <c r="Z621" s="957"/>
      <c r="AA621" s="957"/>
      <c r="AB621" s="957"/>
      <c r="AC621" s="957"/>
      <c r="AD621" s="957"/>
    </row>
    <row r="622" ht="15.75" customHeight="1">
      <c r="A622" s="518"/>
      <c r="B622" s="517"/>
      <c r="C622" s="518"/>
      <c r="D622" s="992"/>
      <c r="E622" s="989"/>
      <c r="F622" s="989"/>
      <c r="G622" s="993"/>
      <c r="H622" s="993"/>
      <c r="I622" s="986"/>
      <c r="J622" s="523"/>
      <c r="K622" s="994"/>
      <c r="L622" s="995"/>
      <c r="M622" s="704"/>
      <c r="N622" s="704"/>
      <c r="O622" s="704"/>
      <c r="P622" s="957"/>
      <c r="Q622" s="957"/>
      <c r="R622" s="957"/>
      <c r="S622" s="957"/>
      <c r="T622" s="957"/>
      <c r="U622" s="957"/>
      <c r="V622" s="957"/>
      <c r="W622" s="957"/>
      <c r="X622" s="957"/>
      <c r="Y622" s="957"/>
      <c r="Z622" s="957"/>
      <c r="AA622" s="957"/>
      <c r="AB622" s="957"/>
      <c r="AC622" s="957"/>
      <c r="AD622" s="957"/>
    </row>
    <row r="623" ht="15.75" customHeight="1">
      <c r="A623" s="518"/>
      <c r="B623" s="517"/>
      <c r="C623" s="518"/>
      <c r="D623" s="992"/>
      <c r="E623" s="989"/>
      <c r="F623" s="989"/>
      <c r="G623" s="993"/>
      <c r="H623" s="993"/>
      <c r="I623" s="986"/>
      <c r="J623" s="523"/>
      <c r="K623" s="994"/>
      <c r="L623" s="995"/>
      <c r="M623" s="704"/>
      <c r="N623" s="704"/>
      <c r="O623" s="704"/>
      <c r="P623" s="957"/>
      <c r="Q623" s="957"/>
      <c r="R623" s="957"/>
      <c r="S623" s="957"/>
      <c r="T623" s="957"/>
      <c r="U623" s="957"/>
      <c r="V623" s="957"/>
      <c r="W623" s="957"/>
      <c r="X623" s="957"/>
      <c r="Y623" s="957"/>
      <c r="Z623" s="957"/>
      <c r="AA623" s="957"/>
      <c r="AB623" s="957"/>
      <c r="AC623" s="957"/>
      <c r="AD623" s="957"/>
    </row>
    <row r="624" ht="15.75" customHeight="1">
      <c r="A624" s="518"/>
      <c r="B624" s="517"/>
      <c r="C624" s="518"/>
      <c r="D624" s="992"/>
      <c r="E624" s="989"/>
      <c r="F624" s="989"/>
      <c r="G624" s="993"/>
      <c r="H624" s="993"/>
      <c r="I624" s="986"/>
      <c r="J624" s="523"/>
      <c r="K624" s="994"/>
      <c r="L624" s="995"/>
      <c r="M624" s="704"/>
      <c r="N624" s="704"/>
      <c r="O624" s="704"/>
      <c r="P624" s="957"/>
      <c r="Q624" s="957"/>
      <c r="R624" s="957"/>
      <c r="S624" s="957"/>
      <c r="T624" s="957"/>
      <c r="U624" s="957"/>
      <c r="V624" s="957"/>
      <c r="W624" s="957"/>
      <c r="X624" s="957"/>
      <c r="Y624" s="957"/>
      <c r="Z624" s="957"/>
      <c r="AA624" s="957"/>
      <c r="AB624" s="957"/>
      <c r="AC624" s="957"/>
      <c r="AD624" s="957"/>
    </row>
    <row r="625" ht="15.75" customHeight="1">
      <c r="A625" s="518"/>
      <c r="B625" s="517"/>
      <c r="C625" s="518"/>
      <c r="D625" s="992"/>
      <c r="E625" s="989"/>
      <c r="F625" s="989"/>
      <c r="G625" s="993"/>
      <c r="H625" s="993"/>
      <c r="I625" s="986"/>
      <c r="J625" s="523"/>
      <c r="K625" s="994"/>
      <c r="L625" s="995"/>
      <c r="M625" s="704"/>
      <c r="N625" s="704"/>
      <c r="O625" s="704"/>
      <c r="P625" s="957"/>
      <c r="Q625" s="957"/>
      <c r="R625" s="957"/>
      <c r="S625" s="957"/>
      <c r="T625" s="957"/>
      <c r="U625" s="957"/>
      <c r="V625" s="957"/>
      <c r="W625" s="957"/>
      <c r="X625" s="957"/>
      <c r="Y625" s="957"/>
      <c r="Z625" s="957"/>
      <c r="AA625" s="957"/>
      <c r="AB625" s="957"/>
      <c r="AC625" s="957"/>
      <c r="AD625" s="957"/>
    </row>
    <row r="626" ht="15.75" customHeight="1">
      <c r="A626" s="518"/>
      <c r="B626" s="517"/>
      <c r="C626" s="518"/>
      <c r="D626" s="992"/>
      <c r="E626" s="989"/>
      <c r="F626" s="989"/>
      <c r="G626" s="993"/>
      <c r="H626" s="993"/>
      <c r="I626" s="986"/>
      <c r="J626" s="523"/>
      <c r="K626" s="994"/>
      <c r="L626" s="995"/>
      <c r="M626" s="704"/>
      <c r="N626" s="704"/>
      <c r="O626" s="704"/>
      <c r="P626" s="957"/>
      <c r="Q626" s="957"/>
      <c r="R626" s="957"/>
      <c r="S626" s="957"/>
      <c r="T626" s="957"/>
      <c r="U626" s="957"/>
      <c r="V626" s="957"/>
      <c r="W626" s="957"/>
      <c r="X626" s="957"/>
      <c r="Y626" s="957"/>
      <c r="Z626" s="957"/>
      <c r="AA626" s="957"/>
      <c r="AB626" s="957"/>
      <c r="AC626" s="957"/>
      <c r="AD626" s="957"/>
    </row>
    <row r="627" ht="15.75" customHeight="1">
      <c r="A627" s="518"/>
      <c r="B627" s="517"/>
      <c r="C627" s="518"/>
      <c r="D627" s="992"/>
      <c r="E627" s="989"/>
      <c r="F627" s="989"/>
      <c r="G627" s="993"/>
      <c r="H627" s="993"/>
      <c r="I627" s="986"/>
      <c r="J627" s="523"/>
      <c r="K627" s="994"/>
      <c r="L627" s="995"/>
      <c r="M627" s="704"/>
      <c r="N627" s="704"/>
      <c r="O627" s="704"/>
      <c r="P627" s="957"/>
      <c r="Q627" s="957"/>
      <c r="R627" s="957"/>
      <c r="S627" s="957"/>
      <c r="T627" s="957"/>
      <c r="U627" s="957"/>
      <c r="V627" s="957"/>
      <c r="W627" s="957"/>
      <c r="X627" s="957"/>
      <c r="Y627" s="957"/>
      <c r="Z627" s="957"/>
      <c r="AA627" s="957"/>
      <c r="AB627" s="957"/>
      <c r="AC627" s="957"/>
      <c r="AD627" s="957"/>
    </row>
    <row r="628" ht="15.75" customHeight="1">
      <c r="A628" s="518"/>
      <c r="B628" s="517"/>
      <c r="C628" s="518"/>
      <c r="D628" s="992"/>
      <c r="E628" s="989"/>
      <c r="F628" s="989"/>
      <c r="G628" s="993"/>
      <c r="H628" s="993"/>
      <c r="I628" s="986"/>
      <c r="J628" s="523"/>
      <c r="K628" s="994"/>
      <c r="L628" s="995"/>
      <c r="M628" s="704"/>
      <c r="N628" s="704"/>
      <c r="O628" s="704"/>
      <c r="P628" s="957"/>
      <c r="Q628" s="957"/>
      <c r="R628" s="957"/>
      <c r="S628" s="957"/>
      <c r="T628" s="957"/>
      <c r="U628" s="957"/>
      <c r="V628" s="957"/>
      <c r="W628" s="957"/>
      <c r="X628" s="957"/>
      <c r="Y628" s="957"/>
      <c r="Z628" s="957"/>
      <c r="AA628" s="957"/>
      <c r="AB628" s="957"/>
      <c r="AC628" s="957"/>
      <c r="AD628" s="957"/>
    </row>
    <row r="629" ht="15.75" customHeight="1">
      <c r="A629" s="518"/>
      <c r="B629" s="517"/>
      <c r="C629" s="518"/>
      <c r="D629" s="992"/>
      <c r="E629" s="989"/>
      <c r="F629" s="989"/>
      <c r="G629" s="993"/>
      <c r="H629" s="993"/>
      <c r="I629" s="986"/>
      <c r="J629" s="523"/>
      <c r="K629" s="994"/>
      <c r="L629" s="995"/>
      <c r="M629" s="704"/>
      <c r="N629" s="704"/>
      <c r="O629" s="704"/>
      <c r="P629" s="957"/>
      <c r="Q629" s="957"/>
      <c r="R629" s="957"/>
      <c r="S629" s="957"/>
      <c r="T629" s="957"/>
      <c r="U629" s="957"/>
      <c r="V629" s="957"/>
      <c r="W629" s="957"/>
      <c r="X629" s="957"/>
      <c r="Y629" s="957"/>
      <c r="Z629" s="957"/>
      <c r="AA629" s="957"/>
      <c r="AB629" s="957"/>
      <c r="AC629" s="957"/>
      <c r="AD629" s="957"/>
    </row>
    <row r="630" ht="15.75" customHeight="1">
      <c r="A630" s="518"/>
      <c r="B630" s="517"/>
      <c r="C630" s="518"/>
      <c r="D630" s="992"/>
      <c r="E630" s="989"/>
      <c r="F630" s="989"/>
      <c r="G630" s="993"/>
      <c r="H630" s="993"/>
      <c r="I630" s="986"/>
      <c r="J630" s="523"/>
      <c r="K630" s="994"/>
      <c r="L630" s="995"/>
      <c r="M630" s="704"/>
      <c r="N630" s="704"/>
      <c r="O630" s="704"/>
      <c r="P630" s="957"/>
      <c r="Q630" s="957"/>
      <c r="R630" s="957"/>
      <c r="S630" s="957"/>
      <c r="T630" s="957"/>
      <c r="U630" s="957"/>
      <c r="V630" s="957"/>
      <c r="W630" s="957"/>
      <c r="X630" s="957"/>
      <c r="Y630" s="957"/>
      <c r="Z630" s="957"/>
      <c r="AA630" s="957"/>
      <c r="AB630" s="957"/>
      <c r="AC630" s="957"/>
      <c r="AD630" s="957"/>
    </row>
    <row r="631" ht="15.75" customHeight="1">
      <c r="A631" s="518"/>
      <c r="B631" s="517"/>
      <c r="C631" s="518"/>
      <c r="D631" s="992"/>
      <c r="E631" s="989"/>
      <c r="F631" s="989"/>
      <c r="G631" s="993"/>
      <c r="H631" s="993"/>
      <c r="I631" s="986"/>
      <c r="J631" s="523"/>
      <c r="K631" s="994"/>
      <c r="L631" s="995"/>
      <c r="M631" s="704"/>
      <c r="N631" s="704"/>
      <c r="O631" s="704"/>
      <c r="P631" s="957"/>
      <c r="Q631" s="957"/>
      <c r="R631" s="957"/>
      <c r="S631" s="957"/>
      <c r="T631" s="957"/>
      <c r="U631" s="957"/>
      <c r="V631" s="957"/>
      <c r="W631" s="957"/>
      <c r="X631" s="957"/>
      <c r="Y631" s="957"/>
      <c r="Z631" s="957"/>
      <c r="AA631" s="957"/>
      <c r="AB631" s="957"/>
      <c r="AC631" s="957"/>
      <c r="AD631" s="957"/>
    </row>
    <row r="632" ht="15.75" customHeight="1">
      <c r="A632" s="518"/>
      <c r="B632" s="517"/>
      <c r="C632" s="518"/>
      <c r="D632" s="992"/>
      <c r="E632" s="989"/>
      <c r="F632" s="989"/>
      <c r="G632" s="993"/>
      <c r="H632" s="993"/>
      <c r="I632" s="986"/>
      <c r="J632" s="523"/>
      <c r="K632" s="994"/>
      <c r="L632" s="995"/>
      <c r="M632" s="704"/>
      <c r="N632" s="704"/>
      <c r="O632" s="704"/>
      <c r="P632" s="957"/>
      <c r="Q632" s="957"/>
      <c r="R632" s="957"/>
      <c r="S632" s="957"/>
      <c r="T632" s="957"/>
      <c r="U632" s="957"/>
      <c r="V632" s="957"/>
      <c r="W632" s="957"/>
      <c r="X632" s="957"/>
      <c r="Y632" s="957"/>
      <c r="Z632" s="957"/>
      <c r="AA632" s="957"/>
      <c r="AB632" s="957"/>
      <c r="AC632" s="957"/>
      <c r="AD632" s="957"/>
    </row>
    <row r="633" ht="15.75" customHeight="1">
      <c r="A633" s="518"/>
      <c r="B633" s="517"/>
      <c r="C633" s="518"/>
      <c r="D633" s="992"/>
      <c r="E633" s="989"/>
      <c r="F633" s="989"/>
      <c r="G633" s="993"/>
      <c r="H633" s="993"/>
      <c r="I633" s="986"/>
      <c r="J633" s="523"/>
      <c r="K633" s="994"/>
      <c r="L633" s="995"/>
      <c r="M633" s="704"/>
      <c r="N633" s="704"/>
      <c r="O633" s="704"/>
      <c r="P633" s="957"/>
      <c r="Q633" s="957"/>
      <c r="R633" s="957"/>
      <c r="S633" s="957"/>
      <c r="T633" s="957"/>
      <c r="U633" s="957"/>
      <c r="V633" s="957"/>
      <c r="W633" s="957"/>
      <c r="X633" s="957"/>
      <c r="Y633" s="957"/>
      <c r="Z633" s="957"/>
      <c r="AA633" s="957"/>
      <c r="AB633" s="957"/>
      <c r="AC633" s="957"/>
      <c r="AD633" s="957"/>
    </row>
    <row r="634" ht="15.75" customHeight="1">
      <c r="A634" s="518"/>
      <c r="B634" s="517"/>
      <c r="C634" s="518"/>
      <c r="D634" s="992"/>
      <c r="E634" s="989"/>
      <c r="F634" s="989"/>
      <c r="G634" s="993"/>
      <c r="H634" s="993"/>
      <c r="I634" s="986"/>
      <c r="J634" s="523"/>
      <c r="K634" s="994"/>
      <c r="L634" s="995"/>
      <c r="M634" s="704"/>
      <c r="N634" s="704"/>
      <c r="O634" s="704"/>
      <c r="P634" s="957"/>
      <c r="Q634" s="957"/>
      <c r="R634" s="957"/>
      <c r="S634" s="957"/>
      <c r="T634" s="957"/>
      <c r="U634" s="957"/>
      <c r="V634" s="957"/>
      <c r="W634" s="957"/>
      <c r="X634" s="957"/>
      <c r="Y634" s="957"/>
      <c r="Z634" s="957"/>
      <c r="AA634" s="957"/>
      <c r="AB634" s="957"/>
      <c r="AC634" s="957"/>
      <c r="AD634" s="957"/>
    </row>
    <row r="635" ht="15.75" customHeight="1">
      <c r="A635" s="518"/>
      <c r="B635" s="517"/>
      <c r="C635" s="518"/>
      <c r="D635" s="992"/>
      <c r="E635" s="989"/>
      <c r="F635" s="989"/>
      <c r="G635" s="993"/>
      <c r="H635" s="993"/>
      <c r="I635" s="986"/>
      <c r="J635" s="523"/>
      <c r="K635" s="994"/>
      <c r="L635" s="995"/>
      <c r="M635" s="704"/>
      <c r="N635" s="704"/>
      <c r="O635" s="704"/>
      <c r="P635" s="957"/>
      <c r="Q635" s="957"/>
      <c r="R635" s="957"/>
      <c r="S635" s="957"/>
      <c r="T635" s="957"/>
      <c r="U635" s="957"/>
      <c r="V635" s="957"/>
      <c r="W635" s="957"/>
      <c r="X635" s="957"/>
      <c r="Y635" s="957"/>
      <c r="Z635" s="957"/>
      <c r="AA635" s="957"/>
      <c r="AB635" s="957"/>
      <c r="AC635" s="957"/>
      <c r="AD635" s="957"/>
    </row>
    <row r="636" ht="15.75" customHeight="1">
      <c r="A636" s="518"/>
      <c r="B636" s="517"/>
      <c r="C636" s="518"/>
      <c r="D636" s="992"/>
      <c r="E636" s="989"/>
      <c r="F636" s="989"/>
      <c r="G636" s="993"/>
      <c r="H636" s="993"/>
      <c r="I636" s="986"/>
      <c r="J636" s="523"/>
      <c r="K636" s="994"/>
      <c r="L636" s="995"/>
      <c r="M636" s="704"/>
      <c r="N636" s="704"/>
      <c r="O636" s="704"/>
      <c r="P636" s="957"/>
      <c r="Q636" s="957"/>
      <c r="R636" s="957"/>
      <c r="S636" s="957"/>
      <c r="T636" s="957"/>
      <c r="U636" s="957"/>
      <c r="V636" s="957"/>
      <c r="W636" s="957"/>
      <c r="X636" s="957"/>
      <c r="Y636" s="957"/>
      <c r="Z636" s="957"/>
      <c r="AA636" s="957"/>
      <c r="AB636" s="957"/>
      <c r="AC636" s="957"/>
      <c r="AD636" s="957"/>
    </row>
    <row r="637" ht="15.75" customHeight="1">
      <c r="A637" s="518"/>
      <c r="B637" s="517"/>
      <c r="C637" s="518"/>
      <c r="D637" s="992"/>
      <c r="E637" s="989"/>
      <c r="F637" s="989"/>
      <c r="G637" s="993"/>
      <c r="H637" s="993"/>
      <c r="I637" s="986"/>
      <c r="J637" s="523"/>
      <c r="K637" s="994"/>
      <c r="L637" s="995"/>
      <c r="M637" s="704"/>
      <c r="N637" s="704"/>
      <c r="O637" s="704"/>
      <c r="P637" s="957"/>
      <c r="Q637" s="957"/>
      <c r="R637" s="957"/>
      <c r="S637" s="957"/>
      <c r="T637" s="957"/>
      <c r="U637" s="957"/>
      <c r="V637" s="957"/>
      <c r="W637" s="957"/>
      <c r="X637" s="957"/>
      <c r="Y637" s="957"/>
      <c r="Z637" s="957"/>
      <c r="AA637" s="957"/>
      <c r="AB637" s="957"/>
      <c r="AC637" s="957"/>
      <c r="AD637" s="957"/>
    </row>
    <row r="638" ht="15.75" customHeight="1">
      <c r="A638" s="518"/>
      <c r="B638" s="517"/>
      <c r="C638" s="518"/>
      <c r="D638" s="992"/>
      <c r="E638" s="989"/>
      <c r="F638" s="989"/>
      <c r="G638" s="993"/>
      <c r="H638" s="993"/>
      <c r="I638" s="986"/>
      <c r="J638" s="523"/>
      <c r="K638" s="994"/>
      <c r="L638" s="995"/>
      <c r="M638" s="704"/>
      <c r="N638" s="704"/>
      <c r="O638" s="704"/>
      <c r="P638" s="957"/>
      <c r="Q638" s="957"/>
      <c r="R638" s="957"/>
      <c r="S638" s="957"/>
      <c r="T638" s="957"/>
      <c r="U638" s="957"/>
      <c r="V638" s="957"/>
      <c r="W638" s="957"/>
      <c r="X638" s="957"/>
      <c r="Y638" s="957"/>
      <c r="Z638" s="957"/>
      <c r="AA638" s="957"/>
      <c r="AB638" s="957"/>
      <c r="AC638" s="957"/>
      <c r="AD638" s="957"/>
    </row>
    <row r="639" ht="15.75" customHeight="1">
      <c r="A639" s="518"/>
      <c r="B639" s="517"/>
      <c r="C639" s="518"/>
      <c r="D639" s="992"/>
      <c r="E639" s="989"/>
      <c r="F639" s="989"/>
      <c r="G639" s="993"/>
      <c r="H639" s="993"/>
      <c r="I639" s="986"/>
      <c r="J639" s="523"/>
      <c r="K639" s="994"/>
      <c r="L639" s="995"/>
      <c r="M639" s="704"/>
      <c r="N639" s="704"/>
      <c r="O639" s="704"/>
      <c r="P639" s="957"/>
      <c r="Q639" s="957"/>
      <c r="R639" s="957"/>
      <c r="S639" s="957"/>
      <c r="T639" s="957"/>
      <c r="U639" s="957"/>
      <c r="V639" s="957"/>
      <c r="W639" s="957"/>
      <c r="X639" s="957"/>
      <c r="Y639" s="957"/>
      <c r="Z639" s="957"/>
      <c r="AA639" s="957"/>
      <c r="AB639" s="957"/>
      <c r="AC639" s="957"/>
      <c r="AD639" s="957"/>
    </row>
    <row r="640" ht="15.75" customHeight="1">
      <c r="A640" s="518"/>
      <c r="B640" s="517"/>
      <c r="C640" s="518"/>
      <c r="D640" s="992"/>
      <c r="E640" s="989"/>
      <c r="F640" s="989"/>
      <c r="G640" s="993"/>
      <c r="H640" s="993"/>
      <c r="I640" s="986"/>
      <c r="J640" s="523"/>
      <c r="K640" s="994"/>
      <c r="L640" s="995"/>
      <c r="M640" s="704"/>
      <c r="N640" s="704"/>
      <c r="O640" s="704"/>
      <c r="P640" s="957"/>
      <c r="Q640" s="957"/>
      <c r="R640" s="957"/>
      <c r="S640" s="957"/>
      <c r="T640" s="957"/>
      <c r="U640" s="957"/>
      <c r="V640" s="957"/>
      <c r="W640" s="957"/>
      <c r="X640" s="957"/>
      <c r="Y640" s="957"/>
      <c r="Z640" s="957"/>
      <c r="AA640" s="957"/>
      <c r="AB640" s="957"/>
      <c r="AC640" s="957"/>
      <c r="AD640" s="957"/>
    </row>
    <row r="641" ht="15.75" customHeight="1">
      <c r="A641" s="518"/>
      <c r="B641" s="517"/>
      <c r="C641" s="518"/>
      <c r="D641" s="992"/>
      <c r="E641" s="989"/>
      <c r="F641" s="989"/>
      <c r="G641" s="993"/>
      <c r="H641" s="993"/>
      <c r="I641" s="986"/>
      <c r="J641" s="523"/>
      <c r="K641" s="994"/>
      <c r="L641" s="995"/>
      <c r="M641" s="704"/>
      <c r="N641" s="704"/>
      <c r="O641" s="704"/>
      <c r="P641" s="957"/>
      <c r="Q641" s="957"/>
      <c r="R641" s="957"/>
      <c r="S641" s="957"/>
      <c r="T641" s="957"/>
      <c r="U641" s="957"/>
      <c r="V641" s="957"/>
      <c r="W641" s="957"/>
      <c r="X641" s="957"/>
      <c r="Y641" s="957"/>
      <c r="Z641" s="957"/>
      <c r="AA641" s="957"/>
      <c r="AB641" s="957"/>
      <c r="AC641" s="957"/>
      <c r="AD641" s="957"/>
    </row>
    <row r="642" ht="15.75" customHeight="1">
      <c r="A642" s="518"/>
      <c r="B642" s="517"/>
      <c r="C642" s="518"/>
      <c r="D642" s="992"/>
      <c r="E642" s="989"/>
      <c r="F642" s="989"/>
      <c r="G642" s="993"/>
      <c r="H642" s="993"/>
      <c r="I642" s="986"/>
      <c r="J642" s="523"/>
      <c r="K642" s="994"/>
      <c r="L642" s="995"/>
      <c r="M642" s="704"/>
      <c r="N642" s="704"/>
      <c r="O642" s="704"/>
      <c r="P642" s="957"/>
      <c r="Q642" s="957"/>
      <c r="R642" s="957"/>
      <c r="S642" s="957"/>
      <c r="T642" s="957"/>
      <c r="U642" s="957"/>
      <c r="V642" s="957"/>
      <c r="W642" s="957"/>
      <c r="X642" s="957"/>
      <c r="Y642" s="957"/>
      <c r="Z642" s="957"/>
      <c r="AA642" s="957"/>
      <c r="AB642" s="957"/>
      <c r="AC642" s="957"/>
      <c r="AD642" s="957"/>
    </row>
    <row r="643" ht="15.75" customHeight="1">
      <c r="A643" s="518"/>
      <c r="B643" s="517"/>
      <c r="C643" s="518"/>
      <c r="D643" s="992"/>
      <c r="E643" s="989"/>
      <c r="F643" s="989"/>
      <c r="G643" s="993"/>
      <c r="H643" s="993"/>
      <c r="I643" s="986"/>
      <c r="J643" s="523"/>
      <c r="K643" s="994"/>
      <c r="L643" s="995"/>
      <c r="M643" s="704"/>
      <c r="N643" s="704"/>
      <c r="O643" s="704"/>
      <c r="P643" s="957"/>
      <c r="Q643" s="957"/>
      <c r="R643" s="957"/>
      <c r="S643" s="957"/>
      <c r="T643" s="957"/>
      <c r="U643" s="957"/>
      <c r="V643" s="957"/>
      <c r="W643" s="957"/>
      <c r="X643" s="957"/>
      <c r="Y643" s="957"/>
      <c r="Z643" s="957"/>
      <c r="AA643" s="957"/>
      <c r="AB643" s="957"/>
      <c r="AC643" s="957"/>
      <c r="AD643" s="957"/>
    </row>
    <row r="644" ht="15.75" customHeight="1">
      <c r="A644" s="518"/>
      <c r="B644" s="517"/>
      <c r="C644" s="518"/>
      <c r="D644" s="992"/>
      <c r="E644" s="989"/>
      <c r="F644" s="989"/>
      <c r="G644" s="993"/>
      <c r="H644" s="993"/>
      <c r="I644" s="986"/>
      <c r="J644" s="523"/>
      <c r="K644" s="994"/>
      <c r="L644" s="995"/>
      <c r="M644" s="704"/>
      <c r="N644" s="704"/>
      <c r="O644" s="704"/>
      <c r="P644" s="957"/>
      <c r="Q644" s="957"/>
      <c r="R644" s="957"/>
      <c r="S644" s="957"/>
      <c r="T644" s="957"/>
      <c r="U644" s="957"/>
      <c r="V644" s="957"/>
      <c r="W644" s="957"/>
      <c r="X644" s="957"/>
      <c r="Y644" s="957"/>
      <c r="Z644" s="957"/>
      <c r="AA644" s="957"/>
      <c r="AB644" s="957"/>
      <c r="AC644" s="957"/>
      <c r="AD644" s="957"/>
    </row>
    <row r="645" ht="15.75" customHeight="1">
      <c r="A645" s="518"/>
      <c r="B645" s="517"/>
      <c r="C645" s="518"/>
      <c r="D645" s="992"/>
      <c r="E645" s="989"/>
      <c r="F645" s="989"/>
      <c r="G645" s="993"/>
      <c r="H645" s="993"/>
      <c r="I645" s="986"/>
      <c r="J645" s="523"/>
      <c r="K645" s="994"/>
      <c r="L645" s="995"/>
      <c r="M645" s="704"/>
      <c r="N645" s="704"/>
      <c r="O645" s="704"/>
      <c r="P645" s="957"/>
      <c r="Q645" s="957"/>
      <c r="R645" s="957"/>
      <c r="S645" s="957"/>
      <c r="T645" s="957"/>
      <c r="U645" s="957"/>
      <c r="V645" s="957"/>
      <c r="W645" s="957"/>
      <c r="X645" s="957"/>
      <c r="Y645" s="957"/>
      <c r="Z645" s="957"/>
      <c r="AA645" s="957"/>
      <c r="AB645" s="957"/>
      <c r="AC645" s="957"/>
      <c r="AD645" s="957"/>
    </row>
    <row r="646" ht="15.75" customHeight="1">
      <c r="A646" s="518"/>
      <c r="B646" s="517"/>
      <c r="C646" s="518"/>
      <c r="D646" s="992"/>
      <c r="E646" s="989"/>
      <c r="F646" s="989"/>
      <c r="G646" s="993"/>
      <c r="H646" s="993"/>
      <c r="I646" s="986"/>
      <c r="J646" s="523"/>
      <c r="K646" s="994"/>
      <c r="L646" s="995"/>
      <c r="M646" s="704"/>
      <c r="N646" s="704"/>
      <c r="O646" s="704"/>
      <c r="P646" s="957"/>
      <c r="Q646" s="957"/>
      <c r="R646" s="957"/>
      <c r="S646" s="957"/>
      <c r="T646" s="957"/>
      <c r="U646" s="957"/>
      <c r="V646" s="957"/>
      <c r="W646" s="957"/>
      <c r="X646" s="957"/>
      <c r="Y646" s="957"/>
      <c r="Z646" s="957"/>
      <c r="AA646" s="957"/>
      <c r="AB646" s="957"/>
      <c r="AC646" s="957"/>
      <c r="AD646" s="957"/>
    </row>
    <row r="647" ht="15.75" customHeight="1">
      <c r="A647" s="518"/>
      <c r="B647" s="517"/>
      <c r="C647" s="518"/>
      <c r="D647" s="992"/>
      <c r="E647" s="989"/>
      <c r="F647" s="989"/>
      <c r="G647" s="993"/>
      <c r="H647" s="993"/>
      <c r="I647" s="986"/>
      <c r="J647" s="523"/>
      <c r="K647" s="994"/>
      <c r="L647" s="995"/>
      <c r="M647" s="704"/>
      <c r="N647" s="704"/>
      <c r="O647" s="704"/>
      <c r="P647" s="957"/>
      <c r="Q647" s="957"/>
      <c r="R647" s="957"/>
      <c r="S647" s="957"/>
      <c r="T647" s="957"/>
      <c r="U647" s="957"/>
      <c r="V647" s="957"/>
      <c r="W647" s="957"/>
      <c r="X647" s="957"/>
      <c r="Y647" s="957"/>
      <c r="Z647" s="957"/>
      <c r="AA647" s="957"/>
      <c r="AB647" s="957"/>
      <c r="AC647" s="957"/>
      <c r="AD647" s="957"/>
    </row>
    <row r="648" ht="15.75" customHeight="1">
      <c r="A648" s="518"/>
      <c r="B648" s="517"/>
      <c r="C648" s="518"/>
      <c r="D648" s="992"/>
      <c r="E648" s="989"/>
      <c r="F648" s="989"/>
      <c r="G648" s="993"/>
      <c r="H648" s="993"/>
      <c r="I648" s="986"/>
      <c r="J648" s="523"/>
      <c r="K648" s="994"/>
      <c r="L648" s="995"/>
      <c r="M648" s="704"/>
      <c r="N648" s="704"/>
      <c r="O648" s="704"/>
      <c r="P648" s="957"/>
      <c r="Q648" s="957"/>
      <c r="R648" s="957"/>
      <c r="S648" s="957"/>
      <c r="T648" s="957"/>
      <c r="U648" s="957"/>
      <c r="V648" s="957"/>
      <c r="W648" s="957"/>
      <c r="X648" s="957"/>
      <c r="Y648" s="957"/>
      <c r="Z648" s="957"/>
      <c r="AA648" s="957"/>
      <c r="AB648" s="957"/>
      <c r="AC648" s="957"/>
      <c r="AD648" s="957"/>
    </row>
    <row r="649" ht="15.75" customHeight="1">
      <c r="A649" s="518"/>
      <c r="B649" s="517"/>
      <c r="C649" s="518"/>
      <c r="D649" s="992"/>
      <c r="E649" s="989"/>
      <c r="F649" s="989"/>
      <c r="G649" s="993"/>
      <c r="H649" s="993"/>
      <c r="I649" s="986"/>
      <c r="J649" s="523"/>
      <c r="K649" s="994"/>
      <c r="L649" s="995"/>
      <c r="M649" s="704"/>
      <c r="N649" s="704"/>
      <c r="O649" s="704"/>
      <c r="P649" s="957"/>
      <c r="Q649" s="957"/>
      <c r="R649" s="957"/>
      <c r="S649" s="957"/>
      <c r="T649" s="957"/>
      <c r="U649" s="957"/>
      <c r="V649" s="957"/>
      <c r="W649" s="957"/>
      <c r="X649" s="957"/>
      <c r="Y649" s="957"/>
      <c r="Z649" s="957"/>
      <c r="AA649" s="957"/>
      <c r="AB649" s="957"/>
      <c r="AC649" s="957"/>
      <c r="AD649" s="957"/>
    </row>
    <row r="650" ht="15.75" customHeight="1">
      <c r="A650" s="518"/>
      <c r="B650" s="517"/>
      <c r="C650" s="518"/>
      <c r="D650" s="992"/>
      <c r="E650" s="989"/>
      <c r="F650" s="989"/>
      <c r="G650" s="993"/>
      <c r="H650" s="993"/>
      <c r="I650" s="986"/>
      <c r="J650" s="523"/>
      <c r="K650" s="994"/>
      <c r="L650" s="995"/>
      <c r="M650" s="704"/>
      <c r="N650" s="704"/>
      <c r="O650" s="704"/>
      <c r="P650" s="957"/>
      <c r="Q650" s="957"/>
      <c r="R650" s="957"/>
      <c r="S650" s="957"/>
      <c r="T650" s="957"/>
      <c r="U650" s="957"/>
      <c r="V650" s="957"/>
      <c r="W650" s="957"/>
      <c r="X650" s="957"/>
      <c r="Y650" s="957"/>
      <c r="Z650" s="957"/>
      <c r="AA650" s="957"/>
      <c r="AB650" s="957"/>
      <c r="AC650" s="957"/>
      <c r="AD650" s="957"/>
    </row>
    <row r="651" ht="15.75" customHeight="1">
      <c r="A651" s="518"/>
      <c r="B651" s="517"/>
      <c r="C651" s="518"/>
      <c r="D651" s="992"/>
      <c r="E651" s="989"/>
      <c r="F651" s="989"/>
      <c r="G651" s="993"/>
      <c r="H651" s="993"/>
      <c r="I651" s="986"/>
      <c r="J651" s="523"/>
      <c r="K651" s="994"/>
      <c r="L651" s="995"/>
      <c r="M651" s="704"/>
      <c r="N651" s="704"/>
      <c r="O651" s="704"/>
      <c r="P651" s="957"/>
      <c r="Q651" s="957"/>
      <c r="R651" s="957"/>
      <c r="S651" s="957"/>
      <c r="T651" s="957"/>
      <c r="U651" s="957"/>
      <c r="V651" s="957"/>
      <c r="W651" s="957"/>
      <c r="X651" s="957"/>
      <c r="Y651" s="957"/>
      <c r="Z651" s="957"/>
      <c r="AA651" s="957"/>
      <c r="AB651" s="957"/>
      <c r="AC651" s="957"/>
      <c r="AD651" s="957"/>
    </row>
    <row r="652" ht="15.75" customHeight="1">
      <c r="A652" s="518"/>
      <c r="B652" s="517"/>
      <c r="C652" s="518"/>
      <c r="D652" s="992"/>
      <c r="E652" s="989"/>
      <c r="F652" s="989"/>
      <c r="G652" s="993"/>
      <c r="H652" s="993"/>
      <c r="I652" s="986"/>
      <c r="J652" s="523"/>
      <c r="K652" s="994"/>
      <c r="L652" s="995"/>
      <c r="M652" s="704"/>
      <c r="N652" s="704"/>
      <c r="O652" s="704"/>
      <c r="P652" s="957"/>
      <c r="Q652" s="957"/>
      <c r="R652" s="957"/>
      <c r="S652" s="957"/>
      <c r="T652" s="957"/>
      <c r="U652" s="957"/>
      <c r="V652" s="957"/>
      <c r="W652" s="957"/>
      <c r="X652" s="957"/>
      <c r="Y652" s="957"/>
      <c r="Z652" s="957"/>
      <c r="AA652" s="957"/>
      <c r="AB652" s="957"/>
      <c r="AC652" s="957"/>
      <c r="AD652" s="957"/>
    </row>
    <row r="653" ht="15.75" customHeight="1">
      <c r="A653" s="518"/>
      <c r="B653" s="517"/>
      <c r="C653" s="518"/>
      <c r="D653" s="992"/>
      <c r="E653" s="989"/>
      <c r="F653" s="989"/>
      <c r="G653" s="993"/>
      <c r="H653" s="993"/>
      <c r="I653" s="986"/>
      <c r="J653" s="523"/>
      <c r="K653" s="994"/>
      <c r="L653" s="995"/>
      <c r="M653" s="704"/>
      <c r="N653" s="704"/>
      <c r="O653" s="704"/>
      <c r="P653" s="957"/>
      <c r="Q653" s="957"/>
      <c r="R653" s="957"/>
      <c r="S653" s="957"/>
      <c r="T653" s="957"/>
      <c r="U653" s="957"/>
      <c r="V653" s="957"/>
      <c r="W653" s="957"/>
      <c r="X653" s="957"/>
      <c r="Y653" s="957"/>
      <c r="Z653" s="957"/>
      <c r="AA653" s="957"/>
      <c r="AB653" s="957"/>
      <c r="AC653" s="957"/>
      <c r="AD653" s="957"/>
    </row>
    <row r="654" ht="15.75" customHeight="1">
      <c r="A654" s="518"/>
      <c r="B654" s="517"/>
      <c r="C654" s="518"/>
      <c r="D654" s="992"/>
      <c r="E654" s="989"/>
      <c r="F654" s="989"/>
      <c r="G654" s="993"/>
      <c r="H654" s="993"/>
      <c r="I654" s="986"/>
      <c r="J654" s="523"/>
      <c r="K654" s="994"/>
      <c r="L654" s="995"/>
      <c r="M654" s="704"/>
      <c r="N654" s="704"/>
      <c r="O654" s="704"/>
      <c r="P654" s="957"/>
      <c r="Q654" s="957"/>
      <c r="R654" s="957"/>
      <c r="S654" s="957"/>
      <c r="T654" s="957"/>
      <c r="U654" s="957"/>
      <c r="V654" s="957"/>
      <c r="W654" s="957"/>
      <c r="X654" s="957"/>
      <c r="Y654" s="957"/>
      <c r="Z654" s="957"/>
      <c r="AA654" s="957"/>
      <c r="AB654" s="957"/>
      <c r="AC654" s="957"/>
      <c r="AD654" s="957"/>
    </row>
    <row r="655" ht="15.75" customHeight="1">
      <c r="A655" s="518"/>
      <c r="B655" s="517"/>
      <c r="C655" s="518"/>
      <c r="D655" s="992"/>
      <c r="E655" s="989"/>
      <c r="F655" s="989"/>
      <c r="G655" s="993"/>
      <c r="H655" s="993"/>
      <c r="I655" s="986"/>
      <c r="J655" s="523"/>
      <c r="K655" s="994"/>
      <c r="L655" s="995"/>
      <c r="M655" s="704"/>
      <c r="N655" s="704"/>
      <c r="O655" s="704"/>
      <c r="P655" s="957"/>
      <c r="Q655" s="957"/>
      <c r="R655" s="957"/>
      <c r="S655" s="957"/>
      <c r="T655" s="957"/>
      <c r="U655" s="957"/>
      <c r="V655" s="957"/>
      <c r="W655" s="957"/>
      <c r="X655" s="957"/>
      <c r="Y655" s="957"/>
      <c r="Z655" s="957"/>
      <c r="AA655" s="957"/>
      <c r="AB655" s="957"/>
      <c r="AC655" s="957"/>
      <c r="AD655" s="957"/>
    </row>
    <row r="656" ht="15.75" customHeight="1">
      <c r="A656" s="518"/>
      <c r="B656" s="517"/>
      <c r="C656" s="518"/>
      <c r="D656" s="992"/>
      <c r="E656" s="989"/>
      <c r="F656" s="989"/>
      <c r="G656" s="993"/>
      <c r="H656" s="993"/>
      <c r="I656" s="986"/>
      <c r="J656" s="523"/>
      <c r="K656" s="994"/>
      <c r="L656" s="995"/>
      <c r="M656" s="704"/>
      <c r="N656" s="704"/>
      <c r="O656" s="704"/>
      <c r="P656" s="957"/>
      <c r="Q656" s="957"/>
      <c r="R656" s="957"/>
      <c r="S656" s="957"/>
      <c r="T656" s="957"/>
      <c r="U656" s="957"/>
      <c r="V656" s="957"/>
      <c r="W656" s="957"/>
      <c r="X656" s="957"/>
      <c r="Y656" s="957"/>
      <c r="Z656" s="957"/>
      <c r="AA656" s="957"/>
      <c r="AB656" s="957"/>
      <c r="AC656" s="957"/>
      <c r="AD656" s="957"/>
    </row>
    <row r="657" ht="15.75" customHeight="1">
      <c r="A657" s="518"/>
      <c r="B657" s="517"/>
      <c r="C657" s="518"/>
      <c r="D657" s="992"/>
      <c r="E657" s="989"/>
      <c r="F657" s="989"/>
      <c r="G657" s="993"/>
      <c r="H657" s="993"/>
      <c r="I657" s="986"/>
      <c r="J657" s="523"/>
      <c r="K657" s="994"/>
      <c r="L657" s="995"/>
      <c r="M657" s="704"/>
      <c r="N657" s="704"/>
      <c r="O657" s="704"/>
      <c r="P657" s="957"/>
      <c r="Q657" s="957"/>
      <c r="R657" s="957"/>
      <c r="S657" s="957"/>
      <c r="T657" s="957"/>
      <c r="U657" s="957"/>
      <c r="V657" s="957"/>
      <c r="W657" s="957"/>
      <c r="X657" s="957"/>
      <c r="Y657" s="957"/>
      <c r="Z657" s="957"/>
      <c r="AA657" s="957"/>
      <c r="AB657" s="957"/>
      <c r="AC657" s="957"/>
      <c r="AD657" s="957"/>
    </row>
    <row r="658" ht="15.75" customHeight="1">
      <c r="A658" s="518"/>
      <c r="B658" s="517"/>
      <c r="C658" s="518"/>
      <c r="D658" s="992"/>
      <c r="E658" s="989"/>
      <c r="F658" s="989"/>
      <c r="G658" s="993"/>
      <c r="H658" s="993"/>
      <c r="I658" s="986"/>
      <c r="J658" s="523"/>
      <c r="K658" s="994"/>
      <c r="L658" s="995"/>
      <c r="M658" s="704"/>
      <c r="N658" s="704"/>
      <c r="O658" s="704"/>
      <c r="P658" s="957"/>
      <c r="Q658" s="957"/>
      <c r="R658" s="957"/>
      <c r="S658" s="957"/>
      <c r="T658" s="957"/>
      <c r="U658" s="957"/>
      <c r="V658" s="957"/>
      <c r="W658" s="957"/>
      <c r="X658" s="957"/>
      <c r="Y658" s="957"/>
      <c r="Z658" s="957"/>
      <c r="AA658" s="957"/>
      <c r="AB658" s="957"/>
      <c r="AC658" s="957"/>
      <c r="AD658" s="957"/>
    </row>
    <row r="659" ht="15.75" customHeight="1">
      <c r="A659" s="518"/>
      <c r="B659" s="517"/>
      <c r="C659" s="518"/>
      <c r="D659" s="992"/>
      <c r="E659" s="989"/>
      <c r="F659" s="989"/>
      <c r="G659" s="993"/>
      <c r="H659" s="993"/>
      <c r="I659" s="986"/>
      <c r="J659" s="523"/>
      <c r="K659" s="994"/>
      <c r="L659" s="995"/>
      <c r="M659" s="704"/>
      <c r="N659" s="704"/>
      <c r="O659" s="704"/>
      <c r="P659" s="957"/>
      <c r="Q659" s="957"/>
      <c r="R659" s="957"/>
      <c r="S659" s="957"/>
      <c r="T659" s="957"/>
      <c r="U659" s="957"/>
      <c r="V659" s="957"/>
      <c r="W659" s="957"/>
      <c r="X659" s="957"/>
      <c r="Y659" s="957"/>
      <c r="Z659" s="957"/>
      <c r="AA659" s="957"/>
      <c r="AB659" s="957"/>
      <c r="AC659" s="957"/>
      <c r="AD659" s="957"/>
    </row>
    <row r="660" ht="15.75" customHeight="1">
      <c r="A660" s="518"/>
      <c r="B660" s="517"/>
      <c r="C660" s="518"/>
      <c r="D660" s="992"/>
      <c r="E660" s="989"/>
      <c r="F660" s="989"/>
      <c r="G660" s="993"/>
      <c r="H660" s="993"/>
      <c r="I660" s="986"/>
      <c r="J660" s="523"/>
      <c r="K660" s="994"/>
      <c r="L660" s="995"/>
      <c r="M660" s="704"/>
      <c r="N660" s="704"/>
      <c r="O660" s="704"/>
      <c r="P660" s="957"/>
      <c r="Q660" s="957"/>
      <c r="R660" s="957"/>
      <c r="S660" s="957"/>
      <c r="T660" s="957"/>
      <c r="U660" s="957"/>
      <c r="V660" s="957"/>
      <c r="W660" s="957"/>
      <c r="X660" s="957"/>
      <c r="Y660" s="957"/>
      <c r="Z660" s="957"/>
      <c r="AA660" s="957"/>
      <c r="AB660" s="957"/>
      <c r="AC660" s="957"/>
      <c r="AD660" s="957"/>
    </row>
    <row r="661" ht="15.75" customHeight="1">
      <c r="A661" s="518"/>
      <c r="B661" s="517"/>
      <c r="C661" s="518"/>
      <c r="D661" s="992"/>
      <c r="E661" s="989"/>
      <c r="F661" s="989"/>
      <c r="G661" s="993"/>
      <c r="H661" s="993"/>
      <c r="I661" s="986"/>
      <c r="J661" s="523"/>
      <c r="K661" s="994"/>
      <c r="L661" s="995"/>
      <c r="M661" s="704"/>
      <c r="N661" s="704"/>
      <c r="O661" s="704"/>
      <c r="P661" s="957"/>
      <c r="Q661" s="957"/>
      <c r="R661" s="957"/>
      <c r="S661" s="957"/>
      <c r="T661" s="957"/>
      <c r="U661" s="957"/>
      <c r="V661" s="957"/>
      <c r="W661" s="957"/>
      <c r="X661" s="957"/>
      <c r="Y661" s="957"/>
      <c r="Z661" s="957"/>
      <c r="AA661" s="957"/>
      <c r="AB661" s="957"/>
      <c r="AC661" s="957"/>
      <c r="AD661" s="957"/>
    </row>
    <row r="662" ht="15.75" customHeight="1">
      <c r="A662" s="518"/>
      <c r="B662" s="517"/>
      <c r="C662" s="518"/>
      <c r="D662" s="992"/>
      <c r="E662" s="989"/>
      <c r="F662" s="989"/>
      <c r="G662" s="993"/>
      <c r="H662" s="993"/>
      <c r="I662" s="986"/>
      <c r="J662" s="523"/>
      <c r="K662" s="994"/>
      <c r="L662" s="995"/>
      <c r="M662" s="704"/>
      <c r="N662" s="704"/>
      <c r="O662" s="704"/>
      <c r="P662" s="957"/>
      <c r="Q662" s="957"/>
      <c r="R662" s="957"/>
      <c r="S662" s="957"/>
      <c r="T662" s="957"/>
      <c r="U662" s="957"/>
      <c r="V662" s="957"/>
      <c r="W662" s="957"/>
      <c r="X662" s="957"/>
      <c r="Y662" s="957"/>
      <c r="Z662" s="957"/>
      <c r="AA662" s="957"/>
      <c r="AB662" s="957"/>
      <c r="AC662" s="957"/>
      <c r="AD662" s="957"/>
    </row>
    <row r="663" ht="15.75" customHeight="1">
      <c r="A663" s="518"/>
      <c r="B663" s="517"/>
      <c r="C663" s="518"/>
      <c r="D663" s="992"/>
      <c r="E663" s="989"/>
      <c r="F663" s="989"/>
      <c r="G663" s="993"/>
      <c r="H663" s="993"/>
      <c r="I663" s="986"/>
      <c r="J663" s="523"/>
      <c r="K663" s="994"/>
      <c r="L663" s="995"/>
      <c r="M663" s="704"/>
      <c r="N663" s="704"/>
      <c r="O663" s="704"/>
      <c r="P663" s="957"/>
      <c r="Q663" s="957"/>
      <c r="R663" s="957"/>
      <c r="S663" s="957"/>
      <c r="T663" s="957"/>
      <c r="U663" s="957"/>
      <c r="V663" s="957"/>
      <c r="W663" s="957"/>
      <c r="X663" s="957"/>
      <c r="Y663" s="957"/>
      <c r="Z663" s="957"/>
      <c r="AA663" s="957"/>
      <c r="AB663" s="957"/>
      <c r="AC663" s="957"/>
      <c r="AD663" s="957"/>
    </row>
    <row r="664" ht="15.75" customHeight="1">
      <c r="A664" s="518"/>
      <c r="B664" s="517"/>
      <c r="C664" s="518"/>
      <c r="D664" s="992"/>
      <c r="E664" s="989"/>
      <c r="F664" s="989"/>
      <c r="G664" s="993"/>
      <c r="H664" s="993"/>
      <c r="I664" s="986"/>
      <c r="J664" s="523"/>
      <c r="K664" s="994"/>
      <c r="L664" s="995"/>
      <c r="M664" s="704"/>
      <c r="N664" s="704"/>
      <c r="O664" s="704"/>
      <c r="P664" s="957"/>
      <c r="Q664" s="957"/>
      <c r="R664" s="957"/>
      <c r="S664" s="957"/>
      <c r="T664" s="957"/>
      <c r="U664" s="957"/>
      <c r="V664" s="957"/>
      <c r="W664" s="957"/>
      <c r="X664" s="957"/>
      <c r="Y664" s="957"/>
      <c r="Z664" s="957"/>
      <c r="AA664" s="957"/>
      <c r="AB664" s="957"/>
      <c r="AC664" s="957"/>
      <c r="AD664" s="957"/>
    </row>
    <row r="665" ht="15.75" customHeight="1">
      <c r="A665" s="518"/>
      <c r="B665" s="517"/>
      <c r="C665" s="518"/>
      <c r="D665" s="992"/>
      <c r="E665" s="989"/>
      <c r="F665" s="989"/>
      <c r="G665" s="993"/>
      <c r="H665" s="993"/>
      <c r="I665" s="986"/>
      <c r="J665" s="523"/>
      <c r="K665" s="994"/>
      <c r="L665" s="995"/>
      <c r="M665" s="704"/>
      <c r="N665" s="704"/>
      <c r="O665" s="704"/>
      <c r="P665" s="957"/>
      <c r="Q665" s="957"/>
      <c r="R665" s="957"/>
      <c r="S665" s="957"/>
      <c r="T665" s="957"/>
      <c r="U665" s="957"/>
      <c r="V665" s="957"/>
      <c r="W665" s="957"/>
      <c r="X665" s="957"/>
      <c r="Y665" s="957"/>
      <c r="Z665" s="957"/>
      <c r="AA665" s="957"/>
      <c r="AB665" s="957"/>
      <c r="AC665" s="957"/>
      <c r="AD665" s="957"/>
    </row>
    <row r="666" ht="15.75" customHeight="1">
      <c r="A666" s="518"/>
      <c r="B666" s="517"/>
      <c r="C666" s="518"/>
      <c r="D666" s="992"/>
      <c r="E666" s="989"/>
      <c r="F666" s="989"/>
      <c r="G666" s="993"/>
      <c r="H666" s="993"/>
      <c r="I666" s="986"/>
      <c r="J666" s="523"/>
      <c r="K666" s="994"/>
      <c r="L666" s="995"/>
      <c r="M666" s="704"/>
      <c r="N666" s="704"/>
      <c r="O666" s="704"/>
      <c r="P666" s="957"/>
      <c r="Q666" s="957"/>
      <c r="R666" s="957"/>
      <c r="S666" s="957"/>
      <c r="T666" s="957"/>
      <c r="U666" s="957"/>
      <c r="V666" s="957"/>
      <c r="W666" s="957"/>
      <c r="X666" s="957"/>
      <c r="Y666" s="957"/>
      <c r="Z666" s="957"/>
      <c r="AA666" s="957"/>
      <c r="AB666" s="957"/>
      <c r="AC666" s="957"/>
      <c r="AD666" s="957"/>
    </row>
    <row r="667" ht="15.75" customHeight="1">
      <c r="A667" s="518"/>
      <c r="B667" s="517"/>
      <c r="C667" s="518"/>
      <c r="D667" s="992"/>
      <c r="E667" s="989"/>
      <c r="F667" s="989"/>
      <c r="G667" s="993"/>
      <c r="H667" s="993"/>
      <c r="I667" s="986"/>
      <c r="J667" s="523"/>
      <c r="K667" s="994"/>
      <c r="L667" s="995"/>
      <c r="M667" s="704"/>
      <c r="N667" s="704"/>
      <c r="O667" s="704"/>
      <c r="P667" s="957"/>
      <c r="Q667" s="957"/>
      <c r="R667" s="957"/>
      <c r="S667" s="957"/>
      <c r="T667" s="957"/>
      <c r="U667" s="957"/>
      <c r="V667" s="957"/>
      <c r="W667" s="957"/>
      <c r="X667" s="957"/>
      <c r="Y667" s="957"/>
      <c r="Z667" s="957"/>
      <c r="AA667" s="957"/>
      <c r="AB667" s="957"/>
      <c r="AC667" s="957"/>
      <c r="AD667" s="957"/>
    </row>
    <row r="668" ht="15.75" customHeight="1">
      <c r="A668" s="518"/>
      <c r="B668" s="517"/>
      <c r="C668" s="518"/>
      <c r="D668" s="992"/>
      <c r="E668" s="989"/>
      <c r="F668" s="989"/>
      <c r="G668" s="993"/>
      <c r="H668" s="993"/>
      <c r="I668" s="986"/>
      <c r="J668" s="523"/>
      <c r="K668" s="994"/>
      <c r="L668" s="995"/>
      <c r="M668" s="704"/>
      <c r="N668" s="704"/>
      <c r="O668" s="704"/>
      <c r="P668" s="957"/>
      <c r="Q668" s="957"/>
      <c r="R668" s="957"/>
      <c r="S668" s="957"/>
      <c r="T668" s="957"/>
      <c r="U668" s="957"/>
      <c r="V668" s="957"/>
      <c r="W668" s="957"/>
      <c r="X668" s="957"/>
      <c r="Y668" s="957"/>
      <c r="Z668" s="957"/>
      <c r="AA668" s="957"/>
      <c r="AB668" s="957"/>
      <c r="AC668" s="957"/>
      <c r="AD668" s="957"/>
    </row>
    <row r="669" ht="15.75" customHeight="1">
      <c r="A669" s="518"/>
      <c r="B669" s="517"/>
      <c r="C669" s="518"/>
      <c r="D669" s="992"/>
      <c r="E669" s="989"/>
      <c r="F669" s="989"/>
      <c r="G669" s="993"/>
      <c r="H669" s="993"/>
      <c r="I669" s="986"/>
      <c r="J669" s="523"/>
      <c r="K669" s="994"/>
      <c r="L669" s="995"/>
      <c r="M669" s="704"/>
      <c r="N669" s="704"/>
      <c r="O669" s="704"/>
      <c r="P669" s="957"/>
      <c r="Q669" s="957"/>
      <c r="R669" s="957"/>
      <c r="S669" s="957"/>
      <c r="T669" s="957"/>
      <c r="U669" s="957"/>
      <c r="V669" s="957"/>
      <c r="W669" s="957"/>
      <c r="X669" s="957"/>
      <c r="Y669" s="957"/>
      <c r="Z669" s="957"/>
      <c r="AA669" s="957"/>
      <c r="AB669" s="957"/>
      <c r="AC669" s="957"/>
      <c r="AD669" s="957"/>
    </row>
    <row r="670" ht="15.75" customHeight="1">
      <c r="A670" s="518"/>
      <c r="B670" s="517"/>
      <c r="C670" s="518"/>
      <c r="D670" s="992"/>
      <c r="E670" s="989"/>
      <c r="F670" s="989"/>
      <c r="G670" s="993"/>
      <c r="H670" s="993"/>
      <c r="I670" s="986"/>
      <c r="J670" s="523"/>
      <c r="K670" s="994"/>
      <c r="L670" s="995"/>
      <c r="M670" s="704"/>
      <c r="N670" s="704"/>
      <c r="O670" s="704"/>
      <c r="P670" s="957"/>
      <c r="Q670" s="957"/>
      <c r="R670" s="957"/>
      <c r="S670" s="957"/>
      <c r="T670" s="957"/>
      <c r="U670" s="957"/>
      <c r="V670" s="957"/>
      <c r="W670" s="957"/>
      <c r="X670" s="957"/>
      <c r="Y670" s="957"/>
      <c r="Z670" s="957"/>
      <c r="AA670" s="957"/>
      <c r="AB670" s="957"/>
      <c r="AC670" s="957"/>
      <c r="AD670" s="957"/>
    </row>
    <row r="671" ht="15.75" customHeight="1">
      <c r="A671" s="518"/>
      <c r="B671" s="517"/>
      <c r="C671" s="518"/>
      <c r="D671" s="992"/>
      <c r="E671" s="989"/>
      <c r="F671" s="989"/>
      <c r="G671" s="993"/>
      <c r="H671" s="993"/>
      <c r="I671" s="986"/>
      <c r="J671" s="523"/>
      <c r="K671" s="994"/>
      <c r="L671" s="995"/>
      <c r="M671" s="704"/>
      <c r="N671" s="704"/>
      <c r="O671" s="704"/>
      <c r="P671" s="957"/>
      <c r="Q671" s="957"/>
      <c r="R671" s="957"/>
      <c r="S671" s="957"/>
      <c r="T671" s="957"/>
      <c r="U671" s="957"/>
      <c r="V671" s="957"/>
      <c r="W671" s="957"/>
      <c r="X671" s="957"/>
      <c r="Y671" s="957"/>
      <c r="Z671" s="957"/>
      <c r="AA671" s="957"/>
      <c r="AB671" s="957"/>
      <c r="AC671" s="957"/>
      <c r="AD671" s="957"/>
    </row>
    <row r="672" ht="15.75" customHeight="1">
      <c r="A672" s="518"/>
      <c r="B672" s="517"/>
      <c r="C672" s="518"/>
      <c r="D672" s="992"/>
      <c r="E672" s="989"/>
      <c r="F672" s="989"/>
      <c r="G672" s="993"/>
      <c r="H672" s="993"/>
      <c r="I672" s="986"/>
      <c r="J672" s="523"/>
      <c r="K672" s="994"/>
      <c r="L672" s="995"/>
      <c r="M672" s="704"/>
      <c r="N672" s="704"/>
      <c r="O672" s="704"/>
      <c r="P672" s="957"/>
      <c r="Q672" s="957"/>
      <c r="R672" s="957"/>
      <c r="S672" s="957"/>
      <c r="T672" s="957"/>
      <c r="U672" s="957"/>
      <c r="V672" s="957"/>
      <c r="W672" s="957"/>
      <c r="X672" s="957"/>
      <c r="Y672" s="957"/>
      <c r="Z672" s="957"/>
      <c r="AA672" s="957"/>
      <c r="AB672" s="957"/>
      <c r="AC672" s="957"/>
      <c r="AD672" s="957"/>
    </row>
    <row r="673" ht="15.75" customHeight="1">
      <c r="A673" s="518"/>
      <c r="B673" s="517"/>
      <c r="C673" s="518"/>
      <c r="D673" s="992"/>
      <c r="E673" s="989"/>
      <c r="F673" s="989"/>
      <c r="G673" s="993"/>
      <c r="H673" s="993"/>
      <c r="I673" s="986"/>
      <c r="J673" s="523"/>
      <c r="K673" s="994"/>
      <c r="L673" s="995"/>
      <c r="M673" s="704"/>
      <c r="N673" s="704"/>
      <c r="O673" s="704"/>
      <c r="P673" s="957"/>
      <c r="Q673" s="957"/>
      <c r="R673" s="957"/>
      <c r="S673" s="957"/>
      <c r="T673" s="957"/>
      <c r="U673" s="957"/>
      <c r="V673" s="957"/>
      <c r="W673" s="957"/>
      <c r="X673" s="957"/>
      <c r="Y673" s="957"/>
      <c r="Z673" s="957"/>
      <c r="AA673" s="957"/>
      <c r="AB673" s="957"/>
      <c r="AC673" s="957"/>
      <c r="AD673" s="957"/>
    </row>
    <row r="674" ht="15.75" customHeight="1">
      <c r="A674" s="518"/>
      <c r="B674" s="517"/>
      <c r="C674" s="518"/>
      <c r="D674" s="992"/>
      <c r="E674" s="989"/>
      <c r="F674" s="989"/>
      <c r="G674" s="993"/>
      <c r="H674" s="993"/>
      <c r="I674" s="986"/>
      <c r="J674" s="523"/>
      <c r="K674" s="994"/>
      <c r="L674" s="995"/>
      <c r="M674" s="704"/>
      <c r="N674" s="704"/>
      <c r="O674" s="704"/>
      <c r="P674" s="957"/>
      <c r="Q674" s="957"/>
      <c r="R674" s="957"/>
      <c r="S674" s="957"/>
      <c r="T674" s="957"/>
      <c r="U674" s="957"/>
      <c r="V674" s="957"/>
      <c r="W674" s="957"/>
      <c r="X674" s="957"/>
      <c r="Y674" s="957"/>
      <c r="Z674" s="957"/>
      <c r="AA674" s="957"/>
      <c r="AB674" s="957"/>
      <c r="AC674" s="957"/>
      <c r="AD674" s="957"/>
    </row>
    <row r="675" ht="15.75" customHeight="1">
      <c r="A675" s="518"/>
      <c r="B675" s="517"/>
      <c r="C675" s="518"/>
      <c r="D675" s="992"/>
      <c r="E675" s="989"/>
      <c r="F675" s="989"/>
      <c r="G675" s="993"/>
      <c r="H675" s="993"/>
      <c r="I675" s="986"/>
      <c r="J675" s="523"/>
      <c r="K675" s="994"/>
      <c r="L675" s="995"/>
      <c r="M675" s="704"/>
      <c r="N675" s="704"/>
      <c r="O675" s="704"/>
      <c r="P675" s="957"/>
      <c r="Q675" s="957"/>
      <c r="R675" s="957"/>
      <c r="S675" s="957"/>
      <c r="T675" s="957"/>
      <c r="U675" s="957"/>
      <c r="V675" s="957"/>
      <c r="W675" s="957"/>
      <c r="X675" s="957"/>
      <c r="Y675" s="957"/>
      <c r="Z675" s="957"/>
      <c r="AA675" s="957"/>
      <c r="AB675" s="957"/>
      <c r="AC675" s="957"/>
      <c r="AD675" s="957"/>
    </row>
    <row r="676" ht="15.75" customHeight="1">
      <c r="A676" s="518"/>
      <c r="B676" s="517"/>
      <c r="C676" s="518"/>
      <c r="D676" s="992"/>
      <c r="E676" s="989"/>
      <c r="F676" s="989"/>
      <c r="G676" s="993"/>
      <c r="H676" s="993"/>
      <c r="I676" s="986"/>
      <c r="J676" s="523"/>
      <c r="K676" s="994"/>
      <c r="L676" s="995"/>
      <c r="M676" s="704"/>
      <c r="N676" s="704"/>
      <c r="O676" s="704"/>
      <c r="P676" s="957"/>
      <c r="Q676" s="957"/>
      <c r="R676" s="957"/>
      <c r="S676" s="957"/>
      <c r="T676" s="957"/>
      <c r="U676" s="957"/>
      <c r="V676" s="957"/>
      <c r="W676" s="957"/>
      <c r="X676" s="957"/>
      <c r="Y676" s="957"/>
      <c r="Z676" s="957"/>
      <c r="AA676" s="957"/>
      <c r="AB676" s="957"/>
      <c r="AC676" s="957"/>
      <c r="AD676" s="957"/>
    </row>
    <row r="677" ht="15.75" customHeight="1">
      <c r="A677" s="518"/>
      <c r="B677" s="517"/>
      <c r="C677" s="518"/>
      <c r="D677" s="992"/>
      <c r="E677" s="989"/>
      <c r="F677" s="989"/>
      <c r="G677" s="993"/>
      <c r="H677" s="993"/>
      <c r="I677" s="986"/>
      <c r="J677" s="523"/>
      <c r="K677" s="994"/>
      <c r="L677" s="995"/>
      <c r="M677" s="704"/>
      <c r="N677" s="704"/>
      <c r="O677" s="704"/>
      <c r="P677" s="957"/>
      <c r="Q677" s="957"/>
      <c r="R677" s="957"/>
      <c r="S677" s="957"/>
      <c r="T677" s="957"/>
      <c r="U677" s="957"/>
      <c r="V677" s="957"/>
      <c r="W677" s="957"/>
      <c r="X677" s="957"/>
      <c r="Y677" s="957"/>
      <c r="Z677" s="957"/>
      <c r="AA677" s="957"/>
      <c r="AB677" s="957"/>
      <c r="AC677" s="957"/>
      <c r="AD677" s="957"/>
    </row>
    <row r="678" ht="15.75" customHeight="1">
      <c r="A678" s="518"/>
      <c r="B678" s="517"/>
      <c r="C678" s="518"/>
      <c r="D678" s="992"/>
      <c r="E678" s="989"/>
      <c r="F678" s="989"/>
      <c r="G678" s="993"/>
      <c r="H678" s="993"/>
      <c r="I678" s="986"/>
      <c r="J678" s="523"/>
      <c r="K678" s="994"/>
      <c r="L678" s="995"/>
      <c r="M678" s="704"/>
      <c r="N678" s="704"/>
      <c r="O678" s="704"/>
      <c r="P678" s="957"/>
      <c r="Q678" s="957"/>
      <c r="R678" s="957"/>
      <c r="S678" s="957"/>
      <c r="T678" s="957"/>
      <c r="U678" s="957"/>
      <c r="V678" s="957"/>
      <c r="W678" s="957"/>
      <c r="X678" s="957"/>
      <c r="Y678" s="957"/>
      <c r="Z678" s="957"/>
      <c r="AA678" s="957"/>
      <c r="AB678" s="957"/>
      <c r="AC678" s="957"/>
      <c r="AD678" s="957"/>
    </row>
    <row r="679" ht="15.75" customHeight="1">
      <c r="A679" s="518"/>
      <c r="B679" s="517"/>
      <c r="C679" s="518"/>
      <c r="D679" s="992"/>
      <c r="E679" s="989"/>
      <c r="F679" s="989"/>
      <c r="G679" s="993"/>
      <c r="H679" s="993"/>
      <c r="I679" s="986"/>
      <c r="J679" s="523"/>
      <c r="K679" s="994"/>
      <c r="L679" s="995"/>
      <c r="M679" s="704"/>
      <c r="N679" s="704"/>
      <c r="O679" s="704"/>
      <c r="P679" s="957"/>
      <c r="Q679" s="957"/>
      <c r="R679" s="957"/>
      <c r="S679" s="957"/>
      <c r="T679" s="957"/>
      <c r="U679" s="957"/>
      <c r="V679" s="957"/>
      <c r="W679" s="957"/>
      <c r="X679" s="957"/>
      <c r="Y679" s="957"/>
      <c r="Z679" s="957"/>
      <c r="AA679" s="957"/>
      <c r="AB679" s="957"/>
      <c r="AC679" s="957"/>
      <c r="AD679" s="957"/>
    </row>
    <row r="680" ht="15.75" customHeight="1">
      <c r="A680" s="518"/>
      <c r="B680" s="517"/>
      <c r="C680" s="518"/>
      <c r="D680" s="992"/>
      <c r="E680" s="989"/>
      <c r="F680" s="989"/>
      <c r="G680" s="993"/>
      <c r="H680" s="993"/>
      <c r="I680" s="986"/>
      <c r="J680" s="523"/>
      <c r="K680" s="994"/>
      <c r="L680" s="995"/>
      <c r="M680" s="704"/>
      <c r="N680" s="704"/>
      <c r="O680" s="704"/>
      <c r="P680" s="957"/>
      <c r="Q680" s="957"/>
      <c r="R680" s="957"/>
      <c r="S680" s="957"/>
      <c r="T680" s="957"/>
      <c r="U680" s="957"/>
      <c r="V680" s="957"/>
      <c r="W680" s="957"/>
      <c r="X680" s="957"/>
      <c r="Y680" s="957"/>
      <c r="Z680" s="957"/>
      <c r="AA680" s="957"/>
      <c r="AB680" s="957"/>
      <c r="AC680" s="957"/>
      <c r="AD680" s="957"/>
    </row>
    <row r="681" ht="15.75" customHeight="1">
      <c r="A681" s="518"/>
      <c r="B681" s="517"/>
      <c r="C681" s="518"/>
      <c r="D681" s="992"/>
      <c r="E681" s="989"/>
      <c r="F681" s="989"/>
      <c r="G681" s="993"/>
      <c r="H681" s="993"/>
      <c r="I681" s="986"/>
      <c r="J681" s="523"/>
      <c r="K681" s="994"/>
      <c r="L681" s="995"/>
      <c r="M681" s="704"/>
      <c r="N681" s="704"/>
      <c r="O681" s="704"/>
      <c r="P681" s="957"/>
      <c r="Q681" s="957"/>
      <c r="R681" s="957"/>
      <c r="S681" s="957"/>
      <c r="T681" s="957"/>
      <c r="U681" s="957"/>
      <c r="V681" s="957"/>
      <c r="W681" s="957"/>
      <c r="X681" s="957"/>
      <c r="Y681" s="957"/>
      <c r="Z681" s="957"/>
      <c r="AA681" s="957"/>
      <c r="AB681" s="957"/>
      <c r="AC681" s="957"/>
      <c r="AD681" s="957"/>
    </row>
    <row r="682" ht="15.75" customHeight="1">
      <c r="A682" s="518"/>
      <c r="B682" s="517"/>
      <c r="C682" s="518"/>
      <c r="D682" s="992"/>
      <c r="E682" s="989"/>
      <c r="F682" s="989"/>
      <c r="G682" s="993"/>
      <c r="H682" s="993"/>
      <c r="I682" s="986"/>
      <c r="J682" s="523"/>
      <c r="K682" s="994"/>
      <c r="L682" s="995"/>
      <c r="M682" s="704"/>
      <c r="N682" s="704"/>
      <c r="O682" s="704"/>
      <c r="P682" s="957"/>
      <c r="Q682" s="957"/>
      <c r="R682" s="957"/>
      <c r="S682" s="957"/>
      <c r="T682" s="957"/>
      <c r="U682" s="957"/>
      <c r="V682" s="957"/>
      <c r="W682" s="957"/>
      <c r="X682" s="957"/>
      <c r="Y682" s="957"/>
      <c r="Z682" s="957"/>
      <c r="AA682" s="957"/>
      <c r="AB682" s="957"/>
      <c r="AC682" s="957"/>
      <c r="AD682" s="957"/>
    </row>
    <row r="683" ht="15.75" customHeight="1">
      <c r="A683" s="518"/>
      <c r="B683" s="517"/>
      <c r="C683" s="518"/>
      <c r="D683" s="992"/>
      <c r="E683" s="989"/>
      <c r="F683" s="989"/>
      <c r="G683" s="993"/>
      <c r="H683" s="993"/>
      <c r="I683" s="986"/>
      <c r="J683" s="523"/>
      <c r="K683" s="994"/>
      <c r="L683" s="995"/>
      <c r="M683" s="704"/>
      <c r="N683" s="704"/>
      <c r="O683" s="704"/>
      <c r="P683" s="957"/>
      <c r="Q683" s="957"/>
      <c r="R683" s="957"/>
      <c r="S683" s="957"/>
      <c r="T683" s="957"/>
      <c r="U683" s="957"/>
      <c r="V683" s="957"/>
      <c r="W683" s="957"/>
      <c r="X683" s="957"/>
      <c r="Y683" s="957"/>
      <c r="Z683" s="957"/>
      <c r="AA683" s="957"/>
      <c r="AB683" s="957"/>
      <c r="AC683" s="957"/>
      <c r="AD683" s="957"/>
    </row>
    <row r="684" ht="15.75" customHeight="1">
      <c r="A684" s="518"/>
      <c r="B684" s="517"/>
      <c r="C684" s="518"/>
      <c r="D684" s="992"/>
      <c r="E684" s="989"/>
      <c r="F684" s="989"/>
      <c r="G684" s="993"/>
      <c r="H684" s="993"/>
      <c r="I684" s="986"/>
      <c r="J684" s="523"/>
      <c r="K684" s="994"/>
      <c r="L684" s="995"/>
      <c r="M684" s="704"/>
      <c r="N684" s="704"/>
      <c r="O684" s="704"/>
      <c r="P684" s="957"/>
      <c r="Q684" s="957"/>
      <c r="R684" s="957"/>
      <c r="S684" s="957"/>
      <c r="T684" s="957"/>
      <c r="U684" s="957"/>
      <c r="V684" s="957"/>
      <c r="W684" s="957"/>
      <c r="X684" s="957"/>
      <c r="Y684" s="957"/>
      <c r="Z684" s="957"/>
      <c r="AA684" s="957"/>
      <c r="AB684" s="957"/>
      <c r="AC684" s="957"/>
      <c r="AD684" s="957"/>
    </row>
    <row r="685" ht="15.75" customHeight="1">
      <c r="A685" s="518"/>
      <c r="B685" s="517"/>
      <c r="C685" s="518"/>
      <c r="D685" s="992"/>
      <c r="E685" s="989"/>
      <c r="F685" s="989"/>
      <c r="G685" s="993"/>
      <c r="H685" s="993"/>
      <c r="I685" s="986"/>
      <c r="J685" s="523"/>
      <c r="K685" s="994"/>
      <c r="L685" s="995"/>
      <c r="M685" s="704"/>
      <c r="N685" s="704"/>
      <c r="O685" s="704"/>
      <c r="P685" s="957"/>
      <c r="Q685" s="957"/>
      <c r="R685" s="957"/>
      <c r="S685" s="957"/>
      <c r="T685" s="957"/>
      <c r="U685" s="957"/>
      <c r="V685" s="957"/>
      <c r="W685" s="957"/>
      <c r="X685" s="957"/>
      <c r="Y685" s="957"/>
      <c r="Z685" s="957"/>
      <c r="AA685" s="957"/>
      <c r="AB685" s="957"/>
      <c r="AC685" s="957"/>
      <c r="AD685" s="957"/>
    </row>
    <row r="686" ht="15.75" customHeight="1">
      <c r="A686" s="518"/>
      <c r="B686" s="517"/>
      <c r="C686" s="518"/>
      <c r="D686" s="992"/>
      <c r="E686" s="989"/>
      <c r="F686" s="989"/>
      <c r="G686" s="993"/>
      <c r="H686" s="993"/>
      <c r="I686" s="986"/>
      <c r="J686" s="523"/>
      <c r="K686" s="994"/>
      <c r="L686" s="995"/>
      <c r="M686" s="704"/>
      <c r="N686" s="704"/>
      <c r="O686" s="704"/>
      <c r="P686" s="957"/>
      <c r="Q686" s="957"/>
      <c r="R686" s="957"/>
      <c r="S686" s="957"/>
      <c r="T686" s="957"/>
      <c r="U686" s="957"/>
      <c r="V686" s="957"/>
      <c r="W686" s="957"/>
      <c r="X686" s="957"/>
      <c r="Y686" s="957"/>
      <c r="Z686" s="957"/>
      <c r="AA686" s="957"/>
      <c r="AB686" s="957"/>
      <c r="AC686" s="957"/>
      <c r="AD686" s="957"/>
    </row>
    <row r="687" ht="15.75" customHeight="1">
      <c r="A687" s="518"/>
      <c r="B687" s="517"/>
      <c r="C687" s="518"/>
      <c r="D687" s="992"/>
      <c r="E687" s="989"/>
      <c r="F687" s="989"/>
      <c r="G687" s="993"/>
      <c r="H687" s="993"/>
      <c r="I687" s="986"/>
      <c r="J687" s="523"/>
      <c r="K687" s="994"/>
      <c r="L687" s="995"/>
      <c r="M687" s="704"/>
      <c r="N687" s="704"/>
      <c r="O687" s="704"/>
      <c r="P687" s="957"/>
      <c r="Q687" s="957"/>
      <c r="R687" s="957"/>
      <c r="S687" s="957"/>
      <c r="T687" s="957"/>
      <c r="U687" s="957"/>
      <c r="V687" s="957"/>
      <c r="W687" s="957"/>
      <c r="X687" s="957"/>
      <c r="Y687" s="957"/>
      <c r="Z687" s="957"/>
      <c r="AA687" s="957"/>
      <c r="AB687" s="957"/>
      <c r="AC687" s="957"/>
      <c r="AD687" s="957"/>
    </row>
    <row r="688" ht="15.75" customHeight="1">
      <c r="A688" s="518"/>
      <c r="B688" s="517"/>
      <c r="C688" s="518"/>
      <c r="D688" s="992"/>
      <c r="E688" s="989"/>
      <c r="F688" s="989"/>
      <c r="G688" s="993"/>
      <c r="H688" s="993"/>
      <c r="I688" s="986"/>
      <c r="J688" s="523"/>
      <c r="K688" s="994"/>
      <c r="L688" s="995"/>
      <c r="M688" s="704"/>
      <c r="N688" s="704"/>
      <c r="O688" s="704"/>
      <c r="P688" s="957"/>
      <c r="Q688" s="957"/>
      <c r="R688" s="957"/>
      <c r="S688" s="957"/>
      <c r="T688" s="957"/>
      <c r="U688" s="957"/>
      <c r="V688" s="957"/>
      <c r="W688" s="957"/>
      <c r="X688" s="957"/>
      <c r="Y688" s="957"/>
      <c r="Z688" s="957"/>
      <c r="AA688" s="957"/>
      <c r="AB688" s="957"/>
      <c r="AC688" s="957"/>
      <c r="AD688" s="957"/>
    </row>
    <row r="689" ht="15.75" customHeight="1">
      <c r="A689" s="518"/>
      <c r="B689" s="517"/>
      <c r="C689" s="518"/>
      <c r="D689" s="992"/>
      <c r="E689" s="989"/>
      <c r="F689" s="989"/>
      <c r="G689" s="993"/>
      <c r="H689" s="993"/>
      <c r="I689" s="986"/>
      <c r="J689" s="523"/>
      <c r="K689" s="994"/>
      <c r="L689" s="995"/>
      <c r="M689" s="704"/>
      <c r="N689" s="704"/>
      <c r="O689" s="704"/>
      <c r="P689" s="957"/>
      <c r="Q689" s="957"/>
      <c r="R689" s="957"/>
      <c r="S689" s="957"/>
      <c r="T689" s="957"/>
      <c r="U689" s="957"/>
      <c r="V689" s="957"/>
      <c r="W689" s="957"/>
      <c r="X689" s="957"/>
      <c r="Y689" s="957"/>
      <c r="Z689" s="957"/>
      <c r="AA689" s="957"/>
      <c r="AB689" s="957"/>
      <c r="AC689" s="957"/>
      <c r="AD689" s="957"/>
    </row>
    <row r="690" ht="15.75" customHeight="1">
      <c r="A690" s="518"/>
      <c r="B690" s="517"/>
      <c r="C690" s="518"/>
      <c r="D690" s="992"/>
      <c r="E690" s="989"/>
      <c r="F690" s="989"/>
      <c r="G690" s="993"/>
      <c r="H690" s="993"/>
      <c r="I690" s="986"/>
      <c r="J690" s="523"/>
      <c r="K690" s="994"/>
      <c r="L690" s="995"/>
      <c r="M690" s="704"/>
      <c r="N690" s="704"/>
      <c r="O690" s="704"/>
      <c r="P690" s="957"/>
      <c r="Q690" s="957"/>
      <c r="R690" s="957"/>
      <c r="S690" s="957"/>
      <c r="T690" s="957"/>
      <c r="U690" s="957"/>
      <c r="V690" s="957"/>
      <c r="W690" s="957"/>
      <c r="X690" s="957"/>
      <c r="Y690" s="957"/>
      <c r="Z690" s="957"/>
      <c r="AA690" s="957"/>
      <c r="AB690" s="957"/>
      <c r="AC690" s="957"/>
      <c r="AD690" s="957"/>
    </row>
    <row r="691" ht="15.75" customHeight="1">
      <c r="A691" s="518"/>
      <c r="B691" s="517"/>
      <c r="C691" s="518"/>
      <c r="D691" s="992"/>
      <c r="E691" s="989"/>
      <c r="F691" s="989"/>
      <c r="G691" s="993"/>
      <c r="H691" s="993"/>
      <c r="I691" s="986"/>
      <c r="J691" s="523"/>
      <c r="K691" s="994"/>
      <c r="L691" s="995"/>
      <c r="M691" s="704"/>
      <c r="N691" s="704"/>
      <c r="O691" s="704"/>
      <c r="P691" s="957"/>
      <c r="Q691" s="957"/>
      <c r="R691" s="957"/>
      <c r="S691" s="957"/>
      <c r="T691" s="957"/>
      <c r="U691" s="957"/>
      <c r="V691" s="957"/>
      <c r="W691" s="957"/>
      <c r="X691" s="957"/>
      <c r="Y691" s="957"/>
      <c r="Z691" s="957"/>
      <c r="AA691" s="957"/>
      <c r="AB691" s="957"/>
      <c r="AC691" s="957"/>
      <c r="AD691" s="957"/>
    </row>
    <row r="692" ht="15.75" customHeight="1">
      <c r="A692" s="518"/>
      <c r="B692" s="517"/>
      <c r="C692" s="518"/>
      <c r="D692" s="992"/>
      <c r="E692" s="989"/>
      <c r="F692" s="989"/>
      <c r="G692" s="993"/>
      <c r="H692" s="993"/>
      <c r="I692" s="986"/>
      <c r="J692" s="523"/>
      <c r="K692" s="994"/>
      <c r="L692" s="995"/>
      <c r="M692" s="704"/>
      <c r="N692" s="704"/>
      <c r="O692" s="704"/>
      <c r="P692" s="957"/>
      <c r="Q692" s="957"/>
      <c r="R692" s="957"/>
      <c r="S692" s="957"/>
      <c r="T692" s="957"/>
      <c r="U692" s="957"/>
      <c r="V692" s="957"/>
      <c r="W692" s="957"/>
      <c r="X692" s="957"/>
      <c r="Y692" s="957"/>
      <c r="Z692" s="957"/>
      <c r="AA692" s="957"/>
      <c r="AB692" s="957"/>
      <c r="AC692" s="957"/>
      <c r="AD692" s="957"/>
    </row>
    <row r="693" ht="15.75" customHeight="1">
      <c r="A693" s="518"/>
      <c r="B693" s="517"/>
      <c r="C693" s="518"/>
      <c r="D693" s="992"/>
      <c r="E693" s="989"/>
      <c r="F693" s="989"/>
      <c r="G693" s="993"/>
      <c r="H693" s="993"/>
      <c r="I693" s="986"/>
      <c r="J693" s="523"/>
      <c r="K693" s="994"/>
      <c r="L693" s="995"/>
      <c r="M693" s="704"/>
      <c r="N693" s="704"/>
      <c r="O693" s="704"/>
      <c r="P693" s="957"/>
      <c r="Q693" s="957"/>
      <c r="R693" s="957"/>
      <c r="S693" s="957"/>
      <c r="T693" s="957"/>
      <c r="U693" s="957"/>
      <c r="V693" s="957"/>
      <c r="W693" s="957"/>
      <c r="X693" s="957"/>
      <c r="Y693" s="957"/>
      <c r="Z693" s="957"/>
      <c r="AA693" s="957"/>
      <c r="AB693" s="957"/>
      <c r="AC693" s="957"/>
      <c r="AD693" s="957"/>
    </row>
    <row r="694" ht="15.75" customHeight="1">
      <c r="A694" s="518"/>
      <c r="B694" s="517"/>
      <c r="C694" s="518"/>
      <c r="D694" s="992"/>
      <c r="E694" s="989"/>
      <c r="F694" s="989"/>
      <c r="G694" s="993"/>
      <c r="H694" s="993"/>
      <c r="I694" s="986"/>
      <c r="J694" s="523"/>
      <c r="K694" s="994"/>
      <c r="L694" s="995"/>
      <c r="M694" s="704"/>
      <c r="N694" s="704"/>
      <c r="O694" s="704"/>
      <c r="P694" s="957"/>
      <c r="Q694" s="957"/>
      <c r="R694" s="957"/>
      <c r="S694" s="957"/>
      <c r="T694" s="957"/>
      <c r="U694" s="957"/>
      <c r="V694" s="957"/>
      <c r="W694" s="957"/>
      <c r="X694" s="957"/>
      <c r="Y694" s="957"/>
      <c r="Z694" s="957"/>
      <c r="AA694" s="957"/>
      <c r="AB694" s="957"/>
      <c r="AC694" s="957"/>
      <c r="AD694" s="957"/>
    </row>
    <row r="695" ht="15.75" customHeight="1">
      <c r="A695" s="518"/>
      <c r="B695" s="517"/>
      <c r="C695" s="518"/>
      <c r="D695" s="992"/>
      <c r="E695" s="989"/>
      <c r="F695" s="989"/>
      <c r="G695" s="993"/>
      <c r="H695" s="993"/>
      <c r="I695" s="986"/>
      <c r="J695" s="523"/>
      <c r="K695" s="994"/>
      <c r="L695" s="995"/>
      <c r="M695" s="704"/>
      <c r="N695" s="704"/>
      <c r="O695" s="704"/>
      <c r="P695" s="957"/>
      <c r="Q695" s="957"/>
      <c r="R695" s="957"/>
      <c r="S695" s="957"/>
      <c r="T695" s="957"/>
      <c r="U695" s="957"/>
      <c r="V695" s="957"/>
      <c r="W695" s="957"/>
      <c r="X695" s="957"/>
      <c r="Y695" s="957"/>
      <c r="Z695" s="957"/>
      <c r="AA695" s="957"/>
      <c r="AB695" s="957"/>
      <c r="AC695" s="957"/>
      <c r="AD695" s="957"/>
    </row>
    <row r="696" ht="15.75" customHeight="1">
      <c r="A696" s="518"/>
      <c r="B696" s="517"/>
      <c r="C696" s="518"/>
      <c r="D696" s="992"/>
      <c r="E696" s="989"/>
      <c r="F696" s="989"/>
      <c r="G696" s="993"/>
      <c r="H696" s="993"/>
      <c r="I696" s="986"/>
      <c r="J696" s="523"/>
      <c r="K696" s="994"/>
      <c r="L696" s="995"/>
      <c r="M696" s="704"/>
      <c r="N696" s="704"/>
      <c r="O696" s="704"/>
      <c r="P696" s="957"/>
      <c r="Q696" s="957"/>
      <c r="R696" s="957"/>
      <c r="S696" s="957"/>
      <c r="T696" s="957"/>
      <c r="U696" s="957"/>
      <c r="V696" s="957"/>
      <c r="W696" s="957"/>
      <c r="X696" s="957"/>
      <c r="Y696" s="957"/>
      <c r="Z696" s="957"/>
      <c r="AA696" s="957"/>
      <c r="AB696" s="957"/>
      <c r="AC696" s="957"/>
      <c r="AD696" s="957"/>
    </row>
    <row r="697" ht="15.75" customHeight="1">
      <c r="A697" s="518"/>
      <c r="B697" s="517"/>
      <c r="C697" s="518"/>
      <c r="D697" s="992"/>
      <c r="E697" s="989"/>
      <c r="F697" s="989"/>
      <c r="G697" s="993"/>
      <c r="H697" s="993"/>
      <c r="I697" s="986"/>
      <c r="J697" s="523"/>
      <c r="K697" s="994"/>
      <c r="L697" s="995"/>
      <c r="M697" s="704"/>
      <c r="N697" s="704"/>
      <c r="O697" s="704"/>
      <c r="P697" s="957"/>
      <c r="Q697" s="957"/>
      <c r="R697" s="957"/>
      <c r="S697" s="957"/>
      <c r="T697" s="957"/>
      <c r="U697" s="957"/>
      <c r="V697" s="957"/>
      <c r="W697" s="957"/>
      <c r="X697" s="957"/>
      <c r="Y697" s="957"/>
      <c r="Z697" s="957"/>
      <c r="AA697" s="957"/>
      <c r="AB697" s="957"/>
      <c r="AC697" s="957"/>
      <c r="AD697" s="957"/>
    </row>
    <row r="698" ht="15.75" customHeight="1">
      <c r="A698" s="518"/>
      <c r="B698" s="517"/>
      <c r="C698" s="518"/>
      <c r="D698" s="992"/>
      <c r="E698" s="989"/>
      <c r="F698" s="989"/>
      <c r="G698" s="993"/>
      <c r="H698" s="993"/>
      <c r="I698" s="986"/>
      <c r="J698" s="523"/>
      <c r="K698" s="994"/>
      <c r="L698" s="995"/>
      <c r="M698" s="704"/>
      <c r="N698" s="704"/>
      <c r="O698" s="704"/>
      <c r="P698" s="957"/>
      <c r="Q698" s="957"/>
      <c r="R698" s="957"/>
      <c r="S698" s="957"/>
      <c r="T698" s="957"/>
      <c r="U698" s="957"/>
      <c r="V698" s="957"/>
      <c r="W698" s="957"/>
      <c r="X698" s="957"/>
      <c r="Y698" s="957"/>
      <c r="Z698" s="957"/>
      <c r="AA698" s="957"/>
      <c r="AB698" s="957"/>
      <c r="AC698" s="957"/>
      <c r="AD698" s="957"/>
    </row>
    <row r="699" ht="15.75" customHeight="1">
      <c r="A699" s="518"/>
      <c r="B699" s="517"/>
      <c r="C699" s="518"/>
      <c r="D699" s="992"/>
      <c r="E699" s="989"/>
      <c r="F699" s="989"/>
      <c r="G699" s="993"/>
      <c r="H699" s="993"/>
      <c r="I699" s="986"/>
      <c r="J699" s="523"/>
      <c r="K699" s="994"/>
      <c r="L699" s="995"/>
      <c r="M699" s="704"/>
      <c r="N699" s="704"/>
      <c r="O699" s="704"/>
      <c r="P699" s="957"/>
      <c r="Q699" s="957"/>
      <c r="R699" s="957"/>
      <c r="S699" s="957"/>
      <c r="T699" s="957"/>
      <c r="U699" s="957"/>
      <c r="V699" s="957"/>
      <c r="W699" s="957"/>
      <c r="X699" s="957"/>
      <c r="Y699" s="957"/>
      <c r="Z699" s="957"/>
      <c r="AA699" s="957"/>
      <c r="AB699" s="957"/>
      <c r="AC699" s="957"/>
      <c r="AD699" s="957"/>
    </row>
    <row r="700" ht="15.75" customHeight="1">
      <c r="A700" s="518"/>
      <c r="B700" s="517"/>
      <c r="C700" s="518"/>
      <c r="D700" s="992"/>
      <c r="E700" s="989"/>
      <c r="F700" s="989"/>
      <c r="G700" s="993"/>
      <c r="H700" s="993"/>
      <c r="I700" s="986"/>
      <c r="J700" s="523"/>
      <c r="K700" s="994"/>
      <c r="L700" s="995"/>
      <c r="M700" s="704"/>
      <c r="N700" s="704"/>
      <c r="O700" s="704"/>
      <c r="P700" s="957"/>
      <c r="Q700" s="957"/>
      <c r="R700" s="957"/>
      <c r="S700" s="957"/>
      <c r="T700" s="957"/>
      <c r="U700" s="957"/>
      <c r="V700" s="957"/>
      <c r="W700" s="957"/>
      <c r="X700" s="957"/>
      <c r="Y700" s="957"/>
      <c r="Z700" s="957"/>
      <c r="AA700" s="957"/>
      <c r="AB700" s="957"/>
      <c r="AC700" s="957"/>
      <c r="AD700" s="957"/>
    </row>
    <row r="701" ht="15.75" customHeight="1">
      <c r="A701" s="518"/>
      <c r="B701" s="517"/>
      <c r="C701" s="518"/>
      <c r="D701" s="992"/>
      <c r="E701" s="989"/>
      <c r="F701" s="989"/>
      <c r="G701" s="993"/>
      <c r="H701" s="993"/>
      <c r="I701" s="986"/>
      <c r="J701" s="523"/>
      <c r="K701" s="994"/>
      <c r="L701" s="995"/>
      <c r="M701" s="704"/>
      <c r="N701" s="704"/>
      <c r="O701" s="704"/>
      <c r="P701" s="957"/>
      <c r="Q701" s="957"/>
      <c r="R701" s="957"/>
      <c r="S701" s="957"/>
      <c r="T701" s="957"/>
      <c r="U701" s="957"/>
      <c r="V701" s="957"/>
      <c r="W701" s="957"/>
      <c r="X701" s="957"/>
      <c r="Y701" s="957"/>
      <c r="Z701" s="957"/>
      <c r="AA701" s="957"/>
      <c r="AB701" s="957"/>
      <c r="AC701" s="957"/>
      <c r="AD701" s="957"/>
    </row>
    <row r="702" ht="15.75" customHeight="1">
      <c r="A702" s="518"/>
      <c r="B702" s="517"/>
      <c r="C702" s="518"/>
      <c r="D702" s="992"/>
      <c r="E702" s="989"/>
      <c r="F702" s="989"/>
      <c r="G702" s="993"/>
      <c r="H702" s="993"/>
      <c r="I702" s="986"/>
      <c r="J702" s="523"/>
      <c r="K702" s="994"/>
      <c r="L702" s="995"/>
      <c r="M702" s="704"/>
      <c r="N702" s="704"/>
      <c r="O702" s="704"/>
      <c r="P702" s="957"/>
      <c r="Q702" s="957"/>
      <c r="R702" s="957"/>
      <c r="S702" s="957"/>
      <c r="T702" s="957"/>
      <c r="U702" s="957"/>
      <c r="V702" s="957"/>
      <c r="W702" s="957"/>
      <c r="X702" s="957"/>
      <c r="Y702" s="957"/>
      <c r="Z702" s="957"/>
      <c r="AA702" s="957"/>
      <c r="AB702" s="957"/>
      <c r="AC702" s="957"/>
      <c r="AD702" s="957"/>
    </row>
    <row r="703" ht="15.75" customHeight="1">
      <c r="A703" s="518"/>
      <c r="B703" s="517"/>
      <c r="C703" s="518"/>
      <c r="D703" s="992"/>
      <c r="E703" s="989"/>
      <c r="F703" s="989"/>
      <c r="G703" s="993"/>
      <c r="H703" s="993"/>
      <c r="I703" s="986"/>
      <c r="J703" s="523"/>
      <c r="K703" s="994"/>
      <c r="L703" s="995"/>
      <c r="M703" s="704"/>
      <c r="N703" s="704"/>
      <c r="O703" s="704"/>
      <c r="P703" s="957"/>
      <c r="Q703" s="957"/>
      <c r="R703" s="957"/>
      <c r="S703" s="957"/>
      <c r="T703" s="957"/>
      <c r="U703" s="957"/>
      <c r="V703" s="957"/>
      <c r="W703" s="957"/>
      <c r="X703" s="957"/>
      <c r="Y703" s="957"/>
      <c r="Z703" s="957"/>
      <c r="AA703" s="957"/>
      <c r="AB703" s="957"/>
      <c r="AC703" s="957"/>
      <c r="AD703" s="957"/>
    </row>
    <row r="704" ht="15.75" customHeight="1">
      <c r="A704" s="518"/>
      <c r="B704" s="517"/>
      <c r="C704" s="518"/>
      <c r="D704" s="992"/>
      <c r="E704" s="989"/>
      <c r="F704" s="989"/>
      <c r="G704" s="993"/>
      <c r="H704" s="993"/>
      <c r="I704" s="986"/>
      <c r="J704" s="523"/>
      <c r="K704" s="994"/>
      <c r="L704" s="995"/>
      <c r="M704" s="704"/>
      <c r="N704" s="704"/>
      <c r="O704" s="704"/>
      <c r="P704" s="957"/>
      <c r="Q704" s="957"/>
      <c r="R704" s="957"/>
      <c r="S704" s="957"/>
      <c r="T704" s="957"/>
      <c r="U704" s="957"/>
      <c r="V704" s="957"/>
      <c r="W704" s="957"/>
      <c r="X704" s="957"/>
      <c r="Y704" s="957"/>
      <c r="Z704" s="957"/>
      <c r="AA704" s="957"/>
      <c r="AB704" s="957"/>
      <c r="AC704" s="957"/>
      <c r="AD704" s="957"/>
    </row>
    <row r="705" ht="15.75" customHeight="1">
      <c r="A705" s="518"/>
      <c r="B705" s="517"/>
      <c r="C705" s="518"/>
      <c r="D705" s="992"/>
      <c r="E705" s="989"/>
      <c r="F705" s="989"/>
      <c r="G705" s="993"/>
      <c r="H705" s="993"/>
      <c r="I705" s="986"/>
      <c r="J705" s="523"/>
      <c r="K705" s="994"/>
      <c r="L705" s="995"/>
      <c r="M705" s="704"/>
      <c r="N705" s="704"/>
      <c r="O705" s="704"/>
      <c r="P705" s="957"/>
      <c r="Q705" s="957"/>
      <c r="R705" s="957"/>
      <c r="S705" s="957"/>
      <c r="T705" s="957"/>
      <c r="U705" s="957"/>
      <c r="V705" s="957"/>
      <c r="W705" s="957"/>
      <c r="X705" s="957"/>
      <c r="Y705" s="957"/>
      <c r="Z705" s="957"/>
      <c r="AA705" s="957"/>
      <c r="AB705" s="957"/>
      <c r="AC705" s="957"/>
      <c r="AD705" s="957"/>
    </row>
    <row r="706" ht="15.75" customHeight="1">
      <c r="A706" s="518"/>
      <c r="B706" s="517"/>
      <c r="C706" s="518"/>
      <c r="D706" s="992"/>
      <c r="E706" s="989"/>
      <c r="F706" s="989"/>
      <c r="G706" s="993"/>
      <c r="H706" s="993"/>
      <c r="I706" s="986"/>
      <c r="J706" s="523"/>
      <c r="K706" s="994"/>
      <c r="L706" s="995"/>
      <c r="M706" s="704"/>
      <c r="N706" s="704"/>
      <c r="O706" s="704"/>
      <c r="P706" s="957"/>
      <c r="Q706" s="957"/>
      <c r="R706" s="957"/>
      <c r="S706" s="957"/>
      <c r="T706" s="957"/>
      <c r="U706" s="957"/>
      <c r="V706" s="957"/>
      <c r="W706" s="957"/>
      <c r="X706" s="957"/>
      <c r="Y706" s="957"/>
      <c r="Z706" s="957"/>
      <c r="AA706" s="957"/>
      <c r="AB706" s="957"/>
      <c r="AC706" s="957"/>
      <c r="AD706" s="957"/>
    </row>
    <row r="707" ht="15.75" customHeight="1">
      <c r="A707" s="518"/>
      <c r="B707" s="517"/>
      <c r="C707" s="518"/>
      <c r="D707" s="992"/>
      <c r="E707" s="989"/>
      <c r="F707" s="989"/>
      <c r="G707" s="993"/>
      <c r="H707" s="993"/>
      <c r="I707" s="986"/>
      <c r="J707" s="523"/>
      <c r="K707" s="994"/>
      <c r="L707" s="995"/>
      <c r="M707" s="704"/>
      <c r="N707" s="704"/>
      <c r="O707" s="704"/>
      <c r="P707" s="957"/>
      <c r="Q707" s="957"/>
      <c r="R707" s="957"/>
      <c r="S707" s="957"/>
      <c r="T707" s="957"/>
      <c r="U707" s="957"/>
      <c r="V707" s="957"/>
      <c r="W707" s="957"/>
      <c r="X707" s="957"/>
      <c r="Y707" s="957"/>
      <c r="Z707" s="957"/>
      <c r="AA707" s="957"/>
      <c r="AB707" s="957"/>
      <c r="AC707" s="957"/>
      <c r="AD707" s="957"/>
    </row>
    <row r="708" ht="15.75" customHeight="1">
      <c r="A708" s="518"/>
      <c r="B708" s="517"/>
      <c r="C708" s="518"/>
      <c r="D708" s="992"/>
      <c r="E708" s="989"/>
      <c r="F708" s="989"/>
      <c r="G708" s="993"/>
      <c r="H708" s="993"/>
      <c r="I708" s="986"/>
      <c r="J708" s="523"/>
      <c r="K708" s="994"/>
      <c r="L708" s="995"/>
      <c r="M708" s="704"/>
      <c r="N708" s="704"/>
      <c r="O708" s="704"/>
      <c r="P708" s="957"/>
      <c r="Q708" s="957"/>
      <c r="R708" s="957"/>
      <c r="S708" s="957"/>
      <c r="T708" s="957"/>
      <c r="U708" s="957"/>
      <c r="V708" s="957"/>
      <c r="W708" s="957"/>
      <c r="X708" s="957"/>
      <c r="Y708" s="957"/>
      <c r="Z708" s="957"/>
      <c r="AA708" s="957"/>
      <c r="AB708" s="957"/>
      <c r="AC708" s="957"/>
      <c r="AD708" s="957"/>
    </row>
    <row r="709" ht="15.75" customHeight="1">
      <c r="A709" s="518"/>
      <c r="B709" s="517"/>
      <c r="C709" s="518"/>
      <c r="D709" s="992"/>
      <c r="E709" s="989"/>
      <c r="F709" s="989"/>
      <c r="G709" s="993"/>
      <c r="H709" s="993"/>
      <c r="I709" s="986"/>
      <c r="J709" s="523"/>
      <c r="K709" s="994"/>
      <c r="L709" s="995"/>
      <c r="M709" s="704"/>
      <c r="N709" s="704"/>
      <c r="O709" s="704"/>
      <c r="P709" s="957"/>
      <c r="Q709" s="957"/>
      <c r="R709" s="957"/>
      <c r="S709" s="957"/>
      <c r="T709" s="957"/>
      <c r="U709" s="957"/>
      <c r="V709" s="957"/>
      <c r="W709" s="957"/>
      <c r="X709" s="957"/>
      <c r="Y709" s="957"/>
      <c r="Z709" s="957"/>
      <c r="AA709" s="957"/>
      <c r="AB709" s="957"/>
      <c r="AC709" s="957"/>
      <c r="AD709" s="957"/>
    </row>
    <row r="710" ht="15.75" customHeight="1">
      <c r="A710" s="518"/>
      <c r="B710" s="517"/>
      <c r="C710" s="518"/>
      <c r="D710" s="992"/>
      <c r="E710" s="989"/>
      <c r="F710" s="989"/>
      <c r="G710" s="993"/>
      <c r="H710" s="993"/>
      <c r="I710" s="986"/>
      <c r="J710" s="523"/>
      <c r="K710" s="994"/>
      <c r="L710" s="995"/>
      <c r="M710" s="704"/>
      <c r="N710" s="704"/>
      <c r="O710" s="704"/>
      <c r="P710" s="957"/>
      <c r="Q710" s="957"/>
      <c r="R710" s="957"/>
      <c r="S710" s="957"/>
      <c r="T710" s="957"/>
      <c r="U710" s="957"/>
      <c r="V710" s="957"/>
      <c r="W710" s="957"/>
      <c r="X710" s="957"/>
      <c r="Y710" s="957"/>
      <c r="Z710" s="957"/>
      <c r="AA710" s="957"/>
      <c r="AB710" s="957"/>
      <c r="AC710" s="957"/>
      <c r="AD710" s="957"/>
    </row>
    <row r="711" ht="15.75" customHeight="1">
      <c r="A711" s="518"/>
      <c r="B711" s="517"/>
      <c r="C711" s="518"/>
      <c r="D711" s="992"/>
      <c r="E711" s="989"/>
      <c r="F711" s="989"/>
      <c r="G711" s="993"/>
      <c r="H711" s="993"/>
      <c r="I711" s="986"/>
      <c r="J711" s="523"/>
      <c r="K711" s="994"/>
      <c r="L711" s="995"/>
      <c r="M711" s="704"/>
      <c r="N711" s="704"/>
      <c r="O711" s="704"/>
      <c r="P711" s="957"/>
      <c r="Q711" s="957"/>
      <c r="R711" s="957"/>
      <c r="S711" s="957"/>
      <c r="T711" s="957"/>
      <c r="U711" s="957"/>
      <c r="V711" s="957"/>
      <c r="W711" s="957"/>
      <c r="X711" s="957"/>
      <c r="Y711" s="957"/>
      <c r="Z711" s="957"/>
      <c r="AA711" s="957"/>
      <c r="AB711" s="957"/>
      <c r="AC711" s="957"/>
      <c r="AD711" s="957"/>
    </row>
    <row r="712" ht="15.75" customHeight="1">
      <c r="A712" s="518"/>
      <c r="B712" s="517"/>
      <c r="C712" s="518"/>
      <c r="D712" s="992"/>
      <c r="E712" s="989"/>
      <c r="F712" s="989"/>
      <c r="G712" s="993"/>
      <c r="H712" s="993"/>
      <c r="I712" s="986"/>
      <c r="J712" s="523"/>
      <c r="K712" s="994"/>
      <c r="L712" s="995"/>
      <c r="M712" s="704"/>
      <c r="N712" s="704"/>
      <c r="O712" s="704"/>
      <c r="P712" s="957"/>
      <c r="Q712" s="957"/>
      <c r="R712" s="957"/>
      <c r="S712" s="957"/>
      <c r="T712" s="957"/>
      <c r="U712" s="957"/>
      <c r="V712" s="957"/>
      <c r="W712" s="957"/>
      <c r="X712" s="957"/>
      <c r="Y712" s="957"/>
      <c r="Z712" s="957"/>
      <c r="AA712" s="957"/>
      <c r="AB712" s="957"/>
      <c r="AC712" s="957"/>
      <c r="AD712" s="957"/>
    </row>
    <row r="713" ht="15.75" customHeight="1">
      <c r="A713" s="518"/>
      <c r="B713" s="517"/>
      <c r="C713" s="518"/>
      <c r="D713" s="992"/>
      <c r="E713" s="989"/>
      <c r="F713" s="989"/>
      <c r="G713" s="993"/>
      <c r="H713" s="993"/>
      <c r="I713" s="986"/>
      <c r="J713" s="523"/>
      <c r="K713" s="994"/>
      <c r="L713" s="995"/>
      <c r="M713" s="704"/>
      <c r="N713" s="704"/>
      <c r="O713" s="704"/>
      <c r="P713" s="957"/>
      <c r="Q713" s="957"/>
      <c r="R713" s="957"/>
      <c r="S713" s="957"/>
      <c r="T713" s="957"/>
      <c r="U713" s="957"/>
      <c r="V713" s="957"/>
      <c r="W713" s="957"/>
      <c r="X713" s="957"/>
      <c r="Y713" s="957"/>
      <c r="Z713" s="957"/>
      <c r="AA713" s="957"/>
      <c r="AB713" s="957"/>
      <c r="AC713" s="957"/>
      <c r="AD713" s="957"/>
    </row>
    <row r="714" ht="15.75" customHeight="1">
      <c r="A714" s="518"/>
      <c r="B714" s="517"/>
      <c r="C714" s="518"/>
      <c r="D714" s="992"/>
      <c r="E714" s="989"/>
      <c r="F714" s="989"/>
      <c r="G714" s="993"/>
      <c r="H714" s="993"/>
      <c r="I714" s="986"/>
      <c r="J714" s="523"/>
      <c r="K714" s="994"/>
      <c r="L714" s="995"/>
      <c r="M714" s="704"/>
      <c r="N714" s="704"/>
      <c r="O714" s="704"/>
      <c r="P714" s="957"/>
      <c r="Q714" s="957"/>
      <c r="R714" s="957"/>
      <c r="S714" s="957"/>
      <c r="T714" s="957"/>
      <c r="U714" s="957"/>
      <c r="V714" s="957"/>
      <c r="W714" s="957"/>
      <c r="X714" s="957"/>
      <c r="Y714" s="957"/>
      <c r="Z714" s="957"/>
      <c r="AA714" s="957"/>
      <c r="AB714" s="957"/>
      <c r="AC714" s="957"/>
      <c r="AD714" s="957"/>
    </row>
    <row r="715" ht="15.75" customHeight="1">
      <c r="A715" s="518"/>
      <c r="B715" s="517"/>
      <c r="C715" s="518"/>
      <c r="D715" s="992"/>
      <c r="E715" s="989"/>
      <c r="F715" s="989"/>
      <c r="G715" s="993"/>
      <c r="H715" s="993"/>
      <c r="I715" s="986"/>
      <c r="J715" s="523"/>
      <c r="K715" s="994"/>
      <c r="L715" s="995"/>
      <c r="M715" s="704"/>
      <c r="N715" s="704"/>
      <c r="O715" s="704"/>
      <c r="P715" s="957"/>
      <c r="Q715" s="957"/>
      <c r="R715" s="957"/>
      <c r="S715" s="957"/>
      <c r="T715" s="957"/>
      <c r="U715" s="957"/>
      <c r="V715" s="957"/>
      <c r="W715" s="957"/>
      <c r="X715" s="957"/>
      <c r="Y715" s="957"/>
      <c r="Z715" s="957"/>
      <c r="AA715" s="957"/>
      <c r="AB715" s="957"/>
      <c r="AC715" s="957"/>
      <c r="AD715" s="957"/>
    </row>
    <row r="716" ht="15.75" customHeight="1">
      <c r="A716" s="518"/>
      <c r="B716" s="517"/>
      <c r="C716" s="518"/>
      <c r="D716" s="992"/>
      <c r="E716" s="989"/>
      <c r="F716" s="989"/>
      <c r="G716" s="993"/>
      <c r="H716" s="993"/>
      <c r="I716" s="986"/>
      <c r="J716" s="523"/>
      <c r="K716" s="994"/>
      <c r="L716" s="995"/>
      <c r="M716" s="704"/>
      <c r="N716" s="704"/>
      <c r="O716" s="704"/>
      <c r="P716" s="957"/>
      <c r="Q716" s="957"/>
      <c r="R716" s="957"/>
      <c r="S716" s="957"/>
      <c r="T716" s="957"/>
      <c r="U716" s="957"/>
      <c r="V716" s="957"/>
      <c r="W716" s="957"/>
      <c r="X716" s="957"/>
      <c r="Y716" s="957"/>
      <c r="Z716" s="957"/>
      <c r="AA716" s="957"/>
      <c r="AB716" s="957"/>
      <c r="AC716" s="957"/>
      <c r="AD716" s="957"/>
    </row>
    <row r="717" ht="15.75" customHeight="1">
      <c r="A717" s="518"/>
      <c r="B717" s="517"/>
      <c r="C717" s="518"/>
      <c r="D717" s="992"/>
      <c r="E717" s="989"/>
      <c r="F717" s="989"/>
      <c r="G717" s="993"/>
      <c r="H717" s="993"/>
      <c r="I717" s="986"/>
      <c r="J717" s="523"/>
      <c r="K717" s="994"/>
      <c r="L717" s="995"/>
      <c r="M717" s="704"/>
      <c r="N717" s="704"/>
      <c r="O717" s="704"/>
      <c r="P717" s="957"/>
      <c r="Q717" s="957"/>
      <c r="R717" s="957"/>
      <c r="S717" s="957"/>
      <c r="T717" s="957"/>
      <c r="U717" s="957"/>
      <c r="V717" s="957"/>
      <c r="W717" s="957"/>
      <c r="X717" s="957"/>
      <c r="Y717" s="957"/>
      <c r="Z717" s="957"/>
      <c r="AA717" s="957"/>
      <c r="AB717" s="957"/>
      <c r="AC717" s="957"/>
      <c r="AD717" s="957"/>
    </row>
    <row r="718" ht="15.75" customHeight="1">
      <c r="A718" s="518"/>
      <c r="B718" s="517"/>
      <c r="C718" s="518"/>
      <c r="D718" s="992"/>
      <c r="E718" s="989"/>
      <c r="F718" s="989"/>
      <c r="G718" s="993"/>
      <c r="H718" s="993"/>
      <c r="I718" s="986"/>
      <c r="J718" s="523"/>
      <c r="K718" s="994"/>
      <c r="L718" s="995"/>
      <c r="M718" s="704"/>
      <c r="N718" s="704"/>
      <c r="O718" s="704"/>
      <c r="P718" s="957"/>
      <c r="Q718" s="957"/>
      <c r="R718" s="957"/>
      <c r="S718" s="957"/>
      <c r="T718" s="957"/>
      <c r="U718" s="957"/>
      <c r="V718" s="957"/>
      <c r="W718" s="957"/>
      <c r="X718" s="957"/>
      <c r="Y718" s="957"/>
      <c r="Z718" s="957"/>
      <c r="AA718" s="957"/>
      <c r="AB718" s="957"/>
      <c r="AC718" s="957"/>
      <c r="AD718" s="957"/>
    </row>
    <row r="719" ht="15.75" customHeight="1">
      <c r="A719" s="518"/>
      <c r="B719" s="517"/>
      <c r="C719" s="518"/>
      <c r="D719" s="992"/>
      <c r="E719" s="989"/>
      <c r="F719" s="989"/>
      <c r="G719" s="993"/>
      <c r="H719" s="993"/>
      <c r="I719" s="986"/>
      <c r="J719" s="523"/>
      <c r="K719" s="994"/>
      <c r="L719" s="995"/>
      <c r="M719" s="704"/>
      <c r="N719" s="704"/>
      <c r="O719" s="704"/>
      <c r="P719" s="957"/>
      <c r="Q719" s="957"/>
      <c r="R719" s="957"/>
      <c r="S719" s="957"/>
      <c r="T719" s="957"/>
      <c r="U719" s="957"/>
      <c r="V719" s="957"/>
      <c r="W719" s="957"/>
      <c r="X719" s="957"/>
      <c r="Y719" s="957"/>
      <c r="Z719" s="957"/>
      <c r="AA719" s="957"/>
      <c r="AB719" s="957"/>
      <c r="AC719" s="957"/>
      <c r="AD719" s="957"/>
    </row>
    <row r="720" ht="15.75" customHeight="1">
      <c r="A720" s="518"/>
      <c r="B720" s="517"/>
      <c r="C720" s="518"/>
      <c r="D720" s="992"/>
      <c r="E720" s="989"/>
      <c r="F720" s="989"/>
      <c r="G720" s="993"/>
      <c r="H720" s="993"/>
      <c r="I720" s="986"/>
      <c r="J720" s="523"/>
      <c r="K720" s="994"/>
      <c r="L720" s="995"/>
      <c r="M720" s="704"/>
      <c r="N720" s="704"/>
      <c r="O720" s="704"/>
      <c r="P720" s="957"/>
      <c r="Q720" s="957"/>
      <c r="R720" s="957"/>
      <c r="S720" s="957"/>
      <c r="T720" s="957"/>
      <c r="U720" s="957"/>
      <c r="V720" s="957"/>
      <c r="W720" s="957"/>
      <c r="X720" s="957"/>
      <c r="Y720" s="957"/>
      <c r="Z720" s="957"/>
      <c r="AA720" s="957"/>
      <c r="AB720" s="957"/>
      <c r="AC720" s="957"/>
      <c r="AD720" s="957"/>
    </row>
    <row r="721" ht="15.75" customHeight="1">
      <c r="A721" s="518"/>
      <c r="B721" s="517"/>
      <c r="C721" s="518"/>
      <c r="D721" s="992"/>
      <c r="E721" s="989"/>
      <c r="F721" s="989"/>
      <c r="G721" s="993"/>
      <c r="H721" s="993"/>
      <c r="I721" s="986"/>
      <c r="J721" s="523"/>
      <c r="K721" s="994"/>
      <c r="L721" s="995"/>
      <c r="M721" s="704"/>
      <c r="N721" s="704"/>
      <c r="O721" s="704"/>
      <c r="P721" s="957"/>
      <c r="Q721" s="957"/>
      <c r="R721" s="957"/>
      <c r="S721" s="957"/>
      <c r="T721" s="957"/>
      <c r="U721" s="957"/>
      <c r="V721" s="957"/>
      <c r="W721" s="957"/>
      <c r="X721" s="957"/>
      <c r="Y721" s="957"/>
      <c r="Z721" s="957"/>
      <c r="AA721" s="957"/>
      <c r="AB721" s="957"/>
      <c r="AC721" s="957"/>
      <c r="AD721" s="957"/>
    </row>
    <row r="722" ht="15.75" customHeight="1">
      <c r="A722" s="518"/>
      <c r="B722" s="517"/>
      <c r="C722" s="518"/>
      <c r="D722" s="992"/>
      <c r="E722" s="989"/>
      <c r="F722" s="989"/>
      <c r="G722" s="993"/>
      <c r="H722" s="993"/>
      <c r="I722" s="986"/>
      <c r="J722" s="523"/>
      <c r="K722" s="994"/>
      <c r="L722" s="995"/>
      <c r="M722" s="704"/>
      <c r="N722" s="704"/>
      <c r="O722" s="704"/>
      <c r="P722" s="957"/>
      <c r="Q722" s="957"/>
      <c r="R722" s="957"/>
      <c r="S722" s="957"/>
      <c r="T722" s="957"/>
      <c r="U722" s="957"/>
      <c r="V722" s="957"/>
      <c r="W722" s="957"/>
      <c r="X722" s="957"/>
      <c r="Y722" s="957"/>
      <c r="Z722" s="957"/>
      <c r="AA722" s="957"/>
      <c r="AB722" s="957"/>
      <c r="AC722" s="957"/>
      <c r="AD722" s="957"/>
    </row>
    <row r="723" ht="15.75" customHeight="1">
      <c r="A723" s="518"/>
      <c r="B723" s="517"/>
      <c r="C723" s="518"/>
      <c r="D723" s="992"/>
      <c r="E723" s="989"/>
      <c r="F723" s="989"/>
      <c r="G723" s="993"/>
      <c r="H723" s="993"/>
      <c r="I723" s="986"/>
      <c r="J723" s="523"/>
      <c r="K723" s="994"/>
      <c r="L723" s="995"/>
      <c r="M723" s="704"/>
      <c r="N723" s="704"/>
      <c r="O723" s="704"/>
      <c r="P723" s="957"/>
      <c r="Q723" s="957"/>
      <c r="R723" s="957"/>
      <c r="S723" s="957"/>
      <c r="T723" s="957"/>
      <c r="U723" s="957"/>
      <c r="V723" s="957"/>
      <c r="W723" s="957"/>
      <c r="X723" s="957"/>
      <c r="Y723" s="957"/>
      <c r="Z723" s="957"/>
      <c r="AA723" s="957"/>
      <c r="AB723" s="957"/>
      <c r="AC723" s="957"/>
      <c r="AD723" s="957"/>
    </row>
    <row r="724" ht="15.75" customHeight="1">
      <c r="A724" s="518"/>
      <c r="B724" s="517"/>
      <c r="C724" s="518"/>
      <c r="D724" s="992"/>
      <c r="E724" s="989"/>
      <c r="F724" s="989"/>
      <c r="G724" s="993"/>
      <c r="H724" s="993"/>
      <c r="I724" s="986"/>
      <c r="J724" s="523"/>
      <c r="K724" s="994"/>
      <c r="L724" s="995"/>
      <c r="M724" s="704"/>
      <c r="N724" s="704"/>
      <c r="O724" s="704"/>
      <c r="P724" s="957"/>
      <c r="Q724" s="957"/>
      <c r="R724" s="957"/>
      <c r="S724" s="957"/>
      <c r="T724" s="957"/>
      <c r="U724" s="957"/>
      <c r="V724" s="957"/>
      <c r="W724" s="957"/>
      <c r="X724" s="957"/>
      <c r="Y724" s="957"/>
      <c r="Z724" s="957"/>
      <c r="AA724" s="957"/>
      <c r="AB724" s="957"/>
      <c r="AC724" s="957"/>
      <c r="AD724" s="957"/>
    </row>
    <row r="725" ht="15.75" customHeight="1">
      <c r="A725" s="518"/>
      <c r="B725" s="517"/>
      <c r="C725" s="518"/>
      <c r="D725" s="992"/>
      <c r="E725" s="989"/>
      <c r="F725" s="989"/>
      <c r="G725" s="993"/>
      <c r="H725" s="993"/>
      <c r="I725" s="986"/>
      <c r="J725" s="523"/>
      <c r="K725" s="994"/>
      <c r="L725" s="995"/>
      <c r="M725" s="704"/>
      <c r="N725" s="704"/>
      <c r="O725" s="704"/>
      <c r="P725" s="957"/>
      <c r="Q725" s="957"/>
      <c r="R725" s="957"/>
      <c r="S725" s="957"/>
      <c r="T725" s="957"/>
      <c r="U725" s="957"/>
      <c r="V725" s="957"/>
      <c r="W725" s="957"/>
      <c r="X725" s="957"/>
      <c r="Y725" s="957"/>
      <c r="Z725" s="957"/>
      <c r="AA725" s="957"/>
      <c r="AB725" s="957"/>
      <c r="AC725" s="957"/>
      <c r="AD725" s="957"/>
    </row>
    <row r="726" ht="15.75" customHeight="1">
      <c r="A726" s="518"/>
      <c r="B726" s="517"/>
      <c r="C726" s="518"/>
      <c r="D726" s="992"/>
      <c r="E726" s="989"/>
      <c r="F726" s="989"/>
      <c r="G726" s="993"/>
      <c r="H726" s="993"/>
      <c r="I726" s="986"/>
      <c r="J726" s="523"/>
      <c r="K726" s="994"/>
      <c r="L726" s="995"/>
      <c r="M726" s="704"/>
      <c r="N726" s="704"/>
      <c r="O726" s="704"/>
      <c r="P726" s="957"/>
      <c r="Q726" s="957"/>
      <c r="R726" s="957"/>
      <c r="S726" s="957"/>
      <c r="T726" s="957"/>
      <c r="U726" s="957"/>
      <c r="V726" s="957"/>
      <c r="W726" s="957"/>
      <c r="X726" s="957"/>
      <c r="Y726" s="957"/>
      <c r="Z726" s="957"/>
      <c r="AA726" s="957"/>
      <c r="AB726" s="957"/>
      <c r="AC726" s="957"/>
      <c r="AD726" s="957"/>
    </row>
    <row r="727" ht="15.75" customHeight="1">
      <c r="A727" s="518"/>
      <c r="B727" s="517"/>
      <c r="C727" s="518"/>
      <c r="D727" s="992"/>
      <c r="E727" s="989"/>
      <c r="F727" s="989"/>
      <c r="G727" s="993"/>
      <c r="H727" s="993"/>
      <c r="I727" s="986"/>
      <c r="J727" s="523"/>
      <c r="K727" s="994"/>
      <c r="L727" s="995"/>
      <c r="M727" s="704"/>
      <c r="N727" s="704"/>
      <c r="O727" s="704"/>
      <c r="P727" s="957"/>
      <c r="Q727" s="957"/>
      <c r="R727" s="957"/>
      <c r="S727" s="957"/>
      <c r="T727" s="957"/>
      <c r="U727" s="957"/>
      <c r="V727" s="957"/>
      <c r="W727" s="957"/>
      <c r="X727" s="957"/>
      <c r="Y727" s="957"/>
      <c r="Z727" s="957"/>
      <c r="AA727" s="957"/>
      <c r="AB727" s="957"/>
      <c r="AC727" s="957"/>
      <c r="AD727" s="957"/>
    </row>
    <row r="728" ht="15.75" customHeight="1">
      <c r="A728" s="518"/>
      <c r="B728" s="517"/>
      <c r="C728" s="518"/>
      <c r="D728" s="992"/>
      <c r="E728" s="989"/>
      <c r="F728" s="989"/>
      <c r="G728" s="993"/>
      <c r="H728" s="993"/>
      <c r="I728" s="986"/>
      <c r="J728" s="523"/>
      <c r="K728" s="994"/>
      <c r="L728" s="995"/>
      <c r="M728" s="704"/>
      <c r="N728" s="704"/>
      <c r="O728" s="704"/>
      <c r="P728" s="957"/>
      <c r="Q728" s="957"/>
      <c r="R728" s="957"/>
      <c r="S728" s="957"/>
      <c r="T728" s="957"/>
      <c r="U728" s="957"/>
      <c r="V728" s="957"/>
      <c r="W728" s="957"/>
      <c r="X728" s="957"/>
      <c r="Y728" s="957"/>
      <c r="Z728" s="957"/>
      <c r="AA728" s="957"/>
      <c r="AB728" s="957"/>
      <c r="AC728" s="957"/>
      <c r="AD728" s="957"/>
    </row>
    <row r="729" ht="15.75" customHeight="1">
      <c r="A729" s="518"/>
      <c r="B729" s="517"/>
      <c r="C729" s="518"/>
      <c r="D729" s="992"/>
      <c r="E729" s="989"/>
      <c r="F729" s="989"/>
      <c r="G729" s="993"/>
      <c r="H729" s="993"/>
      <c r="I729" s="986"/>
      <c r="J729" s="523"/>
      <c r="K729" s="994"/>
      <c r="L729" s="995"/>
      <c r="M729" s="704"/>
      <c r="N729" s="704"/>
      <c r="O729" s="704"/>
      <c r="P729" s="957"/>
      <c r="Q729" s="957"/>
      <c r="R729" s="957"/>
      <c r="S729" s="957"/>
      <c r="T729" s="957"/>
      <c r="U729" s="957"/>
      <c r="V729" s="957"/>
      <c r="W729" s="957"/>
      <c r="X729" s="957"/>
      <c r="Y729" s="957"/>
      <c r="Z729" s="957"/>
      <c r="AA729" s="957"/>
      <c r="AB729" s="957"/>
      <c r="AC729" s="957"/>
      <c r="AD729" s="957"/>
    </row>
    <row r="730" ht="15.75" customHeight="1">
      <c r="A730" s="518"/>
      <c r="B730" s="517"/>
      <c r="C730" s="518"/>
      <c r="D730" s="992"/>
      <c r="E730" s="989"/>
      <c r="F730" s="989"/>
      <c r="G730" s="993"/>
      <c r="H730" s="993"/>
      <c r="I730" s="986"/>
      <c r="J730" s="523"/>
      <c r="K730" s="994"/>
      <c r="L730" s="995"/>
      <c r="M730" s="704"/>
      <c r="N730" s="704"/>
      <c r="O730" s="704"/>
      <c r="P730" s="957"/>
      <c r="Q730" s="957"/>
      <c r="R730" s="957"/>
      <c r="S730" s="957"/>
      <c r="T730" s="957"/>
      <c r="U730" s="957"/>
      <c r="V730" s="957"/>
      <c r="W730" s="957"/>
      <c r="X730" s="957"/>
      <c r="Y730" s="957"/>
      <c r="Z730" s="957"/>
      <c r="AA730" s="957"/>
      <c r="AB730" s="957"/>
      <c r="AC730" s="957"/>
      <c r="AD730" s="957"/>
    </row>
    <row r="731" ht="15.75" customHeight="1">
      <c r="A731" s="518"/>
      <c r="B731" s="517"/>
      <c r="C731" s="518"/>
      <c r="D731" s="992"/>
      <c r="E731" s="989"/>
      <c r="F731" s="989"/>
      <c r="G731" s="993"/>
      <c r="H731" s="993"/>
      <c r="I731" s="986"/>
      <c r="J731" s="523"/>
      <c r="K731" s="994"/>
      <c r="L731" s="995"/>
      <c r="M731" s="704"/>
      <c r="N731" s="704"/>
      <c r="O731" s="704"/>
      <c r="P731" s="957"/>
      <c r="Q731" s="957"/>
      <c r="R731" s="957"/>
      <c r="S731" s="957"/>
      <c r="T731" s="957"/>
      <c r="U731" s="957"/>
      <c r="V731" s="957"/>
      <c r="W731" s="957"/>
      <c r="X731" s="957"/>
      <c r="Y731" s="957"/>
      <c r="Z731" s="957"/>
      <c r="AA731" s="957"/>
      <c r="AB731" s="957"/>
      <c r="AC731" s="957"/>
      <c r="AD731" s="957"/>
    </row>
    <row r="732" ht="15.75" customHeight="1">
      <c r="A732" s="518"/>
      <c r="B732" s="517"/>
      <c r="C732" s="518"/>
      <c r="D732" s="992"/>
      <c r="E732" s="989"/>
      <c r="F732" s="989"/>
      <c r="G732" s="993"/>
      <c r="H732" s="993"/>
      <c r="I732" s="986"/>
      <c r="J732" s="523"/>
      <c r="K732" s="994"/>
      <c r="L732" s="995"/>
      <c r="M732" s="704"/>
      <c r="N732" s="704"/>
      <c r="O732" s="704"/>
      <c r="P732" s="957"/>
      <c r="Q732" s="957"/>
      <c r="R732" s="957"/>
      <c r="S732" s="957"/>
      <c r="T732" s="957"/>
      <c r="U732" s="957"/>
      <c r="V732" s="957"/>
      <c r="W732" s="957"/>
      <c r="X732" s="957"/>
      <c r="Y732" s="957"/>
      <c r="Z732" s="957"/>
      <c r="AA732" s="957"/>
      <c r="AB732" s="957"/>
      <c r="AC732" s="957"/>
      <c r="AD732" s="957"/>
    </row>
    <row r="733" ht="15.75" customHeight="1">
      <c r="A733" s="518"/>
      <c r="B733" s="517"/>
      <c r="C733" s="518"/>
      <c r="D733" s="992"/>
      <c r="E733" s="989"/>
      <c r="F733" s="989"/>
      <c r="G733" s="993"/>
      <c r="H733" s="993"/>
      <c r="I733" s="986"/>
      <c r="J733" s="523"/>
      <c r="K733" s="994"/>
      <c r="L733" s="995"/>
      <c r="M733" s="704"/>
      <c r="N733" s="704"/>
      <c r="O733" s="704"/>
      <c r="P733" s="957"/>
      <c r="Q733" s="957"/>
      <c r="R733" s="957"/>
      <c r="S733" s="957"/>
      <c r="T733" s="957"/>
      <c r="U733" s="957"/>
      <c r="V733" s="957"/>
      <c r="W733" s="957"/>
      <c r="X733" s="957"/>
      <c r="Y733" s="957"/>
      <c r="Z733" s="957"/>
      <c r="AA733" s="957"/>
      <c r="AB733" s="957"/>
      <c r="AC733" s="957"/>
      <c r="AD733" s="957"/>
    </row>
    <row r="734" ht="15.75" customHeight="1">
      <c r="A734" s="518"/>
      <c r="B734" s="517"/>
      <c r="C734" s="518"/>
      <c r="D734" s="992"/>
      <c r="E734" s="989"/>
      <c r="F734" s="989"/>
      <c r="G734" s="993"/>
      <c r="H734" s="993"/>
      <c r="I734" s="986"/>
      <c r="J734" s="523"/>
      <c r="K734" s="994"/>
      <c r="L734" s="995"/>
      <c r="M734" s="704"/>
      <c r="N734" s="704"/>
      <c r="O734" s="704"/>
      <c r="P734" s="957"/>
      <c r="Q734" s="957"/>
      <c r="R734" s="957"/>
      <c r="S734" s="957"/>
      <c r="T734" s="957"/>
      <c r="U734" s="957"/>
      <c r="V734" s="957"/>
      <c r="W734" s="957"/>
      <c r="X734" s="957"/>
      <c r="Y734" s="957"/>
      <c r="Z734" s="957"/>
      <c r="AA734" s="957"/>
      <c r="AB734" s="957"/>
      <c r="AC734" s="957"/>
      <c r="AD734" s="957"/>
    </row>
    <row r="735" ht="15.75" customHeight="1">
      <c r="A735" s="518"/>
      <c r="B735" s="517"/>
      <c r="C735" s="518"/>
      <c r="D735" s="992"/>
      <c r="E735" s="989"/>
      <c r="F735" s="989"/>
      <c r="G735" s="993"/>
      <c r="H735" s="993"/>
      <c r="I735" s="986"/>
      <c r="J735" s="523"/>
      <c r="K735" s="994"/>
      <c r="L735" s="995"/>
      <c r="M735" s="704"/>
      <c r="N735" s="704"/>
      <c r="O735" s="704"/>
      <c r="P735" s="957"/>
      <c r="Q735" s="957"/>
      <c r="R735" s="957"/>
      <c r="S735" s="957"/>
      <c r="T735" s="957"/>
      <c r="U735" s="957"/>
      <c r="V735" s="957"/>
      <c r="W735" s="957"/>
      <c r="X735" s="957"/>
      <c r="Y735" s="957"/>
      <c r="Z735" s="957"/>
      <c r="AA735" s="957"/>
      <c r="AB735" s="957"/>
      <c r="AC735" s="957"/>
      <c r="AD735" s="957"/>
    </row>
    <row r="736" ht="15.75" customHeight="1">
      <c r="A736" s="518"/>
      <c r="B736" s="517"/>
      <c r="C736" s="518"/>
      <c r="D736" s="992"/>
      <c r="E736" s="989"/>
      <c r="F736" s="989"/>
      <c r="G736" s="993"/>
      <c r="H736" s="993"/>
      <c r="I736" s="986"/>
      <c r="J736" s="523"/>
      <c r="K736" s="994"/>
      <c r="L736" s="995"/>
      <c r="M736" s="704"/>
      <c r="N736" s="704"/>
      <c r="O736" s="704"/>
      <c r="P736" s="957"/>
      <c r="Q736" s="957"/>
      <c r="R736" s="957"/>
      <c r="S736" s="957"/>
      <c r="T736" s="957"/>
      <c r="U736" s="957"/>
      <c r="V736" s="957"/>
      <c r="W736" s="957"/>
      <c r="X736" s="957"/>
      <c r="Y736" s="957"/>
      <c r="Z736" s="957"/>
      <c r="AA736" s="957"/>
      <c r="AB736" s="957"/>
      <c r="AC736" s="957"/>
      <c r="AD736" s="957"/>
    </row>
    <row r="737" ht="15.75" customHeight="1">
      <c r="A737" s="518"/>
      <c r="B737" s="517"/>
      <c r="C737" s="518"/>
      <c r="D737" s="992"/>
      <c r="E737" s="989"/>
      <c r="F737" s="989"/>
      <c r="G737" s="993"/>
      <c r="H737" s="993"/>
      <c r="I737" s="986"/>
      <c r="J737" s="523"/>
      <c r="K737" s="994"/>
      <c r="L737" s="995"/>
      <c r="M737" s="704"/>
      <c r="N737" s="704"/>
      <c r="O737" s="704"/>
      <c r="P737" s="957"/>
      <c r="Q737" s="957"/>
      <c r="R737" s="957"/>
      <c r="S737" s="957"/>
      <c r="T737" s="957"/>
      <c r="U737" s="957"/>
      <c r="V737" s="957"/>
      <c r="W737" s="957"/>
      <c r="X737" s="957"/>
      <c r="Y737" s="957"/>
      <c r="Z737" s="957"/>
      <c r="AA737" s="957"/>
      <c r="AB737" s="957"/>
      <c r="AC737" s="957"/>
      <c r="AD737" s="957"/>
    </row>
    <row r="738" ht="15.75" customHeight="1">
      <c r="A738" s="518"/>
      <c r="B738" s="517"/>
      <c r="C738" s="518"/>
      <c r="D738" s="992"/>
      <c r="E738" s="989"/>
      <c r="F738" s="989"/>
      <c r="G738" s="993"/>
      <c r="H738" s="993"/>
      <c r="I738" s="986"/>
      <c r="J738" s="523"/>
      <c r="K738" s="994"/>
      <c r="L738" s="995"/>
      <c r="M738" s="704"/>
      <c r="N738" s="704"/>
      <c r="O738" s="704"/>
      <c r="P738" s="957"/>
      <c r="Q738" s="957"/>
      <c r="R738" s="957"/>
      <c r="S738" s="957"/>
      <c r="T738" s="957"/>
      <c r="U738" s="957"/>
      <c r="V738" s="957"/>
      <c r="W738" s="957"/>
      <c r="X738" s="957"/>
      <c r="Y738" s="957"/>
      <c r="Z738" s="957"/>
      <c r="AA738" s="957"/>
      <c r="AB738" s="957"/>
      <c r="AC738" s="957"/>
      <c r="AD738" s="957"/>
    </row>
    <row r="739" ht="15.75" customHeight="1">
      <c r="A739" s="518"/>
      <c r="B739" s="517"/>
      <c r="C739" s="518"/>
      <c r="D739" s="992"/>
      <c r="E739" s="989"/>
      <c r="F739" s="989"/>
      <c r="G739" s="993"/>
      <c r="H739" s="993"/>
      <c r="I739" s="986"/>
      <c r="J739" s="523"/>
      <c r="K739" s="994"/>
      <c r="L739" s="995"/>
      <c r="M739" s="704"/>
      <c r="N739" s="704"/>
      <c r="O739" s="704"/>
      <c r="P739" s="957"/>
      <c r="Q739" s="957"/>
      <c r="R739" s="957"/>
      <c r="S739" s="957"/>
      <c r="T739" s="957"/>
      <c r="U739" s="957"/>
      <c r="V739" s="957"/>
      <c r="W739" s="957"/>
      <c r="X739" s="957"/>
      <c r="Y739" s="957"/>
      <c r="Z739" s="957"/>
      <c r="AA739" s="957"/>
      <c r="AB739" s="957"/>
      <c r="AC739" s="957"/>
      <c r="AD739" s="957"/>
    </row>
    <row r="740" ht="15.75" customHeight="1">
      <c r="A740" s="518"/>
      <c r="B740" s="517"/>
      <c r="C740" s="518"/>
      <c r="D740" s="992"/>
      <c r="E740" s="989"/>
      <c r="F740" s="989"/>
      <c r="G740" s="993"/>
      <c r="H740" s="993"/>
      <c r="I740" s="986"/>
      <c r="J740" s="523"/>
      <c r="K740" s="994"/>
      <c r="L740" s="995"/>
      <c r="M740" s="704"/>
      <c r="N740" s="704"/>
      <c r="O740" s="704"/>
      <c r="P740" s="957"/>
      <c r="Q740" s="957"/>
      <c r="R740" s="957"/>
      <c r="S740" s="957"/>
      <c r="T740" s="957"/>
      <c r="U740" s="957"/>
      <c r="V740" s="957"/>
      <c r="W740" s="957"/>
      <c r="X740" s="957"/>
      <c r="Y740" s="957"/>
      <c r="Z740" s="957"/>
      <c r="AA740" s="957"/>
      <c r="AB740" s="957"/>
      <c r="AC740" s="957"/>
      <c r="AD740" s="957"/>
    </row>
    <row r="741" ht="15.75" customHeight="1">
      <c r="A741" s="518"/>
      <c r="B741" s="517"/>
      <c r="C741" s="518"/>
      <c r="D741" s="992"/>
      <c r="E741" s="989"/>
      <c r="F741" s="989"/>
      <c r="G741" s="993"/>
      <c r="H741" s="993"/>
      <c r="I741" s="986"/>
      <c r="J741" s="523"/>
      <c r="K741" s="994"/>
      <c r="L741" s="995"/>
      <c r="M741" s="704"/>
      <c r="N741" s="704"/>
      <c r="O741" s="704"/>
      <c r="P741" s="957"/>
      <c r="Q741" s="957"/>
      <c r="R741" s="957"/>
      <c r="S741" s="957"/>
      <c r="T741" s="957"/>
      <c r="U741" s="957"/>
      <c r="V741" s="957"/>
      <c r="W741" s="957"/>
      <c r="X741" s="957"/>
      <c r="Y741" s="957"/>
      <c r="Z741" s="957"/>
      <c r="AA741" s="957"/>
      <c r="AB741" s="957"/>
      <c r="AC741" s="957"/>
      <c r="AD741" s="957"/>
    </row>
    <row r="742" ht="15.75" customHeight="1">
      <c r="A742" s="518"/>
      <c r="B742" s="517"/>
      <c r="C742" s="518"/>
      <c r="D742" s="992"/>
      <c r="E742" s="989"/>
      <c r="F742" s="989"/>
      <c r="G742" s="993"/>
      <c r="H742" s="993"/>
      <c r="I742" s="986"/>
      <c r="J742" s="523"/>
      <c r="K742" s="994"/>
      <c r="L742" s="995"/>
      <c r="M742" s="704"/>
      <c r="N742" s="704"/>
      <c r="O742" s="704"/>
      <c r="P742" s="957"/>
      <c r="Q742" s="957"/>
      <c r="R742" s="957"/>
      <c r="S742" s="957"/>
      <c r="T742" s="957"/>
      <c r="U742" s="957"/>
      <c r="V742" s="957"/>
      <c r="W742" s="957"/>
      <c r="X742" s="957"/>
      <c r="Y742" s="957"/>
      <c r="Z742" s="957"/>
      <c r="AA742" s="957"/>
      <c r="AB742" s="957"/>
      <c r="AC742" s="957"/>
      <c r="AD742" s="957"/>
    </row>
    <row r="743" ht="15.75" customHeight="1">
      <c r="A743" s="518"/>
      <c r="B743" s="517"/>
      <c r="C743" s="518"/>
      <c r="D743" s="992"/>
      <c r="E743" s="989"/>
      <c r="F743" s="989"/>
      <c r="G743" s="993"/>
      <c r="H743" s="993"/>
      <c r="I743" s="986"/>
      <c r="J743" s="523"/>
      <c r="K743" s="994"/>
      <c r="L743" s="995"/>
      <c r="M743" s="704"/>
      <c r="N743" s="704"/>
      <c r="O743" s="704"/>
      <c r="P743" s="957"/>
      <c r="Q743" s="957"/>
      <c r="R743" s="957"/>
      <c r="S743" s="957"/>
      <c r="T743" s="957"/>
      <c r="U743" s="957"/>
      <c r="V743" s="957"/>
      <c r="W743" s="957"/>
      <c r="X743" s="957"/>
      <c r="Y743" s="957"/>
      <c r="Z743" s="957"/>
      <c r="AA743" s="957"/>
      <c r="AB743" s="957"/>
      <c r="AC743" s="957"/>
      <c r="AD743" s="957"/>
    </row>
    <row r="744" ht="15.75" customHeight="1">
      <c r="A744" s="518"/>
      <c r="B744" s="517"/>
      <c r="C744" s="518"/>
      <c r="D744" s="992"/>
      <c r="E744" s="989"/>
      <c r="F744" s="989"/>
      <c r="G744" s="993"/>
      <c r="H744" s="993"/>
      <c r="I744" s="986"/>
      <c r="J744" s="523"/>
      <c r="K744" s="994"/>
      <c r="L744" s="995"/>
      <c r="M744" s="704"/>
      <c r="N744" s="704"/>
      <c r="O744" s="704"/>
      <c r="P744" s="957"/>
      <c r="Q744" s="957"/>
      <c r="R744" s="957"/>
      <c r="S744" s="957"/>
      <c r="T744" s="957"/>
      <c r="U744" s="957"/>
      <c r="V744" s="957"/>
      <c r="W744" s="957"/>
      <c r="X744" s="957"/>
      <c r="Y744" s="957"/>
      <c r="Z744" s="957"/>
      <c r="AA744" s="957"/>
      <c r="AB744" s="957"/>
      <c r="AC744" s="957"/>
      <c r="AD744" s="957"/>
    </row>
    <row r="745" ht="15.75" customHeight="1">
      <c r="A745" s="518"/>
      <c r="B745" s="517"/>
      <c r="C745" s="518"/>
      <c r="D745" s="992"/>
      <c r="E745" s="989"/>
      <c r="F745" s="989"/>
      <c r="G745" s="993"/>
      <c r="H745" s="993"/>
      <c r="I745" s="986"/>
      <c r="J745" s="523"/>
      <c r="K745" s="994"/>
      <c r="L745" s="995"/>
      <c r="M745" s="704"/>
      <c r="N745" s="704"/>
      <c r="O745" s="704"/>
      <c r="P745" s="957"/>
      <c r="Q745" s="957"/>
      <c r="R745" s="957"/>
      <c r="S745" s="957"/>
      <c r="T745" s="957"/>
      <c r="U745" s="957"/>
      <c r="V745" s="957"/>
      <c r="W745" s="957"/>
      <c r="X745" s="957"/>
      <c r="Y745" s="957"/>
      <c r="Z745" s="957"/>
      <c r="AA745" s="957"/>
      <c r="AB745" s="957"/>
      <c r="AC745" s="957"/>
      <c r="AD745" s="957"/>
    </row>
    <row r="746" ht="15.75" customHeight="1">
      <c r="A746" s="518"/>
      <c r="B746" s="517"/>
      <c r="C746" s="518"/>
      <c r="D746" s="992"/>
      <c r="E746" s="989"/>
      <c r="F746" s="989"/>
      <c r="G746" s="993"/>
      <c r="H746" s="993"/>
      <c r="I746" s="986"/>
      <c r="J746" s="523"/>
      <c r="K746" s="994"/>
      <c r="L746" s="995"/>
      <c r="M746" s="704"/>
      <c r="N746" s="704"/>
      <c r="O746" s="704"/>
      <c r="P746" s="957"/>
      <c r="Q746" s="957"/>
      <c r="R746" s="957"/>
      <c r="S746" s="957"/>
      <c r="T746" s="957"/>
      <c r="U746" s="957"/>
      <c r="V746" s="957"/>
      <c r="W746" s="957"/>
      <c r="X746" s="957"/>
      <c r="Y746" s="957"/>
      <c r="Z746" s="957"/>
      <c r="AA746" s="957"/>
      <c r="AB746" s="957"/>
      <c r="AC746" s="957"/>
      <c r="AD746" s="957"/>
    </row>
    <row r="747" ht="15.75" customHeight="1">
      <c r="A747" s="518"/>
      <c r="B747" s="517"/>
      <c r="C747" s="518"/>
      <c r="D747" s="992"/>
      <c r="E747" s="989"/>
      <c r="F747" s="989"/>
      <c r="G747" s="993"/>
      <c r="H747" s="993"/>
      <c r="I747" s="986"/>
      <c r="J747" s="523"/>
      <c r="K747" s="994"/>
      <c r="L747" s="995"/>
      <c r="M747" s="704"/>
      <c r="N747" s="704"/>
      <c r="O747" s="704"/>
      <c r="P747" s="957"/>
      <c r="Q747" s="957"/>
      <c r="R747" s="957"/>
      <c r="S747" s="957"/>
      <c r="T747" s="957"/>
      <c r="U747" s="957"/>
      <c r="V747" s="957"/>
      <c r="W747" s="957"/>
      <c r="X747" s="957"/>
      <c r="Y747" s="957"/>
      <c r="Z747" s="957"/>
      <c r="AA747" s="957"/>
      <c r="AB747" s="957"/>
      <c r="AC747" s="957"/>
      <c r="AD747" s="957"/>
    </row>
    <row r="748" ht="15.75" customHeight="1">
      <c r="A748" s="518"/>
      <c r="B748" s="517"/>
      <c r="C748" s="518"/>
      <c r="D748" s="992"/>
      <c r="E748" s="989"/>
      <c r="F748" s="989"/>
      <c r="G748" s="993"/>
      <c r="H748" s="993"/>
      <c r="I748" s="986"/>
      <c r="J748" s="523"/>
      <c r="K748" s="994"/>
      <c r="L748" s="995"/>
      <c r="M748" s="704"/>
      <c r="N748" s="704"/>
      <c r="O748" s="704"/>
      <c r="P748" s="957"/>
      <c r="Q748" s="957"/>
      <c r="R748" s="957"/>
      <c r="S748" s="957"/>
      <c r="T748" s="957"/>
      <c r="U748" s="957"/>
      <c r="V748" s="957"/>
      <c r="W748" s="957"/>
      <c r="X748" s="957"/>
      <c r="Y748" s="957"/>
      <c r="Z748" s="957"/>
      <c r="AA748" s="957"/>
      <c r="AB748" s="957"/>
      <c r="AC748" s="957"/>
      <c r="AD748" s="957"/>
    </row>
    <row r="749" ht="15.75" customHeight="1">
      <c r="A749" s="518"/>
      <c r="B749" s="517"/>
      <c r="C749" s="518"/>
      <c r="D749" s="992"/>
      <c r="E749" s="989"/>
      <c r="F749" s="989"/>
      <c r="G749" s="993"/>
      <c r="H749" s="993"/>
      <c r="I749" s="986"/>
      <c r="J749" s="523"/>
      <c r="K749" s="994"/>
      <c r="L749" s="995"/>
      <c r="M749" s="704"/>
      <c r="N749" s="704"/>
      <c r="O749" s="704"/>
      <c r="P749" s="957"/>
      <c r="Q749" s="957"/>
      <c r="R749" s="957"/>
      <c r="S749" s="957"/>
      <c r="T749" s="957"/>
      <c r="U749" s="957"/>
      <c r="V749" s="957"/>
      <c r="W749" s="957"/>
      <c r="X749" s="957"/>
      <c r="Y749" s="957"/>
      <c r="Z749" s="957"/>
      <c r="AA749" s="957"/>
      <c r="AB749" s="957"/>
      <c r="AC749" s="957"/>
      <c r="AD749" s="957"/>
    </row>
    <row r="750" ht="15.75" customHeight="1">
      <c r="A750" s="518"/>
      <c r="B750" s="517"/>
      <c r="C750" s="518"/>
      <c r="D750" s="992"/>
      <c r="E750" s="989"/>
      <c r="F750" s="989"/>
      <c r="G750" s="993"/>
      <c r="H750" s="993"/>
      <c r="I750" s="986"/>
      <c r="J750" s="523"/>
      <c r="K750" s="994"/>
      <c r="L750" s="995"/>
      <c r="M750" s="704"/>
      <c r="N750" s="704"/>
      <c r="O750" s="704"/>
      <c r="P750" s="957"/>
      <c r="Q750" s="957"/>
      <c r="R750" s="957"/>
      <c r="S750" s="957"/>
      <c r="T750" s="957"/>
      <c r="U750" s="957"/>
      <c r="V750" s="957"/>
      <c r="W750" s="957"/>
      <c r="X750" s="957"/>
      <c r="Y750" s="957"/>
      <c r="Z750" s="957"/>
      <c r="AA750" s="957"/>
      <c r="AB750" s="957"/>
      <c r="AC750" s="957"/>
      <c r="AD750" s="957"/>
    </row>
    <row r="751" ht="15.75" customHeight="1">
      <c r="A751" s="518"/>
      <c r="B751" s="517"/>
      <c r="C751" s="518"/>
      <c r="D751" s="992"/>
      <c r="E751" s="989"/>
      <c r="F751" s="989"/>
      <c r="G751" s="993"/>
      <c r="H751" s="993"/>
      <c r="I751" s="986"/>
      <c r="J751" s="523"/>
      <c r="K751" s="994"/>
      <c r="L751" s="995"/>
      <c r="M751" s="704"/>
      <c r="N751" s="704"/>
      <c r="O751" s="704"/>
      <c r="P751" s="957"/>
      <c r="Q751" s="957"/>
      <c r="R751" s="957"/>
      <c r="S751" s="957"/>
      <c r="T751" s="957"/>
      <c r="U751" s="957"/>
      <c r="V751" s="957"/>
      <c r="W751" s="957"/>
      <c r="X751" s="957"/>
      <c r="Y751" s="957"/>
      <c r="Z751" s="957"/>
      <c r="AA751" s="957"/>
      <c r="AB751" s="957"/>
      <c r="AC751" s="957"/>
      <c r="AD751" s="957"/>
    </row>
    <row r="752" ht="15.75" customHeight="1">
      <c r="A752" s="518"/>
      <c r="B752" s="517"/>
      <c r="C752" s="518"/>
      <c r="D752" s="992"/>
      <c r="E752" s="989"/>
      <c r="F752" s="989"/>
      <c r="G752" s="993"/>
      <c r="H752" s="993"/>
      <c r="I752" s="986"/>
      <c r="J752" s="523"/>
      <c r="K752" s="994"/>
      <c r="L752" s="995"/>
      <c r="M752" s="704"/>
      <c r="N752" s="704"/>
      <c r="O752" s="704"/>
      <c r="P752" s="957"/>
      <c r="Q752" s="957"/>
      <c r="R752" s="957"/>
      <c r="S752" s="957"/>
      <c r="T752" s="957"/>
      <c r="U752" s="957"/>
      <c r="V752" s="957"/>
      <c r="W752" s="957"/>
      <c r="X752" s="957"/>
      <c r="Y752" s="957"/>
      <c r="Z752" s="957"/>
      <c r="AA752" s="957"/>
      <c r="AB752" s="957"/>
      <c r="AC752" s="957"/>
      <c r="AD752" s="957"/>
    </row>
    <row r="753" ht="15.75" customHeight="1">
      <c r="A753" s="518"/>
      <c r="B753" s="517"/>
      <c r="C753" s="518"/>
      <c r="D753" s="992"/>
      <c r="E753" s="989"/>
      <c r="F753" s="989"/>
      <c r="G753" s="993"/>
      <c r="H753" s="993"/>
      <c r="I753" s="986"/>
      <c r="J753" s="523"/>
      <c r="K753" s="994"/>
      <c r="L753" s="995"/>
      <c r="M753" s="704"/>
      <c r="N753" s="704"/>
      <c r="O753" s="704"/>
      <c r="P753" s="957"/>
      <c r="Q753" s="957"/>
      <c r="R753" s="957"/>
      <c r="S753" s="957"/>
      <c r="T753" s="957"/>
      <c r="U753" s="957"/>
      <c r="V753" s="957"/>
      <c r="W753" s="957"/>
      <c r="X753" s="957"/>
      <c r="Y753" s="957"/>
      <c r="Z753" s="957"/>
      <c r="AA753" s="957"/>
      <c r="AB753" s="957"/>
      <c r="AC753" s="957"/>
      <c r="AD753" s="957"/>
    </row>
    <row r="754" ht="15.75" customHeight="1">
      <c r="A754" s="518"/>
      <c r="B754" s="517"/>
      <c r="C754" s="518"/>
      <c r="D754" s="992"/>
      <c r="E754" s="989"/>
      <c r="F754" s="989"/>
      <c r="G754" s="993"/>
      <c r="H754" s="993"/>
      <c r="I754" s="986"/>
      <c r="J754" s="523"/>
      <c r="K754" s="994"/>
      <c r="L754" s="995"/>
      <c r="M754" s="704"/>
      <c r="N754" s="704"/>
      <c r="O754" s="704"/>
      <c r="P754" s="957"/>
      <c r="Q754" s="957"/>
      <c r="R754" s="957"/>
      <c r="S754" s="957"/>
      <c r="T754" s="957"/>
      <c r="U754" s="957"/>
      <c r="V754" s="957"/>
      <c r="W754" s="957"/>
      <c r="X754" s="957"/>
      <c r="Y754" s="957"/>
      <c r="Z754" s="957"/>
      <c r="AA754" s="957"/>
      <c r="AB754" s="957"/>
      <c r="AC754" s="957"/>
      <c r="AD754" s="957"/>
    </row>
    <row r="755" ht="15.75" customHeight="1">
      <c r="A755" s="518"/>
      <c r="B755" s="517"/>
      <c r="C755" s="518"/>
      <c r="D755" s="992"/>
      <c r="E755" s="989"/>
      <c r="F755" s="989"/>
      <c r="G755" s="993"/>
      <c r="H755" s="993"/>
      <c r="I755" s="986"/>
      <c r="J755" s="523"/>
      <c r="K755" s="994"/>
      <c r="L755" s="995"/>
      <c r="M755" s="704"/>
      <c r="N755" s="704"/>
      <c r="O755" s="704"/>
      <c r="P755" s="957"/>
      <c r="Q755" s="957"/>
      <c r="R755" s="957"/>
      <c r="S755" s="957"/>
      <c r="T755" s="957"/>
      <c r="U755" s="957"/>
      <c r="V755" s="957"/>
      <c r="W755" s="957"/>
      <c r="X755" s="957"/>
      <c r="Y755" s="957"/>
      <c r="Z755" s="957"/>
      <c r="AA755" s="957"/>
      <c r="AB755" s="957"/>
      <c r="AC755" s="957"/>
      <c r="AD755" s="957"/>
    </row>
    <row r="756" ht="15.75" customHeight="1">
      <c r="A756" s="518"/>
      <c r="B756" s="517"/>
      <c r="C756" s="518"/>
      <c r="D756" s="992"/>
      <c r="E756" s="989"/>
      <c r="F756" s="989"/>
      <c r="G756" s="993"/>
      <c r="H756" s="993"/>
      <c r="I756" s="986"/>
      <c r="J756" s="523"/>
      <c r="K756" s="994"/>
      <c r="L756" s="995"/>
      <c r="M756" s="704"/>
      <c r="N756" s="704"/>
      <c r="O756" s="704"/>
      <c r="P756" s="957"/>
      <c r="Q756" s="957"/>
      <c r="R756" s="957"/>
      <c r="S756" s="957"/>
      <c r="T756" s="957"/>
      <c r="U756" s="957"/>
      <c r="V756" s="957"/>
      <c r="W756" s="957"/>
      <c r="X756" s="957"/>
      <c r="Y756" s="957"/>
      <c r="Z756" s="957"/>
      <c r="AA756" s="957"/>
      <c r="AB756" s="957"/>
      <c r="AC756" s="957"/>
      <c r="AD756" s="957"/>
    </row>
    <row r="757" ht="15.75" customHeight="1">
      <c r="A757" s="518"/>
      <c r="B757" s="517"/>
      <c r="C757" s="518"/>
      <c r="D757" s="992"/>
      <c r="E757" s="989"/>
      <c r="F757" s="989"/>
      <c r="G757" s="993"/>
      <c r="H757" s="993"/>
      <c r="I757" s="986"/>
      <c r="J757" s="523"/>
      <c r="K757" s="994"/>
      <c r="L757" s="995"/>
      <c r="M757" s="704"/>
      <c r="N757" s="704"/>
      <c r="O757" s="704"/>
      <c r="P757" s="957"/>
      <c r="Q757" s="957"/>
      <c r="R757" s="957"/>
      <c r="S757" s="957"/>
      <c r="T757" s="957"/>
      <c r="U757" s="957"/>
      <c r="V757" s="957"/>
      <c r="W757" s="957"/>
      <c r="X757" s="957"/>
      <c r="Y757" s="957"/>
      <c r="Z757" s="957"/>
      <c r="AA757" s="957"/>
      <c r="AB757" s="957"/>
      <c r="AC757" s="957"/>
      <c r="AD757" s="957"/>
    </row>
    <row r="758" ht="15.75" customHeight="1">
      <c r="A758" s="518"/>
      <c r="B758" s="517"/>
      <c r="C758" s="518"/>
      <c r="D758" s="992"/>
      <c r="E758" s="989"/>
      <c r="F758" s="989"/>
      <c r="G758" s="993"/>
      <c r="H758" s="993"/>
      <c r="I758" s="986"/>
      <c r="J758" s="523"/>
      <c r="K758" s="994"/>
      <c r="L758" s="995"/>
      <c r="M758" s="704"/>
      <c r="N758" s="704"/>
      <c r="O758" s="704"/>
      <c r="P758" s="957"/>
      <c r="Q758" s="957"/>
      <c r="R758" s="957"/>
      <c r="S758" s="957"/>
      <c r="T758" s="957"/>
      <c r="U758" s="957"/>
      <c r="V758" s="957"/>
      <c r="W758" s="957"/>
      <c r="X758" s="957"/>
      <c r="Y758" s="957"/>
      <c r="Z758" s="957"/>
      <c r="AA758" s="957"/>
      <c r="AB758" s="957"/>
      <c r="AC758" s="957"/>
      <c r="AD758" s="957"/>
    </row>
    <row r="759" ht="15.75" customHeight="1">
      <c r="A759" s="518"/>
      <c r="B759" s="517"/>
      <c r="C759" s="518"/>
      <c r="D759" s="992"/>
      <c r="E759" s="989"/>
      <c r="F759" s="989"/>
      <c r="G759" s="993"/>
      <c r="H759" s="993"/>
      <c r="I759" s="986"/>
      <c r="J759" s="523"/>
      <c r="K759" s="994"/>
      <c r="L759" s="995"/>
      <c r="M759" s="704"/>
      <c r="N759" s="704"/>
      <c r="O759" s="704"/>
      <c r="P759" s="957"/>
      <c r="Q759" s="957"/>
      <c r="R759" s="957"/>
      <c r="S759" s="957"/>
      <c r="T759" s="957"/>
      <c r="U759" s="957"/>
      <c r="V759" s="957"/>
      <c r="W759" s="957"/>
      <c r="X759" s="957"/>
      <c r="Y759" s="957"/>
      <c r="Z759" s="957"/>
      <c r="AA759" s="957"/>
      <c r="AB759" s="957"/>
      <c r="AC759" s="957"/>
      <c r="AD759" s="957"/>
    </row>
    <row r="760" ht="15.75" customHeight="1">
      <c r="A760" s="518"/>
      <c r="B760" s="517"/>
      <c r="C760" s="518"/>
      <c r="D760" s="992"/>
      <c r="E760" s="989"/>
      <c r="F760" s="989"/>
      <c r="G760" s="993"/>
      <c r="H760" s="993"/>
      <c r="I760" s="986"/>
      <c r="J760" s="523"/>
      <c r="K760" s="994"/>
      <c r="L760" s="995"/>
      <c r="M760" s="704"/>
      <c r="N760" s="704"/>
      <c r="O760" s="704"/>
      <c r="P760" s="957"/>
      <c r="Q760" s="957"/>
      <c r="R760" s="957"/>
      <c r="S760" s="957"/>
      <c r="T760" s="957"/>
      <c r="U760" s="957"/>
      <c r="V760" s="957"/>
      <c r="W760" s="957"/>
      <c r="X760" s="957"/>
      <c r="Y760" s="957"/>
      <c r="Z760" s="957"/>
      <c r="AA760" s="957"/>
      <c r="AB760" s="957"/>
      <c r="AC760" s="957"/>
      <c r="AD760" s="957"/>
    </row>
    <row r="761" ht="15.75" customHeight="1">
      <c r="A761" s="518"/>
      <c r="B761" s="517"/>
      <c r="C761" s="518"/>
      <c r="D761" s="992"/>
      <c r="E761" s="989"/>
      <c r="F761" s="989"/>
      <c r="G761" s="993"/>
      <c r="H761" s="993"/>
      <c r="I761" s="986"/>
      <c r="J761" s="523"/>
      <c r="K761" s="994"/>
      <c r="L761" s="995"/>
      <c r="M761" s="704"/>
      <c r="N761" s="704"/>
      <c r="O761" s="704"/>
      <c r="P761" s="957"/>
      <c r="Q761" s="957"/>
      <c r="R761" s="957"/>
      <c r="S761" s="957"/>
      <c r="T761" s="957"/>
      <c r="U761" s="957"/>
      <c r="V761" s="957"/>
      <c r="W761" s="957"/>
      <c r="X761" s="957"/>
      <c r="Y761" s="957"/>
      <c r="Z761" s="957"/>
      <c r="AA761" s="957"/>
      <c r="AB761" s="957"/>
      <c r="AC761" s="957"/>
      <c r="AD761" s="957"/>
    </row>
    <row r="762" ht="15.75" customHeight="1">
      <c r="A762" s="518"/>
      <c r="B762" s="517"/>
      <c r="C762" s="518"/>
      <c r="D762" s="992"/>
      <c r="E762" s="989"/>
      <c r="F762" s="989"/>
      <c r="G762" s="993"/>
      <c r="H762" s="993"/>
      <c r="I762" s="986"/>
      <c r="J762" s="523"/>
      <c r="K762" s="994"/>
      <c r="L762" s="995"/>
      <c r="M762" s="704"/>
      <c r="N762" s="704"/>
      <c r="O762" s="704"/>
      <c r="P762" s="957"/>
      <c r="Q762" s="957"/>
      <c r="R762" s="957"/>
      <c r="S762" s="957"/>
      <c r="T762" s="957"/>
      <c r="U762" s="957"/>
      <c r="V762" s="957"/>
      <c r="W762" s="957"/>
      <c r="X762" s="957"/>
      <c r="Y762" s="957"/>
      <c r="Z762" s="957"/>
      <c r="AA762" s="957"/>
      <c r="AB762" s="957"/>
      <c r="AC762" s="957"/>
      <c r="AD762" s="957"/>
    </row>
    <row r="763" ht="15.75" customHeight="1">
      <c r="A763" s="518"/>
      <c r="B763" s="517"/>
      <c r="C763" s="518"/>
      <c r="D763" s="992"/>
      <c r="E763" s="989"/>
      <c r="F763" s="989"/>
      <c r="G763" s="993"/>
      <c r="H763" s="993"/>
      <c r="I763" s="986"/>
      <c r="J763" s="523"/>
      <c r="K763" s="994"/>
      <c r="L763" s="995"/>
      <c r="M763" s="704"/>
      <c r="N763" s="704"/>
      <c r="O763" s="704"/>
      <c r="P763" s="957"/>
      <c r="Q763" s="957"/>
      <c r="R763" s="957"/>
      <c r="S763" s="957"/>
      <c r="T763" s="957"/>
      <c r="U763" s="957"/>
      <c r="V763" s="957"/>
      <c r="W763" s="957"/>
      <c r="X763" s="957"/>
      <c r="Y763" s="957"/>
      <c r="Z763" s="957"/>
      <c r="AA763" s="957"/>
      <c r="AB763" s="957"/>
      <c r="AC763" s="957"/>
      <c r="AD763" s="957"/>
    </row>
    <row r="764" ht="15.75" customHeight="1">
      <c r="A764" s="518"/>
      <c r="B764" s="517"/>
      <c r="C764" s="518"/>
      <c r="D764" s="992"/>
      <c r="E764" s="989"/>
      <c r="F764" s="989"/>
      <c r="G764" s="993"/>
      <c r="H764" s="993"/>
      <c r="I764" s="986"/>
      <c r="J764" s="523"/>
      <c r="K764" s="994"/>
      <c r="L764" s="995"/>
      <c r="M764" s="704"/>
      <c r="N764" s="704"/>
      <c r="O764" s="704"/>
      <c r="P764" s="957"/>
      <c r="Q764" s="957"/>
      <c r="R764" s="957"/>
      <c r="S764" s="957"/>
      <c r="T764" s="957"/>
      <c r="U764" s="957"/>
      <c r="V764" s="957"/>
      <c r="W764" s="957"/>
      <c r="X764" s="957"/>
      <c r="Y764" s="957"/>
      <c r="Z764" s="957"/>
      <c r="AA764" s="957"/>
      <c r="AB764" s="957"/>
      <c r="AC764" s="957"/>
      <c r="AD764" s="957"/>
    </row>
    <row r="765" ht="15.75" customHeight="1">
      <c r="A765" s="518"/>
      <c r="B765" s="517"/>
      <c r="C765" s="518"/>
      <c r="D765" s="992"/>
      <c r="E765" s="989"/>
      <c r="F765" s="989"/>
      <c r="G765" s="993"/>
      <c r="H765" s="993"/>
      <c r="I765" s="986"/>
      <c r="J765" s="523"/>
      <c r="K765" s="994"/>
      <c r="L765" s="995"/>
      <c r="M765" s="704"/>
      <c r="N765" s="704"/>
      <c r="O765" s="704"/>
      <c r="P765" s="957"/>
      <c r="Q765" s="957"/>
      <c r="R765" s="957"/>
      <c r="S765" s="957"/>
      <c r="T765" s="957"/>
      <c r="U765" s="957"/>
      <c r="V765" s="957"/>
      <c r="W765" s="957"/>
      <c r="X765" s="957"/>
      <c r="Y765" s="957"/>
      <c r="Z765" s="957"/>
      <c r="AA765" s="957"/>
      <c r="AB765" s="957"/>
      <c r="AC765" s="957"/>
      <c r="AD765" s="957"/>
    </row>
    <row r="766" ht="15.75" customHeight="1">
      <c r="A766" s="518"/>
      <c r="B766" s="517"/>
      <c r="C766" s="518"/>
      <c r="D766" s="992"/>
      <c r="E766" s="989"/>
      <c r="F766" s="989"/>
      <c r="G766" s="993"/>
      <c r="H766" s="993"/>
      <c r="I766" s="986"/>
      <c r="J766" s="523"/>
      <c r="K766" s="994"/>
      <c r="L766" s="995"/>
      <c r="M766" s="704"/>
      <c r="N766" s="704"/>
      <c r="O766" s="704"/>
      <c r="P766" s="957"/>
      <c r="Q766" s="957"/>
      <c r="R766" s="957"/>
      <c r="S766" s="957"/>
      <c r="T766" s="957"/>
      <c r="U766" s="957"/>
      <c r="V766" s="957"/>
      <c r="W766" s="957"/>
      <c r="X766" s="957"/>
      <c r="Y766" s="957"/>
      <c r="Z766" s="957"/>
      <c r="AA766" s="957"/>
      <c r="AB766" s="957"/>
      <c r="AC766" s="957"/>
      <c r="AD766" s="957"/>
    </row>
    <row r="767" ht="15.75" customHeight="1">
      <c r="A767" s="518"/>
      <c r="B767" s="517"/>
      <c r="C767" s="518"/>
      <c r="D767" s="992"/>
      <c r="E767" s="989"/>
      <c r="F767" s="989"/>
      <c r="G767" s="993"/>
      <c r="H767" s="993"/>
      <c r="I767" s="986"/>
      <c r="J767" s="523"/>
      <c r="K767" s="994"/>
      <c r="L767" s="995"/>
      <c r="M767" s="704"/>
      <c r="N767" s="704"/>
      <c r="O767" s="704"/>
      <c r="P767" s="957"/>
      <c r="Q767" s="957"/>
      <c r="R767" s="957"/>
      <c r="S767" s="957"/>
      <c r="T767" s="957"/>
      <c r="U767" s="957"/>
      <c r="V767" s="957"/>
      <c r="W767" s="957"/>
      <c r="X767" s="957"/>
      <c r="Y767" s="957"/>
      <c r="Z767" s="957"/>
      <c r="AA767" s="957"/>
      <c r="AB767" s="957"/>
      <c r="AC767" s="957"/>
      <c r="AD767" s="957"/>
    </row>
    <row r="768" ht="15.75" customHeight="1">
      <c r="A768" s="518"/>
      <c r="B768" s="517"/>
      <c r="C768" s="518"/>
      <c r="D768" s="992"/>
      <c r="E768" s="989"/>
      <c r="F768" s="989"/>
      <c r="G768" s="993"/>
      <c r="H768" s="993"/>
      <c r="I768" s="986"/>
      <c r="J768" s="523"/>
      <c r="K768" s="994"/>
      <c r="L768" s="995"/>
      <c r="M768" s="704"/>
      <c r="N768" s="704"/>
      <c r="O768" s="704"/>
      <c r="P768" s="957"/>
      <c r="Q768" s="957"/>
      <c r="R768" s="957"/>
      <c r="S768" s="957"/>
      <c r="T768" s="957"/>
      <c r="U768" s="957"/>
      <c r="V768" s="957"/>
      <c r="W768" s="957"/>
      <c r="X768" s="957"/>
      <c r="Y768" s="957"/>
      <c r="Z768" s="957"/>
      <c r="AA768" s="957"/>
      <c r="AB768" s="957"/>
      <c r="AC768" s="957"/>
      <c r="AD768" s="957"/>
    </row>
    <row r="769" ht="15.75" customHeight="1">
      <c r="A769" s="518"/>
      <c r="B769" s="517"/>
      <c r="C769" s="518"/>
      <c r="D769" s="992"/>
      <c r="E769" s="989"/>
      <c r="F769" s="989"/>
      <c r="G769" s="993"/>
      <c r="H769" s="993"/>
      <c r="I769" s="986"/>
      <c r="J769" s="523"/>
      <c r="K769" s="994"/>
      <c r="L769" s="995"/>
      <c r="M769" s="704"/>
      <c r="N769" s="704"/>
      <c r="O769" s="704"/>
      <c r="P769" s="957"/>
      <c r="Q769" s="957"/>
      <c r="R769" s="957"/>
      <c r="S769" s="957"/>
      <c r="T769" s="957"/>
      <c r="U769" s="957"/>
      <c r="V769" s="957"/>
      <c r="W769" s="957"/>
      <c r="X769" s="957"/>
      <c r="Y769" s="957"/>
      <c r="Z769" s="957"/>
      <c r="AA769" s="957"/>
      <c r="AB769" s="957"/>
      <c r="AC769" s="957"/>
      <c r="AD769" s="957"/>
    </row>
    <row r="770" ht="15.75" customHeight="1">
      <c r="A770" s="518"/>
      <c r="B770" s="517"/>
      <c r="C770" s="518"/>
      <c r="D770" s="992"/>
      <c r="E770" s="989"/>
      <c r="F770" s="989"/>
      <c r="G770" s="993"/>
      <c r="H770" s="993"/>
      <c r="I770" s="986"/>
      <c r="J770" s="523"/>
      <c r="K770" s="994"/>
      <c r="L770" s="995"/>
      <c r="M770" s="704"/>
      <c r="N770" s="704"/>
      <c r="O770" s="704"/>
      <c r="P770" s="957"/>
      <c r="Q770" s="957"/>
      <c r="R770" s="957"/>
      <c r="S770" s="957"/>
      <c r="T770" s="957"/>
      <c r="U770" s="957"/>
      <c r="V770" s="957"/>
      <c r="W770" s="957"/>
      <c r="X770" s="957"/>
      <c r="Y770" s="957"/>
      <c r="Z770" s="957"/>
      <c r="AA770" s="957"/>
      <c r="AB770" s="957"/>
      <c r="AC770" s="957"/>
      <c r="AD770" s="957"/>
    </row>
    <row r="771" ht="15.75" customHeight="1">
      <c r="A771" s="518"/>
      <c r="B771" s="517"/>
      <c r="C771" s="518"/>
      <c r="D771" s="992"/>
      <c r="E771" s="989"/>
      <c r="F771" s="989"/>
      <c r="G771" s="993"/>
      <c r="H771" s="993"/>
      <c r="I771" s="986"/>
      <c r="J771" s="523"/>
      <c r="K771" s="994"/>
      <c r="L771" s="995"/>
      <c r="M771" s="704"/>
      <c r="N771" s="704"/>
      <c r="O771" s="704"/>
      <c r="P771" s="957"/>
      <c r="Q771" s="957"/>
      <c r="R771" s="957"/>
      <c r="S771" s="957"/>
      <c r="T771" s="957"/>
      <c r="U771" s="957"/>
      <c r="V771" s="957"/>
      <c r="W771" s="957"/>
      <c r="X771" s="957"/>
      <c r="Y771" s="957"/>
      <c r="Z771" s="957"/>
      <c r="AA771" s="957"/>
      <c r="AB771" s="957"/>
      <c r="AC771" s="957"/>
      <c r="AD771" s="957"/>
    </row>
    <row r="772" ht="15.75" customHeight="1">
      <c r="A772" s="518"/>
      <c r="B772" s="517"/>
      <c r="C772" s="518"/>
      <c r="D772" s="992"/>
      <c r="E772" s="989"/>
      <c r="F772" s="989"/>
      <c r="G772" s="993"/>
      <c r="H772" s="993"/>
      <c r="I772" s="986"/>
      <c r="J772" s="523"/>
      <c r="K772" s="994"/>
      <c r="L772" s="995"/>
      <c r="M772" s="704"/>
      <c r="N772" s="704"/>
      <c r="O772" s="704"/>
      <c r="P772" s="957"/>
      <c r="Q772" s="957"/>
      <c r="R772" s="957"/>
      <c r="S772" s="957"/>
      <c r="T772" s="957"/>
      <c r="U772" s="957"/>
      <c r="V772" s="957"/>
      <c r="W772" s="957"/>
      <c r="X772" s="957"/>
      <c r="Y772" s="957"/>
      <c r="Z772" s="957"/>
      <c r="AA772" s="957"/>
      <c r="AB772" s="957"/>
      <c r="AC772" s="957"/>
      <c r="AD772" s="957"/>
    </row>
    <row r="773" ht="15.75" customHeight="1">
      <c r="A773" s="518"/>
      <c r="B773" s="517"/>
      <c r="C773" s="518"/>
      <c r="D773" s="992"/>
      <c r="E773" s="989"/>
      <c r="F773" s="989"/>
      <c r="G773" s="993"/>
      <c r="H773" s="993"/>
      <c r="I773" s="986"/>
      <c r="J773" s="523"/>
      <c r="K773" s="994"/>
      <c r="L773" s="995"/>
      <c r="M773" s="704"/>
      <c r="N773" s="704"/>
      <c r="O773" s="704"/>
      <c r="P773" s="957"/>
      <c r="Q773" s="957"/>
      <c r="R773" s="957"/>
      <c r="S773" s="957"/>
      <c r="T773" s="957"/>
      <c r="U773" s="957"/>
      <c r="V773" s="957"/>
      <c r="W773" s="957"/>
      <c r="X773" s="957"/>
      <c r="Y773" s="957"/>
      <c r="Z773" s="957"/>
      <c r="AA773" s="957"/>
      <c r="AB773" s="957"/>
      <c r="AC773" s="957"/>
      <c r="AD773" s="957"/>
    </row>
    <row r="774" ht="15.75" customHeight="1">
      <c r="A774" s="518"/>
      <c r="B774" s="517"/>
      <c r="C774" s="518"/>
      <c r="D774" s="992"/>
      <c r="E774" s="989"/>
      <c r="F774" s="989"/>
      <c r="G774" s="993"/>
      <c r="H774" s="993"/>
      <c r="I774" s="986"/>
      <c r="J774" s="523"/>
      <c r="K774" s="994"/>
      <c r="L774" s="995"/>
      <c r="M774" s="704"/>
      <c r="N774" s="704"/>
      <c r="O774" s="704"/>
      <c r="P774" s="957"/>
      <c r="Q774" s="957"/>
      <c r="R774" s="957"/>
      <c r="S774" s="957"/>
      <c r="T774" s="957"/>
      <c r="U774" s="957"/>
      <c r="V774" s="957"/>
      <c r="W774" s="957"/>
      <c r="X774" s="957"/>
      <c r="Y774" s="957"/>
      <c r="Z774" s="957"/>
      <c r="AA774" s="957"/>
      <c r="AB774" s="957"/>
      <c r="AC774" s="957"/>
      <c r="AD774" s="957"/>
    </row>
    <row r="775" ht="15.75" customHeight="1">
      <c r="A775" s="518"/>
      <c r="B775" s="517"/>
      <c r="C775" s="518"/>
      <c r="D775" s="992"/>
      <c r="E775" s="989"/>
      <c r="F775" s="989"/>
      <c r="G775" s="993"/>
      <c r="H775" s="993"/>
      <c r="I775" s="986"/>
      <c r="J775" s="523"/>
      <c r="K775" s="994"/>
      <c r="L775" s="995"/>
      <c r="M775" s="704"/>
      <c r="N775" s="704"/>
      <c r="O775" s="704"/>
      <c r="P775" s="957"/>
      <c r="Q775" s="957"/>
      <c r="R775" s="957"/>
      <c r="S775" s="957"/>
      <c r="T775" s="957"/>
      <c r="U775" s="957"/>
      <c r="V775" s="957"/>
      <c r="W775" s="957"/>
      <c r="X775" s="957"/>
      <c r="Y775" s="957"/>
      <c r="Z775" s="957"/>
      <c r="AA775" s="957"/>
      <c r="AB775" s="957"/>
      <c r="AC775" s="957"/>
      <c r="AD775" s="957"/>
    </row>
    <row r="776" ht="15.75" customHeight="1">
      <c r="A776" s="518"/>
      <c r="B776" s="517"/>
      <c r="C776" s="518"/>
      <c r="D776" s="992"/>
      <c r="E776" s="989"/>
      <c r="F776" s="989"/>
      <c r="G776" s="993"/>
      <c r="H776" s="993"/>
      <c r="I776" s="986"/>
      <c r="J776" s="523"/>
      <c r="K776" s="994"/>
      <c r="L776" s="995"/>
      <c r="M776" s="704"/>
      <c r="N776" s="704"/>
      <c r="O776" s="704"/>
      <c r="P776" s="957"/>
      <c r="Q776" s="957"/>
      <c r="R776" s="957"/>
      <c r="S776" s="957"/>
      <c r="T776" s="957"/>
      <c r="U776" s="957"/>
      <c r="V776" s="957"/>
      <c r="W776" s="957"/>
      <c r="X776" s="957"/>
      <c r="Y776" s="957"/>
      <c r="Z776" s="957"/>
      <c r="AA776" s="957"/>
      <c r="AB776" s="957"/>
      <c r="AC776" s="957"/>
      <c r="AD776" s="957"/>
    </row>
    <row r="777" ht="15.75" customHeight="1">
      <c r="A777" s="518"/>
      <c r="B777" s="517"/>
      <c r="C777" s="518"/>
      <c r="D777" s="992"/>
      <c r="E777" s="989"/>
      <c r="F777" s="989"/>
      <c r="G777" s="993"/>
      <c r="H777" s="993"/>
      <c r="I777" s="986"/>
      <c r="J777" s="523"/>
      <c r="K777" s="994"/>
      <c r="L777" s="995"/>
      <c r="M777" s="704"/>
      <c r="N777" s="704"/>
      <c r="O777" s="704"/>
      <c r="P777" s="957"/>
      <c r="Q777" s="957"/>
      <c r="R777" s="957"/>
      <c r="S777" s="957"/>
      <c r="T777" s="957"/>
      <c r="U777" s="957"/>
      <c r="V777" s="957"/>
      <c r="W777" s="957"/>
      <c r="X777" s="957"/>
      <c r="Y777" s="957"/>
      <c r="Z777" s="957"/>
      <c r="AA777" s="957"/>
      <c r="AB777" s="957"/>
      <c r="AC777" s="957"/>
      <c r="AD777" s="957"/>
    </row>
    <row r="778" ht="15.75" customHeight="1">
      <c r="A778" s="518"/>
      <c r="B778" s="517"/>
      <c r="C778" s="518"/>
      <c r="D778" s="992"/>
      <c r="E778" s="989"/>
      <c r="F778" s="989"/>
      <c r="G778" s="993"/>
      <c r="H778" s="993"/>
      <c r="I778" s="986"/>
      <c r="J778" s="523"/>
      <c r="K778" s="994"/>
      <c r="L778" s="995"/>
      <c r="M778" s="704"/>
      <c r="N778" s="704"/>
      <c r="O778" s="704"/>
      <c r="P778" s="957"/>
      <c r="Q778" s="957"/>
      <c r="R778" s="957"/>
      <c r="S778" s="957"/>
      <c r="T778" s="957"/>
      <c r="U778" s="957"/>
      <c r="V778" s="957"/>
      <c r="W778" s="957"/>
      <c r="X778" s="957"/>
      <c r="Y778" s="957"/>
      <c r="Z778" s="957"/>
      <c r="AA778" s="957"/>
      <c r="AB778" s="957"/>
      <c r="AC778" s="957"/>
      <c r="AD778" s="957"/>
    </row>
    <row r="779" ht="15.75" customHeight="1">
      <c r="A779" s="518"/>
      <c r="B779" s="517"/>
      <c r="C779" s="518"/>
      <c r="D779" s="992"/>
      <c r="E779" s="989"/>
      <c r="F779" s="989"/>
      <c r="G779" s="993"/>
      <c r="H779" s="993"/>
      <c r="I779" s="986"/>
      <c r="J779" s="523"/>
      <c r="K779" s="994"/>
      <c r="L779" s="995"/>
      <c r="M779" s="704"/>
      <c r="N779" s="704"/>
      <c r="O779" s="704"/>
      <c r="P779" s="957"/>
      <c r="Q779" s="957"/>
      <c r="R779" s="957"/>
      <c r="S779" s="957"/>
      <c r="T779" s="957"/>
      <c r="U779" s="957"/>
      <c r="V779" s="957"/>
      <c r="W779" s="957"/>
      <c r="X779" s="957"/>
      <c r="Y779" s="957"/>
      <c r="Z779" s="957"/>
      <c r="AA779" s="957"/>
      <c r="AB779" s="957"/>
      <c r="AC779" s="957"/>
      <c r="AD779" s="957"/>
    </row>
    <row r="780" ht="15.75" customHeight="1">
      <c r="A780" s="518"/>
      <c r="B780" s="517"/>
      <c r="C780" s="518"/>
      <c r="D780" s="992"/>
      <c r="E780" s="989"/>
      <c r="F780" s="989"/>
      <c r="G780" s="993"/>
      <c r="H780" s="993"/>
      <c r="I780" s="986"/>
      <c r="J780" s="523"/>
      <c r="K780" s="994"/>
      <c r="L780" s="995"/>
      <c r="M780" s="704"/>
      <c r="N780" s="704"/>
      <c r="O780" s="704"/>
      <c r="P780" s="957"/>
      <c r="Q780" s="957"/>
      <c r="R780" s="957"/>
      <c r="S780" s="957"/>
      <c r="T780" s="957"/>
      <c r="U780" s="957"/>
      <c r="V780" s="957"/>
      <c r="W780" s="957"/>
      <c r="X780" s="957"/>
      <c r="Y780" s="957"/>
      <c r="Z780" s="957"/>
      <c r="AA780" s="957"/>
      <c r="AB780" s="957"/>
      <c r="AC780" s="957"/>
      <c r="AD780" s="957"/>
    </row>
    <row r="781" ht="15.75" customHeight="1">
      <c r="A781" s="518"/>
      <c r="B781" s="517"/>
      <c r="C781" s="518"/>
      <c r="D781" s="992"/>
      <c r="E781" s="989"/>
      <c r="F781" s="989"/>
      <c r="G781" s="993"/>
      <c r="H781" s="993"/>
      <c r="I781" s="986"/>
      <c r="J781" s="523"/>
      <c r="K781" s="994"/>
      <c r="L781" s="995"/>
      <c r="M781" s="704"/>
      <c r="N781" s="704"/>
      <c r="O781" s="704"/>
      <c r="P781" s="957"/>
      <c r="Q781" s="957"/>
      <c r="R781" s="957"/>
      <c r="S781" s="957"/>
      <c r="T781" s="957"/>
      <c r="U781" s="957"/>
      <c r="V781" s="957"/>
      <c r="W781" s="957"/>
      <c r="X781" s="957"/>
      <c r="Y781" s="957"/>
      <c r="Z781" s="957"/>
      <c r="AA781" s="957"/>
      <c r="AB781" s="957"/>
      <c r="AC781" s="957"/>
      <c r="AD781" s="957"/>
    </row>
    <row r="782" ht="15.75" customHeight="1">
      <c r="A782" s="518"/>
      <c r="B782" s="517"/>
      <c r="C782" s="518"/>
      <c r="D782" s="992"/>
      <c r="E782" s="989"/>
      <c r="F782" s="989"/>
      <c r="G782" s="993"/>
      <c r="H782" s="993"/>
      <c r="I782" s="986"/>
      <c r="J782" s="523"/>
      <c r="K782" s="994"/>
      <c r="L782" s="995"/>
      <c r="M782" s="704"/>
      <c r="N782" s="704"/>
      <c r="O782" s="704"/>
      <c r="P782" s="957"/>
      <c r="Q782" s="957"/>
      <c r="R782" s="957"/>
      <c r="S782" s="957"/>
      <c r="T782" s="957"/>
      <c r="U782" s="957"/>
      <c r="V782" s="957"/>
      <c r="W782" s="957"/>
      <c r="X782" s="957"/>
      <c r="Y782" s="957"/>
      <c r="Z782" s="957"/>
      <c r="AA782" s="957"/>
      <c r="AB782" s="957"/>
      <c r="AC782" s="957"/>
      <c r="AD782" s="957"/>
    </row>
    <row r="783" ht="15.75" customHeight="1">
      <c r="A783" s="518"/>
      <c r="B783" s="517"/>
      <c r="C783" s="518"/>
      <c r="D783" s="992"/>
      <c r="E783" s="989"/>
      <c r="F783" s="989"/>
      <c r="G783" s="993"/>
      <c r="H783" s="993"/>
      <c r="I783" s="986"/>
      <c r="J783" s="523"/>
      <c r="K783" s="994"/>
      <c r="L783" s="995"/>
      <c r="M783" s="704"/>
      <c r="N783" s="704"/>
      <c r="O783" s="704"/>
      <c r="P783" s="957"/>
      <c r="Q783" s="957"/>
      <c r="R783" s="957"/>
      <c r="S783" s="957"/>
      <c r="T783" s="957"/>
      <c r="U783" s="957"/>
      <c r="V783" s="957"/>
      <c r="W783" s="957"/>
      <c r="X783" s="957"/>
      <c r="Y783" s="957"/>
      <c r="Z783" s="957"/>
      <c r="AA783" s="957"/>
      <c r="AB783" s="957"/>
      <c r="AC783" s="957"/>
      <c r="AD783" s="957"/>
    </row>
    <row r="784" ht="15.75" customHeight="1">
      <c r="A784" s="518"/>
      <c r="B784" s="517"/>
      <c r="C784" s="518"/>
      <c r="D784" s="992"/>
      <c r="E784" s="989"/>
      <c r="F784" s="989"/>
      <c r="G784" s="993"/>
      <c r="H784" s="993"/>
      <c r="I784" s="986"/>
      <c r="J784" s="523"/>
      <c r="K784" s="994"/>
      <c r="L784" s="995"/>
      <c r="M784" s="704"/>
      <c r="N784" s="704"/>
      <c r="O784" s="704"/>
      <c r="P784" s="957"/>
      <c r="Q784" s="957"/>
      <c r="R784" s="957"/>
      <c r="S784" s="957"/>
      <c r="T784" s="957"/>
      <c r="U784" s="957"/>
      <c r="V784" s="957"/>
      <c r="W784" s="957"/>
      <c r="X784" s="957"/>
      <c r="Y784" s="957"/>
      <c r="Z784" s="957"/>
      <c r="AA784" s="957"/>
      <c r="AB784" s="957"/>
      <c r="AC784" s="957"/>
      <c r="AD784" s="957"/>
    </row>
    <row r="785" ht="15.75" customHeight="1">
      <c r="A785" s="518"/>
      <c r="B785" s="517"/>
      <c r="C785" s="518"/>
      <c r="D785" s="992"/>
      <c r="E785" s="989"/>
      <c r="F785" s="989"/>
      <c r="G785" s="993"/>
      <c r="H785" s="993"/>
      <c r="I785" s="986"/>
      <c r="J785" s="523"/>
      <c r="K785" s="994"/>
      <c r="L785" s="995"/>
      <c r="M785" s="704"/>
      <c r="N785" s="704"/>
      <c r="O785" s="704"/>
      <c r="P785" s="957"/>
      <c r="Q785" s="957"/>
      <c r="R785" s="957"/>
      <c r="S785" s="957"/>
      <c r="T785" s="957"/>
      <c r="U785" s="957"/>
      <c r="V785" s="957"/>
      <c r="W785" s="957"/>
      <c r="X785" s="957"/>
      <c r="Y785" s="957"/>
      <c r="Z785" s="957"/>
      <c r="AA785" s="957"/>
      <c r="AB785" s="957"/>
      <c r="AC785" s="957"/>
      <c r="AD785" s="957"/>
    </row>
    <row r="786" ht="15.75" customHeight="1">
      <c r="A786" s="518"/>
      <c r="B786" s="517"/>
      <c r="C786" s="518"/>
      <c r="D786" s="992"/>
      <c r="E786" s="989"/>
      <c r="F786" s="989"/>
      <c r="G786" s="993"/>
      <c r="H786" s="993"/>
      <c r="I786" s="986"/>
      <c r="J786" s="523"/>
      <c r="K786" s="994"/>
      <c r="L786" s="995"/>
      <c r="M786" s="704"/>
      <c r="N786" s="704"/>
      <c r="O786" s="704"/>
      <c r="P786" s="957"/>
      <c r="Q786" s="957"/>
      <c r="R786" s="957"/>
      <c r="S786" s="957"/>
      <c r="T786" s="957"/>
      <c r="U786" s="957"/>
      <c r="V786" s="957"/>
      <c r="W786" s="957"/>
      <c r="X786" s="957"/>
      <c r="Y786" s="957"/>
      <c r="Z786" s="957"/>
      <c r="AA786" s="957"/>
      <c r="AB786" s="957"/>
      <c r="AC786" s="957"/>
      <c r="AD786" s="957"/>
    </row>
    <row r="787" ht="15.75" customHeight="1">
      <c r="A787" s="518"/>
      <c r="B787" s="517"/>
      <c r="C787" s="518"/>
      <c r="D787" s="992"/>
      <c r="E787" s="989"/>
      <c r="F787" s="989"/>
      <c r="G787" s="993"/>
      <c r="H787" s="993"/>
      <c r="I787" s="986"/>
      <c r="J787" s="523"/>
      <c r="K787" s="994"/>
      <c r="L787" s="995"/>
      <c r="M787" s="704"/>
      <c r="N787" s="704"/>
      <c r="O787" s="704"/>
      <c r="P787" s="957"/>
      <c r="Q787" s="957"/>
      <c r="R787" s="957"/>
      <c r="S787" s="957"/>
      <c r="T787" s="957"/>
      <c r="U787" s="957"/>
      <c r="V787" s="957"/>
      <c r="W787" s="957"/>
      <c r="X787" s="957"/>
      <c r="Y787" s="957"/>
      <c r="Z787" s="957"/>
      <c r="AA787" s="957"/>
      <c r="AB787" s="957"/>
      <c r="AC787" s="957"/>
      <c r="AD787" s="957"/>
    </row>
    <row r="788" ht="15.75" customHeight="1">
      <c r="A788" s="518"/>
      <c r="B788" s="517"/>
      <c r="C788" s="518"/>
      <c r="D788" s="992"/>
      <c r="E788" s="989"/>
      <c r="F788" s="989"/>
      <c r="G788" s="993"/>
      <c r="H788" s="993"/>
      <c r="I788" s="986"/>
      <c r="J788" s="523"/>
      <c r="K788" s="994"/>
      <c r="L788" s="995"/>
      <c r="M788" s="704"/>
      <c r="N788" s="704"/>
      <c r="O788" s="704"/>
      <c r="P788" s="957"/>
      <c r="Q788" s="957"/>
      <c r="R788" s="957"/>
      <c r="S788" s="957"/>
      <c r="T788" s="957"/>
      <c r="U788" s="957"/>
      <c r="V788" s="957"/>
      <c r="W788" s="957"/>
      <c r="X788" s="957"/>
      <c r="Y788" s="957"/>
      <c r="Z788" s="957"/>
      <c r="AA788" s="957"/>
      <c r="AB788" s="957"/>
      <c r="AC788" s="957"/>
      <c r="AD788" s="957"/>
    </row>
    <row r="789" ht="15.75" customHeight="1">
      <c r="A789" s="518"/>
      <c r="B789" s="517"/>
      <c r="C789" s="518"/>
      <c r="D789" s="992"/>
      <c r="E789" s="989"/>
      <c r="F789" s="989"/>
      <c r="G789" s="993"/>
      <c r="H789" s="993"/>
      <c r="I789" s="986"/>
      <c r="J789" s="523"/>
      <c r="K789" s="994"/>
      <c r="L789" s="995"/>
      <c r="M789" s="704"/>
      <c r="N789" s="704"/>
      <c r="O789" s="704"/>
      <c r="P789" s="957"/>
      <c r="Q789" s="957"/>
      <c r="R789" s="957"/>
      <c r="S789" s="957"/>
      <c r="T789" s="957"/>
      <c r="U789" s="957"/>
      <c r="V789" s="957"/>
      <c r="W789" s="957"/>
      <c r="X789" s="957"/>
      <c r="Y789" s="957"/>
      <c r="Z789" s="957"/>
      <c r="AA789" s="957"/>
      <c r="AB789" s="957"/>
      <c r="AC789" s="957"/>
      <c r="AD789" s="957"/>
    </row>
    <row r="790" ht="15.75" customHeight="1">
      <c r="A790" s="518"/>
      <c r="B790" s="517"/>
      <c r="C790" s="518"/>
      <c r="D790" s="992"/>
      <c r="E790" s="989"/>
      <c r="F790" s="989"/>
      <c r="G790" s="993"/>
      <c r="H790" s="993"/>
      <c r="I790" s="986"/>
      <c r="J790" s="523"/>
      <c r="K790" s="994"/>
      <c r="L790" s="995"/>
      <c r="M790" s="704"/>
      <c r="N790" s="704"/>
      <c r="O790" s="704"/>
      <c r="P790" s="957"/>
      <c r="Q790" s="957"/>
      <c r="R790" s="957"/>
      <c r="S790" s="957"/>
      <c r="T790" s="957"/>
      <c r="U790" s="957"/>
      <c r="V790" s="957"/>
      <c r="W790" s="957"/>
      <c r="X790" s="957"/>
      <c r="Y790" s="957"/>
      <c r="Z790" s="957"/>
      <c r="AA790" s="957"/>
      <c r="AB790" s="957"/>
      <c r="AC790" s="957"/>
      <c r="AD790" s="957"/>
    </row>
    <row r="791" ht="15.75" customHeight="1">
      <c r="A791" s="518"/>
      <c r="B791" s="517"/>
      <c r="C791" s="518"/>
      <c r="D791" s="992"/>
      <c r="E791" s="989"/>
      <c r="F791" s="989"/>
      <c r="G791" s="993"/>
      <c r="H791" s="993"/>
      <c r="I791" s="986"/>
      <c r="J791" s="523"/>
      <c r="K791" s="994"/>
      <c r="L791" s="995"/>
      <c r="M791" s="704"/>
      <c r="N791" s="704"/>
      <c r="O791" s="704"/>
      <c r="P791" s="957"/>
      <c r="Q791" s="957"/>
      <c r="R791" s="957"/>
      <c r="S791" s="957"/>
      <c r="T791" s="957"/>
      <c r="U791" s="957"/>
      <c r="V791" s="957"/>
      <c r="W791" s="957"/>
      <c r="X791" s="957"/>
      <c r="Y791" s="957"/>
      <c r="Z791" s="957"/>
      <c r="AA791" s="957"/>
      <c r="AB791" s="957"/>
      <c r="AC791" s="957"/>
      <c r="AD791" s="957"/>
    </row>
    <row r="792" ht="15.75" customHeight="1">
      <c r="A792" s="518"/>
      <c r="B792" s="517"/>
      <c r="C792" s="518"/>
      <c r="D792" s="992"/>
      <c r="E792" s="989"/>
      <c r="F792" s="989"/>
      <c r="G792" s="993"/>
      <c r="H792" s="993"/>
      <c r="I792" s="986"/>
      <c r="J792" s="523"/>
      <c r="K792" s="994"/>
      <c r="L792" s="995"/>
      <c r="M792" s="704"/>
      <c r="N792" s="704"/>
      <c r="O792" s="704"/>
      <c r="P792" s="957"/>
      <c r="Q792" s="957"/>
      <c r="R792" s="957"/>
      <c r="S792" s="957"/>
      <c r="T792" s="957"/>
      <c r="U792" s="957"/>
      <c r="V792" s="957"/>
      <c r="W792" s="957"/>
      <c r="X792" s="957"/>
      <c r="Y792" s="957"/>
      <c r="Z792" s="957"/>
      <c r="AA792" s="957"/>
      <c r="AB792" s="957"/>
      <c r="AC792" s="957"/>
      <c r="AD792" s="957"/>
    </row>
    <row r="793" ht="15.75" customHeight="1">
      <c r="A793" s="518"/>
      <c r="B793" s="517"/>
      <c r="C793" s="518"/>
      <c r="D793" s="992"/>
      <c r="E793" s="989"/>
      <c r="F793" s="989"/>
      <c r="G793" s="993"/>
      <c r="H793" s="993"/>
      <c r="I793" s="986"/>
      <c r="J793" s="523"/>
      <c r="K793" s="994"/>
      <c r="L793" s="995"/>
      <c r="M793" s="704"/>
      <c r="N793" s="704"/>
      <c r="O793" s="704"/>
      <c r="P793" s="957"/>
      <c r="Q793" s="957"/>
      <c r="R793" s="957"/>
      <c r="S793" s="957"/>
      <c r="T793" s="957"/>
      <c r="U793" s="957"/>
      <c r="V793" s="957"/>
      <c r="W793" s="957"/>
      <c r="X793" s="957"/>
      <c r="Y793" s="957"/>
      <c r="Z793" s="957"/>
      <c r="AA793" s="957"/>
      <c r="AB793" s="957"/>
      <c r="AC793" s="957"/>
      <c r="AD793" s="957"/>
    </row>
    <row r="794" ht="15.75" customHeight="1">
      <c r="A794" s="518"/>
      <c r="B794" s="517"/>
      <c r="C794" s="518"/>
      <c r="D794" s="992"/>
      <c r="E794" s="989"/>
      <c r="F794" s="989"/>
      <c r="G794" s="993"/>
      <c r="H794" s="993"/>
      <c r="I794" s="986"/>
      <c r="J794" s="523"/>
      <c r="K794" s="994"/>
      <c r="L794" s="995"/>
      <c r="M794" s="704"/>
      <c r="N794" s="704"/>
      <c r="O794" s="704"/>
      <c r="P794" s="957"/>
      <c r="Q794" s="957"/>
      <c r="R794" s="957"/>
      <c r="S794" s="957"/>
      <c r="T794" s="957"/>
      <c r="U794" s="957"/>
      <c r="V794" s="957"/>
      <c r="W794" s="957"/>
      <c r="X794" s="957"/>
      <c r="Y794" s="957"/>
      <c r="Z794" s="957"/>
      <c r="AA794" s="957"/>
      <c r="AB794" s="957"/>
      <c r="AC794" s="957"/>
      <c r="AD794" s="957"/>
    </row>
    <row r="795" ht="15.75" customHeight="1">
      <c r="A795" s="518"/>
      <c r="B795" s="517"/>
      <c r="C795" s="518"/>
      <c r="D795" s="992"/>
      <c r="E795" s="989"/>
      <c r="F795" s="989"/>
      <c r="G795" s="993"/>
      <c r="H795" s="993"/>
      <c r="I795" s="986"/>
      <c r="J795" s="523"/>
      <c r="K795" s="994"/>
      <c r="L795" s="995"/>
      <c r="M795" s="704"/>
      <c r="N795" s="704"/>
      <c r="O795" s="704"/>
      <c r="P795" s="957"/>
      <c r="Q795" s="957"/>
      <c r="R795" s="957"/>
      <c r="S795" s="957"/>
      <c r="T795" s="957"/>
      <c r="U795" s="957"/>
      <c r="V795" s="957"/>
      <c r="W795" s="957"/>
      <c r="X795" s="957"/>
      <c r="Y795" s="957"/>
      <c r="Z795" s="957"/>
      <c r="AA795" s="957"/>
      <c r="AB795" s="957"/>
      <c r="AC795" s="957"/>
      <c r="AD795" s="957"/>
    </row>
    <row r="796" ht="15.75" customHeight="1">
      <c r="A796" s="518"/>
      <c r="B796" s="517"/>
      <c r="C796" s="518"/>
      <c r="D796" s="992"/>
      <c r="E796" s="989"/>
      <c r="F796" s="989"/>
      <c r="G796" s="993"/>
      <c r="H796" s="993"/>
      <c r="I796" s="986"/>
      <c r="J796" s="523"/>
      <c r="K796" s="994"/>
      <c r="L796" s="995"/>
      <c r="M796" s="704"/>
      <c r="N796" s="704"/>
      <c r="O796" s="704"/>
      <c r="P796" s="957"/>
      <c r="Q796" s="957"/>
      <c r="R796" s="957"/>
      <c r="S796" s="957"/>
      <c r="T796" s="957"/>
      <c r="U796" s="957"/>
      <c r="V796" s="957"/>
      <c r="W796" s="957"/>
      <c r="X796" s="957"/>
      <c r="Y796" s="957"/>
      <c r="Z796" s="957"/>
      <c r="AA796" s="957"/>
      <c r="AB796" s="957"/>
      <c r="AC796" s="957"/>
      <c r="AD796" s="957"/>
    </row>
    <row r="797" ht="15.75" customHeight="1">
      <c r="A797" s="518"/>
      <c r="B797" s="517"/>
      <c r="C797" s="518"/>
      <c r="D797" s="992"/>
      <c r="E797" s="989"/>
      <c r="F797" s="989"/>
      <c r="G797" s="993"/>
      <c r="H797" s="993"/>
      <c r="I797" s="986"/>
      <c r="J797" s="523"/>
      <c r="K797" s="994"/>
      <c r="L797" s="995"/>
      <c r="M797" s="704"/>
      <c r="N797" s="704"/>
      <c r="O797" s="704"/>
      <c r="P797" s="957"/>
      <c r="Q797" s="957"/>
      <c r="R797" s="957"/>
      <c r="S797" s="957"/>
      <c r="T797" s="957"/>
      <c r="U797" s="957"/>
      <c r="V797" s="957"/>
      <c r="W797" s="957"/>
      <c r="X797" s="957"/>
      <c r="Y797" s="957"/>
      <c r="Z797" s="957"/>
      <c r="AA797" s="957"/>
      <c r="AB797" s="957"/>
      <c r="AC797" s="957"/>
      <c r="AD797" s="957"/>
    </row>
    <row r="798" ht="15.75" customHeight="1">
      <c r="A798" s="518"/>
      <c r="B798" s="517"/>
      <c r="C798" s="518"/>
      <c r="D798" s="992"/>
      <c r="E798" s="989"/>
      <c r="F798" s="989"/>
      <c r="G798" s="993"/>
      <c r="H798" s="993"/>
      <c r="I798" s="986"/>
      <c r="J798" s="523"/>
      <c r="K798" s="994"/>
      <c r="L798" s="995"/>
      <c r="M798" s="704"/>
      <c r="N798" s="704"/>
      <c r="O798" s="704"/>
      <c r="P798" s="957"/>
      <c r="Q798" s="957"/>
      <c r="R798" s="957"/>
      <c r="S798" s="957"/>
      <c r="T798" s="957"/>
      <c r="U798" s="957"/>
      <c r="V798" s="957"/>
      <c r="W798" s="957"/>
      <c r="X798" s="957"/>
      <c r="Y798" s="957"/>
      <c r="Z798" s="957"/>
      <c r="AA798" s="957"/>
      <c r="AB798" s="957"/>
      <c r="AC798" s="957"/>
      <c r="AD798" s="957"/>
    </row>
    <row r="799" ht="15.75" customHeight="1">
      <c r="A799" s="518"/>
      <c r="B799" s="517"/>
      <c r="C799" s="518"/>
      <c r="D799" s="992"/>
      <c r="E799" s="989"/>
      <c r="F799" s="989"/>
      <c r="G799" s="993"/>
      <c r="H799" s="993"/>
      <c r="I799" s="986"/>
      <c r="J799" s="523"/>
      <c r="K799" s="994"/>
      <c r="L799" s="995"/>
      <c r="M799" s="704"/>
      <c r="N799" s="704"/>
      <c r="O799" s="704"/>
      <c r="P799" s="957"/>
      <c r="Q799" s="957"/>
      <c r="R799" s="957"/>
      <c r="S799" s="957"/>
      <c r="T799" s="957"/>
      <c r="U799" s="957"/>
      <c r="V799" s="957"/>
      <c r="W799" s="957"/>
      <c r="X799" s="957"/>
      <c r="Y799" s="957"/>
      <c r="Z799" s="957"/>
      <c r="AA799" s="957"/>
      <c r="AB799" s="957"/>
      <c r="AC799" s="957"/>
      <c r="AD799" s="957"/>
    </row>
    <row r="800" ht="15.75" customHeight="1">
      <c r="A800" s="518"/>
      <c r="B800" s="517"/>
      <c r="C800" s="518"/>
      <c r="D800" s="992"/>
      <c r="E800" s="989"/>
      <c r="F800" s="989"/>
      <c r="G800" s="993"/>
      <c r="H800" s="993"/>
      <c r="I800" s="986"/>
      <c r="J800" s="523"/>
      <c r="K800" s="994"/>
      <c r="L800" s="995"/>
      <c r="M800" s="704"/>
      <c r="N800" s="704"/>
      <c r="O800" s="704"/>
      <c r="P800" s="957"/>
      <c r="Q800" s="957"/>
      <c r="R800" s="957"/>
      <c r="S800" s="957"/>
      <c r="T800" s="957"/>
      <c r="U800" s="957"/>
      <c r="V800" s="957"/>
      <c r="W800" s="957"/>
      <c r="X800" s="957"/>
      <c r="Y800" s="957"/>
      <c r="Z800" s="957"/>
      <c r="AA800" s="957"/>
      <c r="AB800" s="957"/>
      <c r="AC800" s="957"/>
      <c r="AD800" s="957"/>
    </row>
    <row r="801" ht="15.75" customHeight="1">
      <c r="A801" s="518"/>
      <c r="B801" s="517"/>
      <c r="C801" s="518"/>
      <c r="D801" s="992"/>
      <c r="E801" s="989"/>
      <c r="F801" s="989"/>
      <c r="G801" s="993"/>
      <c r="H801" s="993"/>
      <c r="I801" s="986"/>
      <c r="J801" s="523"/>
      <c r="K801" s="994"/>
      <c r="L801" s="995"/>
      <c r="M801" s="704"/>
      <c r="N801" s="704"/>
      <c r="O801" s="704"/>
      <c r="P801" s="957"/>
      <c r="Q801" s="957"/>
      <c r="R801" s="957"/>
      <c r="S801" s="957"/>
      <c r="T801" s="957"/>
      <c r="U801" s="957"/>
      <c r="V801" s="957"/>
      <c r="W801" s="957"/>
      <c r="X801" s="957"/>
      <c r="Y801" s="957"/>
      <c r="Z801" s="957"/>
      <c r="AA801" s="957"/>
      <c r="AB801" s="957"/>
      <c r="AC801" s="957"/>
      <c r="AD801" s="957"/>
    </row>
    <row r="802" ht="15.75" customHeight="1">
      <c r="A802" s="518"/>
      <c r="B802" s="517"/>
      <c r="C802" s="518"/>
      <c r="D802" s="992"/>
      <c r="E802" s="989"/>
      <c r="F802" s="989"/>
      <c r="G802" s="993"/>
      <c r="H802" s="993"/>
      <c r="I802" s="986"/>
      <c r="J802" s="523"/>
      <c r="K802" s="994"/>
      <c r="L802" s="995"/>
      <c r="M802" s="704"/>
      <c r="N802" s="704"/>
      <c r="O802" s="704"/>
      <c r="P802" s="957"/>
      <c r="Q802" s="957"/>
      <c r="R802" s="957"/>
      <c r="S802" s="957"/>
      <c r="T802" s="957"/>
      <c r="U802" s="957"/>
      <c r="V802" s="957"/>
      <c r="W802" s="957"/>
      <c r="X802" s="957"/>
      <c r="Y802" s="957"/>
      <c r="Z802" s="957"/>
      <c r="AA802" s="957"/>
      <c r="AB802" s="957"/>
      <c r="AC802" s="957"/>
      <c r="AD802" s="957"/>
    </row>
    <row r="803" ht="15.75" customHeight="1">
      <c r="A803" s="518"/>
      <c r="B803" s="517"/>
      <c r="C803" s="518"/>
      <c r="D803" s="992"/>
      <c r="E803" s="989"/>
      <c r="F803" s="989"/>
      <c r="G803" s="993"/>
      <c r="H803" s="993"/>
      <c r="I803" s="986"/>
      <c r="J803" s="523"/>
      <c r="K803" s="994"/>
      <c r="L803" s="995"/>
      <c r="M803" s="704"/>
      <c r="N803" s="704"/>
      <c r="O803" s="704"/>
      <c r="P803" s="957"/>
      <c r="Q803" s="957"/>
      <c r="R803" s="957"/>
      <c r="S803" s="957"/>
      <c r="T803" s="957"/>
      <c r="U803" s="957"/>
      <c r="V803" s="957"/>
      <c r="W803" s="957"/>
      <c r="X803" s="957"/>
      <c r="Y803" s="957"/>
      <c r="Z803" s="957"/>
      <c r="AA803" s="957"/>
      <c r="AB803" s="957"/>
      <c r="AC803" s="957"/>
      <c r="AD803" s="957"/>
    </row>
    <row r="804" ht="15.75" customHeight="1">
      <c r="A804" s="518"/>
      <c r="B804" s="517"/>
      <c r="C804" s="518"/>
      <c r="D804" s="992"/>
      <c r="E804" s="989"/>
      <c r="F804" s="989"/>
      <c r="G804" s="993"/>
      <c r="H804" s="993"/>
      <c r="I804" s="986"/>
      <c r="J804" s="523"/>
      <c r="K804" s="994"/>
      <c r="L804" s="995"/>
      <c r="M804" s="704"/>
      <c r="N804" s="704"/>
      <c r="O804" s="704"/>
      <c r="P804" s="957"/>
      <c r="Q804" s="957"/>
      <c r="R804" s="957"/>
      <c r="S804" s="957"/>
      <c r="T804" s="957"/>
      <c r="U804" s="957"/>
      <c r="V804" s="957"/>
      <c r="W804" s="957"/>
      <c r="X804" s="957"/>
      <c r="Y804" s="957"/>
      <c r="Z804" s="957"/>
      <c r="AA804" s="957"/>
      <c r="AB804" s="957"/>
      <c r="AC804" s="957"/>
      <c r="AD804" s="957"/>
    </row>
    <row r="805" ht="15.75" customHeight="1">
      <c r="A805" s="518"/>
      <c r="B805" s="517"/>
      <c r="C805" s="518"/>
      <c r="D805" s="992"/>
      <c r="E805" s="989"/>
      <c r="F805" s="989"/>
      <c r="G805" s="993"/>
      <c r="H805" s="993"/>
      <c r="I805" s="986"/>
      <c r="J805" s="523"/>
      <c r="K805" s="994"/>
      <c r="L805" s="995"/>
      <c r="M805" s="704"/>
      <c r="N805" s="704"/>
      <c r="O805" s="704"/>
      <c r="P805" s="957"/>
      <c r="Q805" s="957"/>
      <c r="R805" s="957"/>
      <c r="S805" s="957"/>
      <c r="T805" s="957"/>
      <c r="U805" s="957"/>
      <c r="V805" s="957"/>
      <c r="W805" s="957"/>
      <c r="X805" s="957"/>
      <c r="Y805" s="957"/>
      <c r="Z805" s="957"/>
      <c r="AA805" s="957"/>
      <c r="AB805" s="957"/>
      <c r="AC805" s="957"/>
      <c r="AD805" s="957"/>
    </row>
    <row r="806" ht="15.75" customHeight="1">
      <c r="A806" s="518"/>
      <c r="B806" s="517"/>
      <c r="C806" s="518"/>
      <c r="D806" s="992"/>
      <c r="E806" s="989"/>
      <c r="F806" s="989"/>
      <c r="G806" s="993"/>
      <c r="H806" s="993"/>
      <c r="I806" s="986"/>
      <c r="J806" s="523"/>
      <c r="K806" s="994"/>
      <c r="L806" s="995"/>
      <c r="M806" s="704"/>
      <c r="N806" s="704"/>
      <c r="O806" s="704"/>
      <c r="P806" s="957"/>
      <c r="Q806" s="957"/>
      <c r="R806" s="957"/>
      <c r="S806" s="957"/>
      <c r="T806" s="957"/>
      <c r="U806" s="957"/>
      <c r="V806" s="957"/>
      <c r="W806" s="957"/>
      <c r="X806" s="957"/>
      <c r="Y806" s="957"/>
      <c r="Z806" s="957"/>
      <c r="AA806" s="957"/>
      <c r="AB806" s="957"/>
      <c r="AC806" s="957"/>
      <c r="AD806" s="957"/>
    </row>
    <row r="807" ht="15.75" customHeight="1">
      <c r="A807" s="518"/>
      <c r="B807" s="517"/>
      <c r="C807" s="518"/>
      <c r="D807" s="992"/>
      <c r="E807" s="989"/>
      <c r="F807" s="989"/>
      <c r="G807" s="993"/>
      <c r="H807" s="993"/>
      <c r="I807" s="986"/>
      <c r="J807" s="523"/>
      <c r="K807" s="994"/>
      <c r="L807" s="995"/>
      <c r="M807" s="704"/>
      <c r="N807" s="704"/>
      <c r="O807" s="704"/>
      <c r="P807" s="957"/>
      <c r="Q807" s="957"/>
      <c r="R807" s="957"/>
      <c r="S807" s="957"/>
      <c r="T807" s="957"/>
      <c r="U807" s="957"/>
      <c r="V807" s="957"/>
      <c r="W807" s="957"/>
      <c r="X807" s="957"/>
      <c r="Y807" s="957"/>
      <c r="Z807" s="957"/>
      <c r="AA807" s="957"/>
      <c r="AB807" s="957"/>
      <c r="AC807" s="957"/>
      <c r="AD807" s="957"/>
    </row>
    <row r="808" ht="15.75" customHeight="1">
      <c r="A808" s="518"/>
      <c r="B808" s="517"/>
      <c r="C808" s="518"/>
      <c r="D808" s="992"/>
      <c r="E808" s="989"/>
      <c r="F808" s="989"/>
      <c r="G808" s="993"/>
      <c r="H808" s="993"/>
      <c r="I808" s="986"/>
      <c r="J808" s="523"/>
      <c r="K808" s="994"/>
      <c r="L808" s="995"/>
      <c r="M808" s="704"/>
      <c r="N808" s="704"/>
      <c r="O808" s="704"/>
      <c r="P808" s="957"/>
      <c r="Q808" s="957"/>
      <c r="R808" s="957"/>
      <c r="S808" s="957"/>
      <c r="T808" s="957"/>
      <c r="U808" s="957"/>
      <c r="V808" s="957"/>
      <c r="W808" s="957"/>
      <c r="X808" s="957"/>
      <c r="Y808" s="957"/>
      <c r="Z808" s="957"/>
      <c r="AA808" s="957"/>
      <c r="AB808" s="957"/>
      <c r="AC808" s="957"/>
      <c r="AD808" s="957"/>
    </row>
    <row r="809" ht="15.75" customHeight="1">
      <c r="A809" s="518"/>
      <c r="B809" s="517"/>
      <c r="C809" s="518"/>
      <c r="D809" s="992"/>
      <c r="E809" s="989"/>
      <c r="F809" s="989"/>
      <c r="G809" s="993"/>
      <c r="H809" s="993"/>
      <c r="I809" s="986"/>
      <c r="J809" s="523"/>
      <c r="K809" s="994"/>
      <c r="L809" s="995"/>
      <c r="M809" s="704"/>
      <c r="N809" s="704"/>
      <c r="O809" s="704"/>
      <c r="P809" s="957"/>
      <c r="Q809" s="957"/>
      <c r="R809" s="957"/>
      <c r="S809" s="957"/>
      <c r="T809" s="957"/>
      <c r="U809" s="957"/>
      <c r="V809" s="957"/>
      <c r="W809" s="957"/>
      <c r="X809" s="957"/>
      <c r="Y809" s="957"/>
      <c r="Z809" s="957"/>
      <c r="AA809" s="957"/>
      <c r="AB809" s="957"/>
      <c r="AC809" s="957"/>
      <c r="AD809" s="957"/>
    </row>
    <row r="810" ht="15.75" customHeight="1">
      <c r="A810" s="518"/>
      <c r="B810" s="517"/>
      <c r="C810" s="518"/>
      <c r="D810" s="992"/>
      <c r="E810" s="989"/>
      <c r="F810" s="989"/>
      <c r="G810" s="993"/>
      <c r="H810" s="993"/>
      <c r="I810" s="986"/>
      <c r="J810" s="523"/>
      <c r="K810" s="994"/>
      <c r="L810" s="995"/>
      <c r="M810" s="704"/>
      <c r="N810" s="704"/>
      <c r="O810" s="704"/>
      <c r="P810" s="957"/>
      <c r="Q810" s="957"/>
      <c r="R810" s="957"/>
      <c r="S810" s="957"/>
      <c r="T810" s="957"/>
      <c r="U810" s="957"/>
      <c r="V810" s="957"/>
      <c r="W810" s="957"/>
      <c r="X810" s="957"/>
      <c r="Y810" s="957"/>
      <c r="Z810" s="957"/>
      <c r="AA810" s="957"/>
      <c r="AB810" s="957"/>
      <c r="AC810" s="957"/>
      <c r="AD810" s="957"/>
    </row>
    <row r="811" ht="15.75" customHeight="1">
      <c r="A811" s="518"/>
      <c r="B811" s="517"/>
      <c r="C811" s="518"/>
      <c r="D811" s="992"/>
      <c r="E811" s="989"/>
      <c r="F811" s="989"/>
      <c r="G811" s="993"/>
      <c r="H811" s="993"/>
      <c r="I811" s="986"/>
      <c r="J811" s="523"/>
      <c r="K811" s="994"/>
      <c r="L811" s="995"/>
      <c r="M811" s="704"/>
      <c r="N811" s="704"/>
      <c r="O811" s="704"/>
      <c r="P811" s="957"/>
      <c r="Q811" s="957"/>
      <c r="R811" s="957"/>
      <c r="S811" s="957"/>
      <c r="T811" s="957"/>
      <c r="U811" s="957"/>
      <c r="V811" s="957"/>
      <c r="W811" s="957"/>
      <c r="X811" s="957"/>
      <c r="Y811" s="957"/>
      <c r="Z811" s="957"/>
      <c r="AA811" s="957"/>
      <c r="AB811" s="957"/>
      <c r="AC811" s="957"/>
      <c r="AD811" s="957"/>
    </row>
    <row r="812" ht="15.75" customHeight="1">
      <c r="A812" s="518"/>
      <c r="B812" s="517"/>
      <c r="C812" s="518"/>
      <c r="D812" s="992"/>
      <c r="E812" s="989"/>
      <c r="F812" s="989"/>
      <c r="G812" s="993"/>
      <c r="H812" s="993"/>
      <c r="I812" s="986"/>
      <c r="J812" s="523"/>
      <c r="K812" s="994"/>
      <c r="L812" s="995"/>
      <c r="M812" s="704"/>
      <c r="N812" s="704"/>
      <c r="O812" s="704"/>
      <c r="P812" s="957"/>
      <c r="Q812" s="957"/>
      <c r="R812" s="957"/>
      <c r="S812" s="957"/>
      <c r="T812" s="957"/>
      <c r="U812" s="957"/>
      <c r="V812" s="957"/>
      <c r="W812" s="957"/>
      <c r="X812" s="957"/>
      <c r="Y812" s="957"/>
      <c r="Z812" s="957"/>
      <c r="AA812" s="957"/>
      <c r="AB812" s="957"/>
      <c r="AC812" s="957"/>
      <c r="AD812" s="957"/>
    </row>
    <row r="813" ht="15.75" customHeight="1">
      <c r="A813" s="518"/>
      <c r="B813" s="517"/>
      <c r="C813" s="518"/>
      <c r="D813" s="992"/>
      <c r="E813" s="989"/>
      <c r="F813" s="989"/>
      <c r="G813" s="993"/>
      <c r="H813" s="993"/>
      <c r="I813" s="986"/>
      <c r="J813" s="523"/>
      <c r="K813" s="994"/>
      <c r="L813" s="995"/>
      <c r="M813" s="704"/>
      <c r="N813" s="704"/>
      <c r="O813" s="704"/>
      <c r="P813" s="957"/>
      <c r="Q813" s="957"/>
      <c r="R813" s="957"/>
      <c r="S813" s="957"/>
      <c r="T813" s="957"/>
      <c r="U813" s="957"/>
      <c r="V813" s="957"/>
      <c r="W813" s="957"/>
      <c r="X813" s="957"/>
      <c r="Y813" s="957"/>
      <c r="Z813" s="957"/>
      <c r="AA813" s="957"/>
      <c r="AB813" s="957"/>
      <c r="AC813" s="957"/>
      <c r="AD813" s="957"/>
    </row>
    <row r="814" ht="15.75" customHeight="1">
      <c r="A814" s="518"/>
      <c r="B814" s="517"/>
      <c r="C814" s="518"/>
      <c r="D814" s="992"/>
      <c r="E814" s="989"/>
      <c r="F814" s="989"/>
      <c r="G814" s="993"/>
      <c r="H814" s="993"/>
      <c r="I814" s="986"/>
      <c r="J814" s="523"/>
      <c r="K814" s="994"/>
      <c r="L814" s="995"/>
      <c r="M814" s="704"/>
      <c r="N814" s="704"/>
      <c r="O814" s="704"/>
      <c r="P814" s="957"/>
      <c r="Q814" s="957"/>
      <c r="R814" s="957"/>
      <c r="S814" s="957"/>
      <c r="T814" s="957"/>
      <c r="U814" s="957"/>
      <c r="V814" s="957"/>
      <c r="W814" s="957"/>
      <c r="X814" s="957"/>
      <c r="Y814" s="957"/>
      <c r="Z814" s="957"/>
      <c r="AA814" s="957"/>
      <c r="AB814" s="957"/>
      <c r="AC814" s="957"/>
      <c r="AD814" s="957"/>
    </row>
    <row r="815" ht="15.75" customHeight="1">
      <c r="A815" s="518"/>
      <c r="B815" s="517"/>
      <c r="C815" s="518"/>
      <c r="D815" s="992"/>
      <c r="E815" s="989"/>
      <c r="F815" s="989"/>
      <c r="G815" s="993"/>
      <c r="H815" s="993"/>
      <c r="I815" s="986"/>
      <c r="J815" s="523"/>
      <c r="K815" s="994"/>
      <c r="L815" s="995"/>
      <c r="M815" s="704"/>
      <c r="N815" s="704"/>
      <c r="O815" s="704"/>
      <c r="P815" s="957"/>
      <c r="Q815" s="957"/>
      <c r="R815" s="957"/>
      <c r="S815" s="957"/>
      <c r="T815" s="957"/>
      <c r="U815" s="957"/>
      <c r="V815" s="957"/>
      <c r="W815" s="957"/>
      <c r="X815" s="957"/>
      <c r="Y815" s="957"/>
      <c r="Z815" s="957"/>
      <c r="AA815" s="957"/>
      <c r="AB815" s="957"/>
      <c r="AC815" s="957"/>
      <c r="AD815" s="957"/>
    </row>
    <row r="816" ht="15.75" customHeight="1">
      <c r="A816" s="518"/>
      <c r="B816" s="517"/>
      <c r="C816" s="518"/>
      <c r="D816" s="992"/>
      <c r="E816" s="989"/>
      <c r="F816" s="989"/>
      <c r="G816" s="993"/>
      <c r="H816" s="993"/>
      <c r="I816" s="986"/>
      <c r="J816" s="523"/>
      <c r="K816" s="994"/>
      <c r="L816" s="995"/>
      <c r="M816" s="704"/>
      <c r="N816" s="704"/>
      <c r="O816" s="704"/>
      <c r="P816" s="957"/>
      <c r="Q816" s="957"/>
      <c r="R816" s="957"/>
      <c r="S816" s="957"/>
      <c r="T816" s="957"/>
      <c r="U816" s="957"/>
      <c r="V816" s="957"/>
      <c r="W816" s="957"/>
      <c r="X816" s="957"/>
      <c r="Y816" s="957"/>
      <c r="Z816" s="957"/>
      <c r="AA816" s="957"/>
      <c r="AB816" s="957"/>
      <c r="AC816" s="957"/>
      <c r="AD816" s="957"/>
    </row>
    <row r="817" ht="15.75" customHeight="1">
      <c r="A817" s="518"/>
      <c r="B817" s="517"/>
      <c r="C817" s="518"/>
      <c r="D817" s="992"/>
      <c r="E817" s="989"/>
      <c r="F817" s="989"/>
      <c r="G817" s="993"/>
      <c r="H817" s="993"/>
      <c r="I817" s="986"/>
      <c r="J817" s="523"/>
      <c r="K817" s="994"/>
      <c r="L817" s="995"/>
      <c r="M817" s="704"/>
      <c r="N817" s="704"/>
      <c r="O817" s="704"/>
      <c r="P817" s="957"/>
      <c r="Q817" s="957"/>
      <c r="R817" s="957"/>
      <c r="S817" s="957"/>
      <c r="T817" s="957"/>
      <c r="U817" s="957"/>
      <c r="V817" s="957"/>
      <c r="W817" s="957"/>
      <c r="X817" s="957"/>
      <c r="Y817" s="957"/>
      <c r="Z817" s="957"/>
      <c r="AA817" s="957"/>
      <c r="AB817" s="957"/>
      <c r="AC817" s="957"/>
      <c r="AD817" s="957"/>
    </row>
    <row r="818" ht="15.75" customHeight="1">
      <c r="A818" s="518"/>
      <c r="B818" s="517"/>
      <c r="C818" s="518"/>
      <c r="D818" s="992"/>
      <c r="E818" s="989"/>
      <c r="F818" s="989"/>
      <c r="G818" s="993"/>
      <c r="H818" s="993"/>
      <c r="I818" s="986"/>
      <c r="J818" s="523"/>
      <c r="K818" s="994"/>
      <c r="L818" s="995"/>
      <c r="M818" s="704"/>
      <c r="N818" s="704"/>
      <c r="O818" s="704"/>
      <c r="P818" s="957"/>
      <c r="Q818" s="957"/>
      <c r="R818" s="957"/>
      <c r="S818" s="957"/>
      <c r="T818" s="957"/>
      <c r="U818" s="957"/>
      <c r="V818" s="957"/>
      <c r="W818" s="957"/>
      <c r="X818" s="957"/>
      <c r="Y818" s="957"/>
      <c r="Z818" s="957"/>
      <c r="AA818" s="957"/>
      <c r="AB818" s="957"/>
      <c r="AC818" s="957"/>
      <c r="AD818" s="957"/>
    </row>
    <row r="819" ht="15.75" customHeight="1">
      <c r="A819" s="518"/>
      <c r="B819" s="517"/>
      <c r="C819" s="518"/>
      <c r="D819" s="992"/>
      <c r="E819" s="989"/>
      <c r="F819" s="989"/>
      <c r="G819" s="993"/>
      <c r="H819" s="993"/>
      <c r="I819" s="986"/>
      <c r="J819" s="523"/>
      <c r="K819" s="994"/>
      <c r="L819" s="995"/>
      <c r="M819" s="704"/>
      <c r="N819" s="704"/>
      <c r="O819" s="704"/>
      <c r="P819" s="957"/>
      <c r="Q819" s="957"/>
      <c r="R819" s="957"/>
      <c r="S819" s="957"/>
      <c r="T819" s="957"/>
      <c r="U819" s="957"/>
      <c r="V819" s="957"/>
      <c r="W819" s="957"/>
      <c r="X819" s="957"/>
      <c r="Y819" s="957"/>
      <c r="Z819" s="957"/>
      <c r="AA819" s="957"/>
      <c r="AB819" s="957"/>
      <c r="AC819" s="957"/>
      <c r="AD819" s="957"/>
    </row>
    <row r="820" ht="15.75" customHeight="1">
      <c r="A820" s="518"/>
      <c r="B820" s="517"/>
      <c r="C820" s="518"/>
      <c r="D820" s="992"/>
      <c r="E820" s="989"/>
      <c r="F820" s="989"/>
      <c r="G820" s="993"/>
      <c r="H820" s="993"/>
      <c r="I820" s="986"/>
      <c r="J820" s="523"/>
      <c r="K820" s="994"/>
      <c r="L820" s="995"/>
      <c r="M820" s="704"/>
      <c r="N820" s="704"/>
      <c r="O820" s="704"/>
      <c r="P820" s="957"/>
      <c r="Q820" s="957"/>
      <c r="R820" s="957"/>
      <c r="S820" s="957"/>
      <c r="T820" s="957"/>
      <c r="U820" s="957"/>
      <c r="V820" s="957"/>
      <c r="W820" s="957"/>
      <c r="X820" s="957"/>
      <c r="Y820" s="957"/>
      <c r="Z820" s="957"/>
      <c r="AA820" s="957"/>
      <c r="AB820" s="957"/>
      <c r="AC820" s="957"/>
      <c r="AD820" s="957"/>
    </row>
    <row r="821" ht="15.75" customHeight="1">
      <c r="A821" s="518"/>
      <c r="B821" s="517"/>
      <c r="C821" s="518"/>
      <c r="D821" s="992"/>
      <c r="E821" s="989"/>
      <c r="F821" s="989"/>
      <c r="G821" s="993"/>
      <c r="H821" s="993"/>
      <c r="I821" s="986"/>
      <c r="J821" s="523"/>
      <c r="K821" s="994"/>
      <c r="L821" s="995"/>
      <c r="M821" s="704"/>
      <c r="N821" s="704"/>
      <c r="O821" s="704"/>
      <c r="P821" s="957"/>
      <c r="Q821" s="957"/>
      <c r="R821" s="957"/>
      <c r="S821" s="957"/>
      <c r="T821" s="957"/>
      <c r="U821" s="957"/>
      <c r="V821" s="957"/>
      <c r="W821" s="957"/>
      <c r="X821" s="957"/>
      <c r="Y821" s="957"/>
      <c r="Z821" s="957"/>
      <c r="AA821" s="957"/>
      <c r="AB821" s="957"/>
      <c r="AC821" s="957"/>
      <c r="AD821" s="957"/>
    </row>
    <row r="822" ht="15.75" customHeight="1">
      <c r="A822" s="518"/>
      <c r="B822" s="517"/>
      <c r="C822" s="518"/>
      <c r="D822" s="992"/>
      <c r="E822" s="989"/>
      <c r="F822" s="989"/>
      <c r="G822" s="993"/>
      <c r="H822" s="993"/>
      <c r="I822" s="986"/>
      <c r="J822" s="523"/>
      <c r="K822" s="994"/>
      <c r="L822" s="995"/>
      <c r="M822" s="704"/>
      <c r="N822" s="704"/>
      <c r="O822" s="704"/>
      <c r="P822" s="957"/>
      <c r="Q822" s="957"/>
      <c r="R822" s="957"/>
      <c r="S822" s="957"/>
      <c r="T822" s="957"/>
      <c r="U822" s="957"/>
      <c r="V822" s="957"/>
      <c r="W822" s="957"/>
      <c r="X822" s="957"/>
      <c r="Y822" s="957"/>
      <c r="Z822" s="957"/>
      <c r="AA822" s="957"/>
      <c r="AB822" s="957"/>
      <c r="AC822" s="957"/>
      <c r="AD822" s="957"/>
    </row>
    <row r="823" ht="15.75" customHeight="1">
      <c r="A823" s="518"/>
      <c r="B823" s="517"/>
      <c r="C823" s="518"/>
      <c r="D823" s="992"/>
      <c r="E823" s="989"/>
      <c r="F823" s="989"/>
      <c r="G823" s="993"/>
      <c r="H823" s="993"/>
      <c r="I823" s="986"/>
      <c r="J823" s="523"/>
      <c r="K823" s="994"/>
      <c r="L823" s="995"/>
      <c r="M823" s="704"/>
      <c r="N823" s="704"/>
      <c r="O823" s="704"/>
      <c r="P823" s="957"/>
      <c r="Q823" s="957"/>
      <c r="R823" s="957"/>
      <c r="S823" s="957"/>
      <c r="T823" s="957"/>
      <c r="U823" s="957"/>
      <c r="V823" s="957"/>
      <c r="W823" s="957"/>
      <c r="X823" s="957"/>
      <c r="Y823" s="957"/>
      <c r="Z823" s="957"/>
      <c r="AA823" s="957"/>
      <c r="AB823" s="957"/>
      <c r="AC823" s="957"/>
      <c r="AD823" s="957"/>
    </row>
    <row r="824" ht="15.75" customHeight="1">
      <c r="A824" s="518"/>
      <c r="B824" s="517"/>
      <c r="C824" s="518"/>
      <c r="D824" s="992"/>
      <c r="E824" s="989"/>
      <c r="F824" s="989"/>
      <c r="G824" s="993"/>
      <c r="H824" s="993"/>
      <c r="I824" s="986"/>
      <c r="J824" s="523"/>
      <c r="K824" s="994"/>
      <c r="L824" s="995"/>
      <c r="M824" s="704"/>
      <c r="N824" s="704"/>
      <c r="O824" s="704"/>
      <c r="P824" s="957"/>
      <c r="Q824" s="957"/>
      <c r="R824" s="957"/>
      <c r="S824" s="957"/>
      <c r="T824" s="957"/>
      <c r="U824" s="957"/>
      <c r="V824" s="957"/>
      <c r="W824" s="957"/>
      <c r="X824" s="957"/>
      <c r="Y824" s="957"/>
      <c r="Z824" s="957"/>
      <c r="AA824" s="957"/>
      <c r="AB824" s="957"/>
      <c r="AC824" s="957"/>
      <c r="AD824" s="957"/>
    </row>
    <row r="825" ht="15.75" customHeight="1">
      <c r="A825" s="518"/>
      <c r="B825" s="517"/>
      <c r="C825" s="518"/>
      <c r="D825" s="992"/>
      <c r="E825" s="989"/>
      <c r="F825" s="989"/>
      <c r="G825" s="993"/>
      <c r="H825" s="993"/>
      <c r="I825" s="986"/>
      <c r="J825" s="523"/>
      <c r="K825" s="994"/>
      <c r="L825" s="995"/>
      <c r="M825" s="704"/>
      <c r="N825" s="704"/>
      <c r="O825" s="704"/>
      <c r="P825" s="957"/>
      <c r="Q825" s="957"/>
      <c r="R825" s="957"/>
      <c r="S825" s="957"/>
      <c r="T825" s="957"/>
      <c r="U825" s="957"/>
      <c r="V825" s="957"/>
      <c r="W825" s="957"/>
      <c r="X825" s="957"/>
      <c r="Y825" s="957"/>
      <c r="Z825" s="957"/>
      <c r="AA825" s="957"/>
      <c r="AB825" s="957"/>
      <c r="AC825" s="957"/>
      <c r="AD825" s="957"/>
    </row>
    <row r="826" ht="15.75" customHeight="1">
      <c r="A826" s="518"/>
      <c r="B826" s="517"/>
      <c r="C826" s="518"/>
      <c r="D826" s="992"/>
      <c r="E826" s="989"/>
      <c r="F826" s="989"/>
      <c r="G826" s="993"/>
      <c r="H826" s="993"/>
      <c r="I826" s="986"/>
      <c r="J826" s="523"/>
      <c r="K826" s="994"/>
      <c r="L826" s="995"/>
      <c r="M826" s="704"/>
      <c r="N826" s="704"/>
      <c r="O826" s="704"/>
      <c r="P826" s="957"/>
      <c r="Q826" s="957"/>
      <c r="R826" s="957"/>
      <c r="S826" s="957"/>
      <c r="T826" s="957"/>
      <c r="U826" s="957"/>
      <c r="V826" s="957"/>
      <c r="W826" s="957"/>
      <c r="X826" s="957"/>
      <c r="Y826" s="957"/>
      <c r="Z826" s="957"/>
      <c r="AA826" s="957"/>
      <c r="AB826" s="957"/>
      <c r="AC826" s="957"/>
      <c r="AD826" s="957"/>
    </row>
    <row r="827" ht="15.75" customHeight="1">
      <c r="A827" s="518"/>
      <c r="B827" s="517"/>
      <c r="C827" s="518"/>
      <c r="D827" s="992"/>
      <c r="E827" s="989"/>
      <c r="F827" s="989"/>
      <c r="G827" s="993"/>
      <c r="H827" s="993"/>
      <c r="I827" s="986"/>
      <c r="J827" s="523"/>
      <c r="K827" s="994"/>
      <c r="L827" s="995"/>
      <c r="M827" s="704"/>
      <c r="N827" s="704"/>
      <c r="O827" s="704"/>
      <c r="P827" s="957"/>
      <c r="Q827" s="957"/>
      <c r="R827" s="957"/>
      <c r="S827" s="957"/>
      <c r="T827" s="957"/>
      <c r="U827" s="957"/>
      <c r="V827" s="957"/>
      <c r="W827" s="957"/>
      <c r="X827" s="957"/>
      <c r="Y827" s="957"/>
      <c r="Z827" s="957"/>
      <c r="AA827" s="957"/>
      <c r="AB827" s="957"/>
      <c r="AC827" s="957"/>
      <c r="AD827" s="957"/>
    </row>
    <row r="828" ht="15.75" customHeight="1">
      <c r="A828" s="518"/>
      <c r="B828" s="517"/>
      <c r="C828" s="518"/>
      <c r="D828" s="992"/>
      <c r="E828" s="989"/>
      <c r="F828" s="989"/>
      <c r="G828" s="993"/>
      <c r="H828" s="993"/>
      <c r="I828" s="986"/>
      <c r="J828" s="523"/>
      <c r="K828" s="994"/>
      <c r="L828" s="995"/>
      <c r="M828" s="704"/>
      <c r="N828" s="704"/>
      <c r="O828" s="704"/>
      <c r="P828" s="957"/>
      <c r="Q828" s="957"/>
      <c r="R828" s="957"/>
      <c r="S828" s="957"/>
      <c r="T828" s="957"/>
      <c r="U828" s="957"/>
      <c r="V828" s="957"/>
      <c r="W828" s="957"/>
      <c r="X828" s="957"/>
      <c r="Y828" s="957"/>
      <c r="Z828" s="957"/>
      <c r="AA828" s="957"/>
      <c r="AB828" s="957"/>
      <c r="AC828" s="957"/>
      <c r="AD828" s="957"/>
    </row>
    <row r="829" ht="15.75" customHeight="1">
      <c r="A829" s="518"/>
      <c r="B829" s="517"/>
      <c r="C829" s="518"/>
      <c r="D829" s="992"/>
      <c r="E829" s="989"/>
      <c r="F829" s="989"/>
      <c r="G829" s="993"/>
      <c r="H829" s="993"/>
      <c r="I829" s="986"/>
      <c r="J829" s="523"/>
      <c r="K829" s="994"/>
      <c r="L829" s="995"/>
      <c r="M829" s="704"/>
      <c r="N829" s="704"/>
      <c r="O829" s="704"/>
      <c r="P829" s="957"/>
      <c r="Q829" s="957"/>
      <c r="R829" s="957"/>
      <c r="S829" s="957"/>
      <c r="T829" s="957"/>
      <c r="U829" s="957"/>
      <c r="V829" s="957"/>
      <c r="W829" s="957"/>
      <c r="X829" s="957"/>
      <c r="Y829" s="957"/>
      <c r="Z829" s="957"/>
      <c r="AA829" s="957"/>
      <c r="AB829" s="957"/>
      <c r="AC829" s="957"/>
      <c r="AD829" s="957"/>
    </row>
    <row r="830" ht="15.75" customHeight="1">
      <c r="A830" s="518"/>
      <c r="B830" s="517"/>
      <c r="C830" s="518"/>
      <c r="D830" s="992"/>
      <c r="E830" s="989"/>
      <c r="F830" s="989"/>
      <c r="G830" s="993"/>
      <c r="H830" s="993"/>
      <c r="I830" s="986"/>
      <c r="J830" s="523"/>
      <c r="K830" s="994"/>
      <c r="L830" s="995"/>
      <c r="M830" s="704"/>
      <c r="N830" s="704"/>
      <c r="O830" s="704"/>
      <c r="P830" s="957"/>
      <c r="Q830" s="957"/>
      <c r="R830" s="957"/>
      <c r="S830" s="957"/>
      <c r="T830" s="957"/>
      <c r="U830" s="957"/>
      <c r="V830" s="957"/>
      <c r="W830" s="957"/>
      <c r="X830" s="957"/>
      <c r="Y830" s="957"/>
      <c r="Z830" s="957"/>
      <c r="AA830" s="957"/>
      <c r="AB830" s="957"/>
      <c r="AC830" s="957"/>
      <c r="AD830" s="957"/>
    </row>
    <row r="831" ht="15.75" customHeight="1">
      <c r="A831" s="518"/>
      <c r="B831" s="517"/>
      <c r="C831" s="518"/>
      <c r="D831" s="992"/>
      <c r="E831" s="989"/>
      <c r="F831" s="989"/>
      <c r="G831" s="993"/>
      <c r="H831" s="993"/>
      <c r="I831" s="986"/>
      <c r="J831" s="523"/>
      <c r="K831" s="994"/>
      <c r="L831" s="995"/>
      <c r="M831" s="704"/>
      <c r="N831" s="704"/>
      <c r="O831" s="704"/>
      <c r="P831" s="957"/>
      <c r="Q831" s="957"/>
      <c r="R831" s="957"/>
      <c r="S831" s="957"/>
      <c r="T831" s="957"/>
      <c r="U831" s="957"/>
      <c r="V831" s="957"/>
      <c r="W831" s="957"/>
      <c r="X831" s="957"/>
      <c r="Y831" s="957"/>
      <c r="Z831" s="957"/>
      <c r="AA831" s="957"/>
      <c r="AB831" s="957"/>
      <c r="AC831" s="957"/>
      <c r="AD831" s="957"/>
    </row>
    <row r="832" ht="15.75" customHeight="1">
      <c r="A832" s="518"/>
      <c r="B832" s="517"/>
      <c r="C832" s="518"/>
      <c r="D832" s="992"/>
      <c r="E832" s="989"/>
      <c r="F832" s="989"/>
      <c r="G832" s="993"/>
      <c r="H832" s="993"/>
      <c r="I832" s="986"/>
      <c r="J832" s="523"/>
      <c r="K832" s="994"/>
      <c r="L832" s="995"/>
      <c r="M832" s="704"/>
      <c r="N832" s="704"/>
      <c r="O832" s="704"/>
      <c r="P832" s="957"/>
      <c r="Q832" s="957"/>
      <c r="R832" s="957"/>
      <c r="S832" s="957"/>
      <c r="T832" s="957"/>
      <c r="U832" s="957"/>
      <c r="V832" s="957"/>
      <c r="W832" s="957"/>
      <c r="X832" s="957"/>
      <c r="Y832" s="957"/>
      <c r="Z832" s="957"/>
      <c r="AA832" s="957"/>
      <c r="AB832" s="957"/>
      <c r="AC832" s="957"/>
      <c r="AD832" s="957"/>
    </row>
    <row r="833" ht="15.75" customHeight="1">
      <c r="A833" s="518"/>
      <c r="B833" s="517"/>
      <c r="C833" s="518"/>
      <c r="D833" s="992"/>
      <c r="E833" s="989"/>
      <c r="F833" s="989"/>
      <c r="G833" s="993"/>
      <c r="H833" s="993"/>
      <c r="I833" s="986"/>
      <c r="J833" s="523"/>
      <c r="K833" s="994"/>
      <c r="L833" s="995"/>
      <c r="M833" s="704"/>
      <c r="N833" s="704"/>
      <c r="O833" s="704"/>
      <c r="P833" s="957"/>
      <c r="Q833" s="957"/>
      <c r="R833" s="957"/>
      <c r="S833" s="957"/>
      <c r="T833" s="957"/>
      <c r="U833" s="957"/>
      <c r="V833" s="957"/>
      <c r="W833" s="957"/>
      <c r="X833" s="957"/>
      <c r="Y833" s="957"/>
      <c r="Z833" s="957"/>
      <c r="AA833" s="957"/>
      <c r="AB833" s="957"/>
      <c r="AC833" s="957"/>
      <c r="AD833" s="957"/>
    </row>
    <row r="834" ht="15.75" customHeight="1">
      <c r="A834" s="518"/>
      <c r="B834" s="517"/>
      <c r="C834" s="518"/>
      <c r="D834" s="992"/>
      <c r="E834" s="989"/>
      <c r="F834" s="989"/>
      <c r="G834" s="993"/>
      <c r="H834" s="993"/>
      <c r="I834" s="986"/>
      <c r="J834" s="523"/>
      <c r="K834" s="994"/>
      <c r="L834" s="995"/>
      <c r="M834" s="704"/>
      <c r="N834" s="704"/>
      <c r="O834" s="704"/>
      <c r="P834" s="957"/>
      <c r="Q834" s="957"/>
      <c r="R834" s="957"/>
      <c r="S834" s="957"/>
      <c r="T834" s="957"/>
      <c r="U834" s="957"/>
      <c r="V834" s="957"/>
      <c r="W834" s="957"/>
      <c r="X834" s="957"/>
      <c r="Y834" s="957"/>
      <c r="Z834" s="957"/>
      <c r="AA834" s="957"/>
      <c r="AB834" s="957"/>
      <c r="AC834" s="957"/>
      <c r="AD834" s="957"/>
    </row>
    <row r="835" ht="15.75" customHeight="1">
      <c r="A835" s="518"/>
      <c r="B835" s="517"/>
      <c r="C835" s="518"/>
      <c r="D835" s="992"/>
      <c r="E835" s="989"/>
      <c r="F835" s="989"/>
      <c r="G835" s="993"/>
      <c r="H835" s="993"/>
      <c r="I835" s="986"/>
      <c r="J835" s="523"/>
      <c r="K835" s="994"/>
      <c r="L835" s="995"/>
      <c r="M835" s="704"/>
      <c r="N835" s="704"/>
      <c r="O835" s="704"/>
      <c r="P835" s="957"/>
      <c r="Q835" s="957"/>
      <c r="R835" s="957"/>
      <c r="S835" s="957"/>
      <c r="T835" s="957"/>
      <c r="U835" s="957"/>
      <c r="V835" s="957"/>
      <c r="W835" s="957"/>
      <c r="X835" s="957"/>
      <c r="Y835" s="957"/>
      <c r="Z835" s="957"/>
      <c r="AA835" s="957"/>
      <c r="AB835" s="957"/>
      <c r="AC835" s="957"/>
      <c r="AD835" s="957"/>
    </row>
    <row r="836" ht="15.75" customHeight="1">
      <c r="A836" s="518"/>
      <c r="B836" s="517"/>
      <c r="C836" s="518"/>
      <c r="D836" s="992"/>
      <c r="E836" s="989"/>
      <c r="F836" s="989"/>
      <c r="G836" s="993"/>
      <c r="H836" s="993"/>
      <c r="I836" s="986"/>
      <c r="J836" s="523"/>
      <c r="K836" s="994"/>
      <c r="L836" s="995"/>
      <c r="M836" s="704"/>
      <c r="N836" s="704"/>
      <c r="O836" s="704"/>
      <c r="P836" s="957"/>
      <c r="Q836" s="957"/>
      <c r="R836" s="957"/>
      <c r="S836" s="957"/>
      <c r="T836" s="957"/>
      <c r="U836" s="957"/>
      <c r="V836" s="957"/>
      <c r="W836" s="957"/>
      <c r="X836" s="957"/>
      <c r="Y836" s="957"/>
      <c r="Z836" s="957"/>
      <c r="AA836" s="957"/>
      <c r="AB836" s="957"/>
      <c r="AC836" s="957"/>
      <c r="AD836" s="957"/>
    </row>
    <row r="837" ht="15.75" customHeight="1">
      <c r="A837" s="518"/>
      <c r="B837" s="517"/>
      <c r="C837" s="518"/>
      <c r="D837" s="992"/>
      <c r="E837" s="989"/>
      <c r="F837" s="989"/>
      <c r="G837" s="993"/>
      <c r="H837" s="993"/>
      <c r="I837" s="986"/>
      <c r="J837" s="523"/>
      <c r="K837" s="994"/>
      <c r="L837" s="995"/>
      <c r="M837" s="704"/>
      <c r="N837" s="704"/>
      <c r="O837" s="704"/>
      <c r="P837" s="957"/>
      <c r="Q837" s="957"/>
      <c r="R837" s="957"/>
      <c r="S837" s="957"/>
      <c r="T837" s="957"/>
      <c r="U837" s="957"/>
      <c r="V837" s="957"/>
      <c r="W837" s="957"/>
      <c r="X837" s="957"/>
      <c r="Y837" s="957"/>
      <c r="Z837" s="957"/>
      <c r="AA837" s="957"/>
      <c r="AB837" s="957"/>
      <c r="AC837" s="957"/>
      <c r="AD837" s="957"/>
    </row>
    <row r="838" ht="15.75" customHeight="1">
      <c r="A838" s="518"/>
      <c r="B838" s="517"/>
      <c r="C838" s="518"/>
      <c r="D838" s="992"/>
      <c r="E838" s="989"/>
      <c r="F838" s="989"/>
      <c r="G838" s="993"/>
      <c r="H838" s="993"/>
      <c r="I838" s="986"/>
      <c r="J838" s="523"/>
      <c r="K838" s="994"/>
      <c r="L838" s="995"/>
      <c r="M838" s="704"/>
      <c r="N838" s="704"/>
      <c r="O838" s="704"/>
      <c r="P838" s="957"/>
      <c r="Q838" s="957"/>
      <c r="R838" s="957"/>
      <c r="S838" s="957"/>
      <c r="T838" s="957"/>
      <c r="U838" s="957"/>
      <c r="V838" s="957"/>
      <c r="W838" s="957"/>
      <c r="X838" s="957"/>
      <c r="Y838" s="957"/>
      <c r="Z838" s="957"/>
      <c r="AA838" s="957"/>
      <c r="AB838" s="957"/>
      <c r="AC838" s="957"/>
      <c r="AD838" s="957"/>
    </row>
    <row r="839" ht="15.75" customHeight="1">
      <c r="A839" s="518"/>
      <c r="B839" s="517"/>
      <c r="C839" s="518"/>
      <c r="D839" s="992"/>
      <c r="E839" s="989"/>
      <c r="F839" s="989"/>
      <c r="G839" s="993"/>
      <c r="H839" s="993"/>
      <c r="I839" s="986"/>
      <c r="J839" s="523"/>
      <c r="K839" s="994"/>
      <c r="L839" s="995"/>
      <c r="M839" s="704"/>
      <c r="N839" s="704"/>
      <c r="O839" s="704"/>
      <c r="P839" s="957"/>
      <c r="Q839" s="957"/>
      <c r="R839" s="957"/>
      <c r="S839" s="957"/>
      <c r="T839" s="957"/>
      <c r="U839" s="957"/>
      <c r="V839" s="957"/>
      <c r="W839" s="957"/>
      <c r="X839" s="957"/>
      <c r="Y839" s="957"/>
      <c r="Z839" s="957"/>
      <c r="AA839" s="957"/>
      <c r="AB839" s="957"/>
      <c r="AC839" s="957"/>
      <c r="AD839" s="957"/>
    </row>
    <row r="840" ht="15.75" customHeight="1">
      <c r="A840" s="518"/>
      <c r="B840" s="517"/>
      <c r="C840" s="518"/>
      <c r="D840" s="992"/>
      <c r="E840" s="989"/>
      <c r="F840" s="989"/>
      <c r="G840" s="993"/>
      <c r="H840" s="993"/>
      <c r="I840" s="986"/>
      <c r="J840" s="523"/>
      <c r="K840" s="994"/>
      <c r="L840" s="995"/>
      <c r="M840" s="704"/>
      <c r="N840" s="704"/>
      <c r="O840" s="704"/>
      <c r="P840" s="957"/>
      <c r="Q840" s="957"/>
      <c r="R840" s="957"/>
      <c r="S840" s="957"/>
      <c r="T840" s="957"/>
      <c r="U840" s="957"/>
      <c r="V840" s="957"/>
      <c r="W840" s="957"/>
      <c r="X840" s="957"/>
      <c r="Y840" s="957"/>
      <c r="Z840" s="957"/>
      <c r="AA840" s="957"/>
      <c r="AB840" s="957"/>
      <c r="AC840" s="957"/>
      <c r="AD840" s="957"/>
    </row>
    <row r="841" ht="15.75" customHeight="1">
      <c r="A841" s="518"/>
      <c r="B841" s="517"/>
      <c r="C841" s="518"/>
      <c r="D841" s="992"/>
      <c r="E841" s="989"/>
      <c r="F841" s="989"/>
      <c r="G841" s="993"/>
      <c r="H841" s="993"/>
      <c r="I841" s="986"/>
      <c r="J841" s="523"/>
      <c r="K841" s="994"/>
      <c r="L841" s="995"/>
      <c r="M841" s="704"/>
      <c r="N841" s="704"/>
      <c r="O841" s="704"/>
      <c r="P841" s="957"/>
      <c r="Q841" s="957"/>
      <c r="R841" s="957"/>
      <c r="S841" s="957"/>
      <c r="T841" s="957"/>
      <c r="U841" s="957"/>
      <c r="V841" s="957"/>
      <c r="W841" s="957"/>
      <c r="X841" s="957"/>
      <c r="Y841" s="957"/>
      <c r="Z841" s="957"/>
      <c r="AA841" s="957"/>
      <c r="AB841" s="957"/>
      <c r="AC841" s="957"/>
      <c r="AD841" s="957"/>
    </row>
    <row r="842" ht="15.75" customHeight="1">
      <c r="A842" s="518"/>
      <c r="B842" s="517"/>
      <c r="C842" s="518"/>
      <c r="D842" s="992"/>
      <c r="E842" s="989"/>
      <c r="F842" s="989"/>
      <c r="G842" s="993"/>
      <c r="H842" s="993"/>
      <c r="I842" s="986"/>
      <c r="J842" s="523"/>
      <c r="K842" s="994"/>
      <c r="L842" s="995"/>
      <c r="M842" s="704"/>
      <c r="N842" s="704"/>
      <c r="O842" s="704"/>
      <c r="P842" s="957"/>
      <c r="Q842" s="957"/>
      <c r="R842" s="957"/>
      <c r="S842" s="957"/>
      <c r="T842" s="957"/>
      <c r="U842" s="957"/>
      <c r="V842" s="957"/>
      <c r="W842" s="957"/>
      <c r="X842" s="957"/>
      <c r="Y842" s="957"/>
      <c r="Z842" s="957"/>
      <c r="AA842" s="957"/>
      <c r="AB842" s="957"/>
      <c r="AC842" s="957"/>
      <c r="AD842" s="957"/>
    </row>
    <row r="843" ht="15.75" customHeight="1">
      <c r="A843" s="518"/>
      <c r="B843" s="517"/>
      <c r="C843" s="518"/>
      <c r="D843" s="992"/>
      <c r="E843" s="989"/>
      <c r="F843" s="989"/>
      <c r="G843" s="993"/>
      <c r="H843" s="993"/>
      <c r="I843" s="986"/>
      <c r="J843" s="523"/>
      <c r="K843" s="994"/>
      <c r="L843" s="995"/>
      <c r="M843" s="704"/>
      <c r="N843" s="704"/>
      <c r="O843" s="704"/>
      <c r="P843" s="957"/>
      <c r="Q843" s="957"/>
      <c r="R843" s="957"/>
      <c r="S843" s="957"/>
      <c r="T843" s="957"/>
      <c r="U843" s="957"/>
      <c r="V843" s="957"/>
      <c r="W843" s="957"/>
      <c r="X843" s="957"/>
      <c r="Y843" s="957"/>
      <c r="Z843" s="957"/>
      <c r="AA843" s="957"/>
      <c r="AB843" s="957"/>
      <c r="AC843" s="957"/>
      <c r="AD843" s="957"/>
    </row>
    <row r="844" ht="15.75" customHeight="1">
      <c r="A844" s="518"/>
      <c r="B844" s="517"/>
      <c r="C844" s="518"/>
      <c r="D844" s="992"/>
      <c r="E844" s="989"/>
      <c r="F844" s="989"/>
      <c r="G844" s="993"/>
      <c r="H844" s="993"/>
      <c r="I844" s="986"/>
      <c r="J844" s="523"/>
      <c r="K844" s="994"/>
      <c r="L844" s="995"/>
      <c r="M844" s="704"/>
      <c r="N844" s="704"/>
      <c r="O844" s="704"/>
      <c r="P844" s="957"/>
      <c r="Q844" s="957"/>
      <c r="R844" s="957"/>
      <c r="S844" s="957"/>
      <c r="T844" s="957"/>
      <c r="U844" s="957"/>
      <c r="V844" s="957"/>
      <c r="W844" s="957"/>
      <c r="X844" s="957"/>
      <c r="Y844" s="957"/>
      <c r="Z844" s="957"/>
      <c r="AA844" s="957"/>
      <c r="AB844" s="957"/>
      <c r="AC844" s="957"/>
      <c r="AD844" s="957"/>
    </row>
    <row r="845" ht="15.75" customHeight="1">
      <c r="A845" s="518"/>
      <c r="B845" s="517"/>
      <c r="C845" s="518"/>
      <c r="D845" s="992"/>
      <c r="E845" s="989"/>
      <c r="F845" s="989"/>
      <c r="G845" s="993"/>
      <c r="H845" s="993"/>
      <c r="I845" s="986"/>
      <c r="J845" s="523"/>
      <c r="K845" s="994"/>
      <c r="L845" s="995"/>
      <c r="M845" s="704"/>
      <c r="N845" s="704"/>
      <c r="O845" s="704"/>
      <c r="P845" s="957"/>
      <c r="Q845" s="957"/>
      <c r="R845" s="957"/>
      <c r="S845" s="957"/>
      <c r="T845" s="957"/>
      <c r="U845" s="957"/>
      <c r="V845" s="957"/>
      <c r="W845" s="957"/>
      <c r="X845" s="957"/>
      <c r="Y845" s="957"/>
      <c r="Z845" s="957"/>
      <c r="AA845" s="957"/>
      <c r="AB845" s="957"/>
      <c r="AC845" s="957"/>
      <c r="AD845" s="957"/>
    </row>
    <row r="846" ht="15.75" customHeight="1">
      <c r="A846" s="518"/>
      <c r="B846" s="517"/>
      <c r="C846" s="518"/>
      <c r="D846" s="992"/>
      <c r="E846" s="989"/>
      <c r="F846" s="989"/>
      <c r="G846" s="993"/>
      <c r="H846" s="993"/>
      <c r="I846" s="986"/>
      <c r="J846" s="523"/>
      <c r="K846" s="994"/>
      <c r="L846" s="995"/>
      <c r="M846" s="704"/>
      <c r="N846" s="704"/>
      <c r="O846" s="704"/>
      <c r="P846" s="957"/>
      <c r="Q846" s="957"/>
      <c r="R846" s="957"/>
      <c r="S846" s="957"/>
      <c r="T846" s="957"/>
      <c r="U846" s="957"/>
      <c r="V846" s="957"/>
      <c r="W846" s="957"/>
      <c r="X846" s="957"/>
      <c r="Y846" s="957"/>
      <c r="Z846" s="957"/>
      <c r="AA846" s="957"/>
      <c r="AB846" s="957"/>
      <c r="AC846" s="957"/>
      <c r="AD846" s="957"/>
    </row>
    <row r="847" ht="15.75" customHeight="1">
      <c r="A847" s="518"/>
      <c r="B847" s="517"/>
      <c r="C847" s="518"/>
      <c r="D847" s="992"/>
      <c r="E847" s="989"/>
      <c r="F847" s="989"/>
      <c r="G847" s="993"/>
      <c r="H847" s="993"/>
      <c r="I847" s="986"/>
      <c r="J847" s="523"/>
      <c r="K847" s="994"/>
      <c r="L847" s="995"/>
      <c r="M847" s="704"/>
      <c r="N847" s="704"/>
      <c r="O847" s="704"/>
      <c r="P847" s="957"/>
      <c r="Q847" s="957"/>
      <c r="R847" s="957"/>
      <c r="S847" s="957"/>
      <c r="T847" s="957"/>
      <c r="U847" s="957"/>
      <c r="V847" s="957"/>
      <c r="W847" s="957"/>
      <c r="X847" s="957"/>
      <c r="Y847" s="957"/>
      <c r="Z847" s="957"/>
      <c r="AA847" s="957"/>
      <c r="AB847" s="957"/>
      <c r="AC847" s="957"/>
      <c r="AD847" s="957"/>
    </row>
    <row r="848" ht="15.75" customHeight="1">
      <c r="A848" s="518"/>
      <c r="B848" s="517"/>
      <c r="C848" s="518"/>
      <c r="D848" s="992"/>
      <c r="E848" s="989"/>
      <c r="F848" s="989"/>
      <c r="G848" s="993"/>
      <c r="H848" s="993"/>
      <c r="I848" s="986"/>
      <c r="J848" s="523"/>
      <c r="K848" s="994"/>
      <c r="L848" s="995"/>
      <c r="M848" s="704"/>
      <c r="N848" s="704"/>
      <c r="O848" s="704"/>
      <c r="P848" s="957"/>
      <c r="Q848" s="957"/>
      <c r="R848" s="957"/>
      <c r="S848" s="957"/>
      <c r="T848" s="957"/>
      <c r="U848" s="957"/>
      <c r="V848" s="957"/>
      <c r="W848" s="957"/>
      <c r="X848" s="957"/>
      <c r="Y848" s="957"/>
      <c r="Z848" s="957"/>
      <c r="AA848" s="957"/>
      <c r="AB848" s="957"/>
      <c r="AC848" s="957"/>
      <c r="AD848" s="957"/>
    </row>
    <row r="849" ht="15.75" customHeight="1">
      <c r="A849" s="518"/>
      <c r="B849" s="517"/>
      <c r="C849" s="518"/>
      <c r="D849" s="992"/>
      <c r="E849" s="989"/>
      <c r="F849" s="989"/>
      <c r="G849" s="993"/>
      <c r="H849" s="993"/>
      <c r="I849" s="986"/>
      <c r="J849" s="523"/>
      <c r="K849" s="994"/>
      <c r="L849" s="995"/>
      <c r="M849" s="704"/>
      <c r="N849" s="704"/>
      <c r="O849" s="704"/>
      <c r="P849" s="957"/>
      <c r="Q849" s="957"/>
      <c r="R849" s="957"/>
      <c r="S849" s="957"/>
      <c r="T849" s="957"/>
      <c r="U849" s="957"/>
      <c r="V849" s="957"/>
      <c r="W849" s="957"/>
      <c r="X849" s="957"/>
      <c r="Y849" s="957"/>
      <c r="Z849" s="957"/>
      <c r="AA849" s="957"/>
      <c r="AB849" s="957"/>
      <c r="AC849" s="957"/>
      <c r="AD849" s="957"/>
    </row>
    <row r="850" ht="15.75" customHeight="1">
      <c r="A850" s="518"/>
      <c r="B850" s="517"/>
      <c r="C850" s="518"/>
      <c r="D850" s="992"/>
      <c r="E850" s="989"/>
      <c r="F850" s="989"/>
      <c r="G850" s="993"/>
      <c r="H850" s="993"/>
      <c r="I850" s="986"/>
      <c r="J850" s="523"/>
      <c r="K850" s="994"/>
      <c r="L850" s="995"/>
      <c r="M850" s="704"/>
      <c r="N850" s="704"/>
      <c r="O850" s="704"/>
      <c r="P850" s="957"/>
      <c r="Q850" s="957"/>
      <c r="R850" s="957"/>
      <c r="S850" s="957"/>
      <c r="T850" s="957"/>
      <c r="U850" s="957"/>
      <c r="V850" s="957"/>
      <c r="W850" s="957"/>
      <c r="X850" s="957"/>
      <c r="Y850" s="957"/>
      <c r="Z850" s="957"/>
      <c r="AA850" s="957"/>
      <c r="AB850" s="957"/>
      <c r="AC850" s="957"/>
      <c r="AD850" s="957"/>
    </row>
    <row r="851" ht="15.75" customHeight="1">
      <c r="A851" s="518"/>
      <c r="B851" s="517"/>
      <c r="C851" s="518"/>
      <c r="D851" s="992"/>
      <c r="E851" s="989"/>
      <c r="F851" s="989"/>
      <c r="G851" s="993"/>
      <c r="H851" s="993"/>
      <c r="I851" s="986"/>
      <c r="J851" s="523"/>
      <c r="K851" s="994"/>
      <c r="L851" s="995"/>
      <c r="M851" s="704"/>
      <c r="N851" s="704"/>
      <c r="O851" s="704"/>
      <c r="P851" s="957"/>
      <c r="Q851" s="957"/>
      <c r="R851" s="957"/>
      <c r="S851" s="957"/>
      <c r="T851" s="957"/>
      <c r="U851" s="957"/>
      <c r="V851" s="957"/>
      <c r="W851" s="957"/>
      <c r="X851" s="957"/>
      <c r="Y851" s="957"/>
      <c r="Z851" s="957"/>
      <c r="AA851" s="957"/>
      <c r="AB851" s="957"/>
      <c r="AC851" s="957"/>
      <c r="AD851" s="957"/>
    </row>
    <row r="852" ht="15.75" customHeight="1">
      <c r="A852" s="518"/>
      <c r="B852" s="517"/>
      <c r="C852" s="518"/>
      <c r="D852" s="992"/>
      <c r="E852" s="989"/>
      <c r="F852" s="989"/>
      <c r="G852" s="993"/>
      <c r="H852" s="993"/>
      <c r="I852" s="986"/>
      <c r="J852" s="523"/>
      <c r="K852" s="994"/>
      <c r="L852" s="995"/>
      <c r="M852" s="704"/>
      <c r="N852" s="704"/>
      <c r="O852" s="704"/>
      <c r="P852" s="957"/>
      <c r="Q852" s="957"/>
      <c r="R852" s="957"/>
      <c r="S852" s="957"/>
      <c r="T852" s="957"/>
      <c r="U852" s="957"/>
      <c r="V852" s="957"/>
      <c r="W852" s="957"/>
      <c r="X852" s="957"/>
      <c r="Y852" s="957"/>
      <c r="Z852" s="957"/>
      <c r="AA852" s="957"/>
      <c r="AB852" s="957"/>
      <c r="AC852" s="957"/>
      <c r="AD852" s="957"/>
    </row>
    <row r="853" ht="15.75" customHeight="1">
      <c r="A853" s="518"/>
      <c r="B853" s="517"/>
      <c r="C853" s="518"/>
      <c r="D853" s="992"/>
      <c r="E853" s="989"/>
      <c r="F853" s="989"/>
      <c r="G853" s="993"/>
      <c r="H853" s="993"/>
      <c r="I853" s="986"/>
      <c r="J853" s="523"/>
      <c r="K853" s="994"/>
      <c r="L853" s="995"/>
      <c r="M853" s="704"/>
      <c r="N853" s="704"/>
      <c r="O853" s="704"/>
      <c r="P853" s="957"/>
      <c r="Q853" s="957"/>
      <c r="R853" s="957"/>
      <c r="S853" s="957"/>
      <c r="T853" s="957"/>
      <c r="U853" s="957"/>
      <c r="V853" s="957"/>
      <c r="W853" s="957"/>
      <c r="X853" s="957"/>
      <c r="Y853" s="957"/>
      <c r="Z853" s="957"/>
      <c r="AA853" s="957"/>
      <c r="AB853" s="957"/>
      <c r="AC853" s="957"/>
      <c r="AD853" s="957"/>
    </row>
    <row r="854" ht="15.75" customHeight="1">
      <c r="A854" s="518"/>
      <c r="B854" s="517"/>
      <c r="C854" s="518"/>
      <c r="D854" s="992"/>
      <c r="E854" s="989"/>
      <c r="F854" s="989"/>
      <c r="G854" s="993"/>
      <c r="H854" s="993"/>
      <c r="I854" s="986"/>
      <c r="J854" s="523"/>
      <c r="K854" s="994"/>
      <c r="L854" s="995"/>
      <c r="M854" s="704"/>
      <c r="N854" s="704"/>
      <c r="O854" s="704"/>
      <c r="P854" s="957"/>
      <c r="Q854" s="957"/>
      <c r="R854" s="957"/>
      <c r="S854" s="957"/>
      <c r="T854" s="957"/>
      <c r="U854" s="957"/>
      <c r="V854" s="957"/>
      <c r="W854" s="957"/>
      <c r="X854" s="957"/>
      <c r="Y854" s="957"/>
      <c r="Z854" s="957"/>
      <c r="AA854" s="957"/>
      <c r="AB854" s="957"/>
      <c r="AC854" s="957"/>
      <c r="AD854" s="957"/>
    </row>
    <row r="855" ht="15.75" customHeight="1">
      <c r="A855" s="518"/>
      <c r="B855" s="517"/>
      <c r="C855" s="518"/>
      <c r="D855" s="992"/>
      <c r="E855" s="989"/>
      <c r="F855" s="989"/>
      <c r="G855" s="993"/>
      <c r="H855" s="993"/>
      <c r="I855" s="986"/>
      <c r="J855" s="523"/>
      <c r="K855" s="994"/>
      <c r="L855" s="995"/>
      <c r="M855" s="704"/>
      <c r="N855" s="704"/>
      <c r="O855" s="704"/>
      <c r="P855" s="957"/>
      <c r="Q855" s="957"/>
      <c r="R855" s="957"/>
      <c r="S855" s="957"/>
      <c r="T855" s="957"/>
      <c r="U855" s="957"/>
      <c r="V855" s="957"/>
      <c r="W855" s="957"/>
      <c r="X855" s="957"/>
      <c r="Y855" s="957"/>
      <c r="Z855" s="957"/>
      <c r="AA855" s="957"/>
      <c r="AB855" s="957"/>
      <c r="AC855" s="957"/>
      <c r="AD855" s="957"/>
    </row>
    <row r="856" ht="15.75" customHeight="1">
      <c r="A856" s="518"/>
      <c r="B856" s="517"/>
      <c r="C856" s="518"/>
      <c r="D856" s="992"/>
      <c r="E856" s="989"/>
      <c r="F856" s="989"/>
      <c r="G856" s="993"/>
      <c r="H856" s="993"/>
      <c r="I856" s="986"/>
      <c r="J856" s="523"/>
      <c r="K856" s="994"/>
      <c r="L856" s="995"/>
      <c r="M856" s="704"/>
      <c r="N856" s="704"/>
      <c r="O856" s="704"/>
      <c r="P856" s="957"/>
      <c r="Q856" s="957"/>
      <c r="R856" s="957"/>
      <c r="S856" s="957"/>
      <c r="T856" s="957"/>
      <c r="U856" s="957"/>
      <c r="V856" s="957"/>
      <c r="W856" s="957"/>
      <c r="X856" s="957"/>
      <c r="Y856" s="957"/>
      <c r="Z856" s="957"/>
      <c r="AA856" s="957"/>
      <c r="AB856" s="957"/>
      <c r="AC856" s="957"/>
      <c r="AD856" s="957"/>
    </row>
    <row r="857" ht="15.75" customHeight="1">
      <c r="A857" s="518"/>
      <c r="B857" s="517"/>
      <c r="C857" s="518"/>
      <c r="D857" s="992"/>
      <c r="E857" s="989"/>
      <c r="F857" s="989"/>
      <c r="G857" s="993"/>
      <c r="H857" s="993"/>
      <c r="I857" s="986"/>
      <c r="J857" s="523"/>
      <c r="K857" s="994"/>
      <c r="L857" s="995"/>
      <c r="M857" s="704"/>
      <c r="N857" s="704"/>
      <c r="O857" s="704"/>
      <c r="P857" s="957"/>
      <c r="Q857" s="957"/>
      <c r="R857" s="957"/>
      <c r="S857" s="957"/>
      <c r="T857" s="957"/>
      <c r="U857" s="957"/>
      <c r="V857" s="957"/>
      <c r="W857" s="957"/>
      <c r="X857" s="957"/>
      <c r="Y857" s="957"/>
      <c r="Z857" s="957"/>
      <c r="AA857" s="957"/>
      <c r="AB857" s="957"/>
      <c r="AC857" s="957"/>
      <c r="AD857" s="957"/>
    </row>
    <row r="858" ht="15.75" customHeight="1">
      <c r="A858" s="518"/>
      <c r="B858" s="517"/>
      <c r="C858" s="518"/>
      <c r="D858" s="992"/>
      <c r="E858" s="989"/>
      <c r="F858" s="989"/>
      <c r="G858" s="993"/>
      <c r="H858" s="993"/>
      <c r="I858" s="986"/>
      <c r="J858" s="523"/>
      <c r="K858" s="994"/>
      <c r="L858" s="995"/>
      <c r="M858" s="704"/>
      <c r="N858" s="704"/>
      <c r="O858" s="704"/>
      <c r="P858" s="957"/>
      <c r="Q858" s="957"/>
      <c r="R858" s="957"/>
      <c r="S858" s="957"/>
      <c r="T858" s="957"/>
      <c r="U858" s="957"/>
      <c r="V858" s="957"/>
      <c r="W858" s="957"/>
      <c r="X858" s="957"/>
      <c r="Y858" s="957"/>
      <c r="Z858" s="957"/>
      <c r="AA858" s="957"/>
      <c r="AB858" s="957"/>
      <c r="AC858" s="957"/>
      <c r="AD858" s="957"/>
    </row>
    <row r="859" ht="15.75" customHeight="1">
      <c r="A859" s="518"/>
      <c r="B859" s="517"/>
      <c r="C859" s="518"/>
      <c r="D859" s="992"/>
      <c r="E859" s="989"/>
      <c r="F859" s="989"/>
      <c r="G859" s="993"/>
      <c r="H859" s="993"/>
      <c r="I859" s="986"/>
      <c r="J859" s="523"/>
      <c r="K859" s="994"/>
      <c r="L859" s="995"/>
      <c r="M859" s="704"/>
      <c r="N859" s="704"/>
      <c r="O859" s="704"/>
      <c r="P859" s="957"/>
      <c r="Q859" s="957"/>
      <c r="R859" s="957"/>
      <c r="S859" s="957"/>
      <c r="T859" s="957"/>
      <c r="U859" s="957"/>
      <c r="V859" s="957"/>
      <c r="W859" s="957"/>
      <c r="X859" s="957"/>
      <c r="Y859" s="957"/>
      <c r="Z859" s="957"/>
      <c r="AA859" s="957"/>
      <c r="AB859" s="957"/>
      <c r="AC859" s="957"/>
      <c r="AD859" s="957"/>
    </row>
    <row r="860" ht="15.75" customHeight="1">
      <c r="A860" s="518"/>
      <c r="B860" s="517"/>
      <c r="C860" s="518"/>
      <c r="D860" s="992"/>
      <c r="E860" s="989"/>
      <c r="F860" s="989"/>
      <c r="G860" s="993"/>
      <c r="H860" s="993"/>
      <c r="I860" s="986"/>
      <c r="J860" s="523"/>
      <c r="K860" s="994"/>
      <c r="L860" s="995"/>
      <c r="M860" s="704"/>
      <c r="N860" s="704"/>
      <c r="O860" s="704"/>
      <c r="P860" s="957"/>
      <c r="Q860" s="957"/>
      <c r="R860" s="957"/>
      <c r="S860" s="957"/>
      <c r="T860" s="957"/>
      <c r="U860" s="957"/>
      <c r="V860" s="957"/>
      <c r="W860" s="957"/>
      <c r="X860" s="957"/>
      <c r="Y860" s="957"/>
      <c r="Z860" s="957"/>
      <c r="AA860" s="957"/>
      <c r="AB860" s="957"/>
      <c r="AC860" s="957"/>
      <c r="AD860" s="957"/>
    </row>
    <row r="861" ht="15.75" customHeight="1">
      <c r="A861" s="518"/>
      <c r="B861" s="517"/>
      <c r="C861" s="518"/>
      <c r="D861" s="992"/>
      <c r="E861" s="989"/>
      <c r="F861" s="989"/>
      <c r="G861" s="993"/>
      <c r="H861" s="993"/>
      <c r="I861" s="986"/>
      <c r="J861" s="523"/>
      <c r="K861" s="994"/>
      <c r="L861" s="995"/>
      <c r="M861" s="704"/>
      <c r="N861" s="704"/>
      <c r="O861" s="704"/>
      <c r="P861" s="957"/>
      <c r="Q861" s="957"/>
      <c r="R861" s="957"/>
      <c r="S861" s="957"/>
      <c r="T861" s="957"/>
      <c r="U861" s="957"/>
      <c r="V861" s="957"/>
      <c r="W861" s="957"/>
      <c r="X861" s="957"/>
      <c r="Y861" s="957"/>
      <c r="Z861" s="957"/>
      <c r="AA861" s="957"/>
      <c r="AB861" s="957"/>
      <c r="AC861" s="957"/>
      <c r="AD861" s="957"/>
    </row>
    <row r="862" ht="15.75" customHeight="1">
      <c r="A862" s="518"/>
      <c r="B862" s="517"/>
      <c r="C862" s="518"/>
      <c r="D862" s="992"/>
      <c r="E862" s="989"/>
      <c r="F862" s="989"/>
      <c r="G862" s="993"/>
      <c r="H862" s="993"/>
      <c r="I862" s="986"/>
      <c r="J862" s="523"/>
      <c r="K862" s="994"/>
      <c r="L862" s="995"/>
      <c r="M862" s="704"/>
      <c r="N862" s="704"/>
      <c r="O862" s="704"/>
      <c r="P862" s="957"/>
      <c r="Q862" s="957"/>
      <c r="R862" s="957"/>
      <c r="S862" s="957"/>
      <c r="T862" s="957"/>
      <c r="U862" s="957"/>
      <c r="V862" s="957"/>
      <c r="W862" s="957"/>
      <c r="X862" s="957"/>
      <c r="Y862" s="957"/>
      <c r="Z862" s="957"/>
      <c r="AA862" s="957"/>
      <c r="AB862" s="957"/>
      <c r="AC862" s="957"/>
      <c r="AD862" s="957"/>
    </row>
    <row r="863" ht="15.75" customHeight="1">
      <c r="A863" s="518"/>
      <c r="B863" s="517"/>
      <c r="C863" s="518"/>
      <c r="D863" s="992"/>
      <c r="E863" s="989"/>
      <c r="F863" s="989"/>
      <c r="G863" s="993"/>
      <c r="H863" s="993"/>
      <c r="I863" s="986"/>
      <c r="J863" s="523"/>
      <c r="K863" s="994"/>
      <c r="L863" s="995"/>
      <c r="M863" s="704"/>
      <c r="N863" s="704"/>
      <c r="O863" s="704"/>
      <c r="P863" s="957"/>
      <c r="Q863" s="957"/>
      <c r="R863" s="957"/>
      <c r="S863" s="957"/>
      <c r="T863" s="957"/>
      <c r="U863" s="957"/>
      <c r="V863" s="957"/>
      <c r="W863" s="957"/>
      <c r="X863" s="957"/>
      <c r="Y863" s="957"/>
      <c r="Z863" s="957"/>
      <c r="AA863" s="957"/>
      <c r="AB863" s="957"/>
      <c r="AC863" s="957"/>
      <c r="AD863" s="957"/>
    </row>
    <row r="864" ht="15.75" customHeight="1">
      <c r="A864" s="518"/>
      <c r="B864" s="517"/>
      <c r="C864" s="518"/>
      <c r="D864" s="992"/>
      <c r="E864" s="989"/>
      <c r="F864" s="989"/>
      <c r="G864" s="993"/>
      <c r="H864" s="993"/>
      <c r="I864" s="986"/>
      <c r="J864" s="523"/>
      <c r="K864" s="994"/>
      <c r="L864" s="995"/>
      <c r="M864" s="704"/>
      <c r="N864" s="704"/>
      <c r="O864" s="704"/>
      <c r="P864" s="957"/>
      <c r="Q864" s="957"/>
      <c r="R864" s="957"/>
      <c r="S864" s="957"/>
      <c r="T864" s="957"/>
      <c r="U864" s="957"/>
      <c r="V864" s="957"/>
      <c r="W864" s="957"/>
      <c r="X864" s="957"/>
      <c r="Y864" s="957"/>
      <c r="Z864" s="957"/>
      <c r="AA864" s="957"/>
      <c r="AB864" s="957"/>
      <c r="AC864" s="957"/>
      <c r="AD864" s="957"/>
    </row>
    <row r="865" ht="15.75" customHeight="1">
      <c r="A865" s="518"/>
      <c r="B865" s="517"/>
      <c r="C865" s="518"/>
      <c r="D865" s="992"/>
      <c r="E865" s="989"/>
      <c r="F865" s="989"/>
      <c r="G865" s="993"/>
      <c r="H865" s="993"/>
      <c r="I865" s="986"/>
      <c r="J865" s="523"/>
      <c r="K865" s="994"/>
      <c r="L865" s="995"/>
      <c r="M865" s="704"/>
      <c r="N865" s="704"/>
      <c r="O865" s="704"/>
      <c r="P865" s="957"/>
      <c r="Q865" s="957"/>
      <c r="R865" s="957"/>
      <c r="S865" s="957"/>
      <c r="T865" s="957"/>
      <c r="U865" s="957"/>
      <c r="V865" s="957"/>
      <c r="W865" s="957"/>
      <c r="X865" s="957"/>
      <c r="Y865" s="957"/>
      <c r="Z865" s="957"/>
      <c r="AA865" s="957"/>
      <c r="AB865" s="957"/>
      <c r="AC865" s="957"/>
      <c r="AD865" s="957"/>
    </row>
    <row r="866" ht="15.75" customHeight="1">
      <c r="A866" s="518"/>
      <c r="B866" s="517"/>
      <c r="C866" s="518"/>
      <c r="D866" s="992"/>
      <c r="E866" s="989"/>
      <c r="F866" s="989"/>
      <c r="G866" s="993"/>
      <c r="H866" s="993"/>
      <c r="I866" s="986"/>
      <c r="J866" s="523"/>
      <c r="K866" s="994"/>
      <c r="L866" s="995"/>
      <c r="M866" s="704"/>
      <c r="N866" s="704"/>
      <c r="O866" s="704"/>
      <c r="P866" s="957"/>
      <c r="Q866" s="957"/>
      <c r="R866" s="957"/>
      <c r="S866" s="957"/>
      <c r="T866" s="957"/>
      <c r="U866" s="957"/>
      <c r="V866" s="957"/>
      <c r="W866" s="957"/>
      <c r="X866" s="957"/>
      <c r="Y866" s="957"/>
      <c r="Z866" s="957"/>
      <c r="AA866" s="957"/>
      <c r="AB866" s="957"/>
      <c r="AC866" s="957"/>
      <c r="AD866" s="957"/>
    </row>
    <row r="867" ht="15.75" customHeight="1">
      <c r="A867" s="518"/>
      <c r="B867" s="517"/>
      <c r="C867" s="518"/>
      <c r="D867" s="992"/>
      <c r="E867" s="989"/>
      <c r="F867" s="989"/>
      <c r="G867" s="993"/>
      <c r="H867" s="993"/>
      <c r="I867" s="986"/>
      <c r="J867" s="523"/>
      <c r="K867" s="994"/>
      <c r="L867" s="995"/>
      <c r="M867" s="704"/>
      <c r="N867" s="704"/>
      <c r="O867" s="704"/>
      <c r="P867" s="957"/>
      <c r="Q867" s="957"/>
      <c r="R867" s="957"/>
      <c r="S867" s="957"/>
      <c r="T867" s="957"/>
      <c r="U867" s="957"/>
      <c r="V867" s="957"/>
      <c r="W867" s="957"/>
      <c r="X867" s="957"/>
      <c r="Y867" s="957"/>
      <c r="Z867" s="957"/>
      <c r="AA867" s="957"/>
      <c r="AB867" s="957"/>
      <c r="AC867" s="957"/>
      <c r="AD867" s="957"/>
    </row>
    <row r="868" ht="15.75" customHeight="1">
      <c r="A868" s="518"/>
      <c r="B868" s="517"/>
      <c r="C868" s="518"/>
      <c r="D868" s="992"/>
      <c r="E868" s="989"/>
      <c r="F868" s="989"/>
      <c r="G868" s="993"/>
      <c r="H868" s="993"/>
      <c r="I868" s="986"/>
      <c r="J868" s="523"/>
      <c r="K868" s="994"/>
      <c r="L868" s="995"/>
      <c r="M868" s="704"/>
      <c r="N868" s="704"/>
      <c r="O868" s="704"/>
      <c r="P868" s="957"/>
      <c r="Q868" s="957"/>
      <c r="R868" s="957"/>
      <c r="S868" s="957"/>
      <c r="T868" s="957"/>
      <c r="U868" s="957"/>
      <c r="V868" s="957"/>
      <c r="W868" s="957"/>
      <c r="X868" s="957"/>
      <c r="Y868" s="957"/>
      <c r="Z868" s="957"/>
      <c r="AA868" s="957"/>
      <c r="AB868" s="957"/>
      <c r="AC868" s="957"/>
      <c r="AD868" s="957"/>
    </row>
    <row r="869" ht="15.75" customHeight="1">
      <c r="A869" s="518"/>
      <c r="B869" s="517"/>
      <c r="C869" s="518"/>
      <c r="D869" s="992"/>
      <c r="E869" s="989"/>
      <c r="F869" s="989"/>
      <c r="G869" s="993"/>
      <c r="H869" s="993"/>
      <c r="I869" s="986"/>
      <c r="J869" s="523"/>
      <c r="K869" s="994"/>
      <c r="L869" s="995"/>
      <c r="M869" s="704"/>
      <c r="N869" s="704"/>
      <c r="O869" s="704"/>
      <c r="P869" s="957"/>
      <c r="Q869" s="957"/>
      <c r="R869" s="957"/>
      <c r="S869" s="957"/>
      <c r="T869" s="957"/>
      <c r="U869" s="957"/>
      <c r="V869" s="957"/>
      <c r="W869" s="957"/>
      <c r="X869" s="957"/>
      <c r="Y869" s="957"/>
      <c r="Z869" s="957"/>
      <c r="AA869" s="957"/>
      <c r="AB869" s="957"/>
      <c r="AC869" s="957"/>
      <c r="AD869" s="957"/>
    </row>
    <row r="870" ht="15.75" customHeight="1">
      <c r="A870" s="518"/>
      <c r="B870" s="517"/>
      <c r="C870" s="518"/>
      <c r="D870" s="992"/>
      <c r="E870" s="989"/>
      <c r="F870" s="989"/>
      <c r="G870" s="993"/>
      <c r="H870" s="993"/>
      <c r="I870" s="986"/>
      <c r="J870" s="523"/>
      <c r="K870" s="994"/>
      <c r="L870" s="995"/>
      <c r="M870" s="704"/>
      <c r="N870" s="704"/>
      <c r="O870" s="704"/>
      <c r="P870" s="957"/>
      <c r="Q870" s="957"/>
      <c r="R870" s="957"/>
      <c r="S870" s="957"/>
      <c r="T870" s="957"/>
      <c r="U870" s="957"/>
      <c r="V870" s="957"/>
      <c r="W870" s="957"/>
      <c r="X870" s="957"/>
      <c r="Y870" s="957"/>
      <c r="Z870" s="957"/>
      <c r="AA870" s="957"/>
      <c r="AB870" s="957"/>
      <c r="AC870" s="957"/>
      <c r="AD870" s="957"/>
    </row>
    <row r="871" ht="15.75" customHeight="1">
      <c r="A871" s="518"/>
      <c r="B871" s="517"/>
      <c r="C871" s="518"/>
      <c r="D871" s="992"/>
      <c r="E871" s="989"/>
      <c r="F871" s="989"/>
      <c r="G871" s="993"/>
      <c r="H871" s="993"/>
      <c r="I871" s="986"/>
      <c r="J871" s="523"/>
      <c r="K871" s="994"/>
      <c r="L871" s="995"/>
      <c r="M871" s="704"/>
      <c r="N871" s="704"/>
      <c r="O871" s="704"/>
      <c r="P871" s="957"/>
      <c r="Q871" s="957"/>
      <c r="R871" s="957"/>
      <c r="S871" s="957"/>
      <c r="T871" s="957"/>
      <c r="U871" s="957"/>
      <c r="V871" s="957"/>
      <c r="W871" s="957"/>
      <c r="X871" s="957"/>
      <c r="Y871" s="957"/>
      <c r="Z871" s="957"/>
      <c r="AA871" s="957"/>
      <c r="AB871" s="957"/>
      <c r="AC871" s="957"/>
      <c r="AD871" s="957"/>
    </row>
    <row r="872" ht="15.75" customHeight="1">
      <c r="A872" s="518"/>
      <c r="B872" s="517"/>
      <c r="C872" s="518"/>
      <c r="D872" s="992"/>
      <c r="E872" s="989"/>
      <c r="F872" s="989"/>
      <c r="G872" s="993"/>
      <c r="H872" s="993"/>
      <c r="I872" s="986"/>
      <c r="J872" s="523"/>
      <c r="K872" s="994"/>
      <c r="L872" s="995"/>
      <c r="M872" s="704"/>
      <c r="N872" s="704"/>
      <c r="O872" s="704"/>
      <c r="P872" s="957"/>
      <c r="Q872" s="957"/>
      <c r="R872" s="957"/>
      <c r="S872" s="957"/>
      <c r="T872" s="957"/>
      <c r="U872" s="957"/>
      <c r="V872" s="957"/>
      <c r="W872" s="957"/>
      <c r="X872" s="957"/>
      <c r="Y872" s="957"/>
      <c r="Z872" s="957"/>
      <c r="AA872" s="957"/>
      <c r="AB872" s="957"/>
      <c r="AC872" s="957"/>
      <c r="AD872" s="957"/>
    </row>
    <row r="873" ht="15.75" customHeight="1">
      <c r="A873" s="518"/>
      <c r="B873" s="517"/>
      <c r="C873" s="518"/>
      <c r="D873" s="992"/>
      <c r="E873" s="989"/>
      <c r="F873" s="989"/>
      <c r="G873" s="993"/>
      <c r="H873" s="993"/>
      <c r="I873" s="986"/>
      <c r="J873" s="523"/>
      <c r="K873" s="994"/>
      <c r="L873" s="995"/>
      <c r="M873" s="704"/>
      <c r="N873" s="704"/>
      <c r="O873" s="704"/>
      <c r="P873" s="957"/>
      <c r="Q873" s="957"/>
      <c r="R873" s="957"/>
      <c r="S873" s="957"/>
      <c r="T873" s="957"/>
      <c r="U873" s="957"/>
      <c r="V873" s="957"/>
      <c r="W873" s="957"/>
      <c r="X873" s="957"/>
      <c r="Y873" s="957"/>
      <c r="Z873" s="957"/>
      <c r="AA873" s="957"/>
      <c r="AB873" s="957"/>
      <c r="AC873" s="957"/>
      <c r="AD873" s="957"/>
    </row>
    <row r="874" ht="15.75" customHeight="1">
      <c r="A874" s="518"/>
      <c r="B874" s="517"/>
      <c r="C874" s="518"/>
      <c r="D874" s="992"/>
      <c r="E874" s="989"/>
      <c r="F874" s="989"/>
      <c r="G874" s="993"/>
      <c r="H874" s="993"/>
      <c r="I874" s="986"/>
      <c r="J874" s="523"/>
      <c r="K874" s="994"/>
      <c r="L874" s="995"/>
      <c r="M874" s="704"/>
      <c r="N874" s="704"/>
      <c r="O874" s="704"/>
      <c r="P874" s="957"/>
      <c r="Q874" s="957"/>
      <c r="R874" s="957"/>
      <c r="S874" s="957"/>
      <c r="T874" s="957"/>
      <c r="U874" s="957"/>
      <c r="V874" s="957"/>
      <c r="W874" s="957"/>
      <c r="X874" s="957"/>
      <c r="Y874" s="957"/>
      <c r="Z874" s="957"/>
      <c r="AA874" s="957"/>
      <c r="AB874" s="957"/>
      <c r="AC874" s="957"/>
      <c r="AD874" s="957"/>
    </row>
    <row r="875" ht="15.75" customHeight="1">
      <c r="A875" s="518"/>
      <c r="B875" s="517"/>
      <c r="C875" s="518"/>
      <c r="D875" s="992"/>
      <c r="E875" s="989"/>
      <c r="F875" s="989"/>
      <c r="G875" s="993"/>
      <c r="H875" s="993"/>
      <c r="I875" s="986"/>
      <c r="J875" s="523"/>
      <c r="K875" s="994"/>
      <c r="L875" s="995"/>
      <c r="M875" s="704"/>
      <c r="N875" s="704"/>
      <c r="O875" s="704"/>
      <c r="P875" s="957"/>
      <c r="Q875" s="957"/>
      <c r="R875" s="957"/>
      <c r="S875" s="957"/>
      <c r="T875" s="957"/>
      <c r="U875" s="957"/>
      <c r="V875" s="957"/>
      <c r="W875" s="957"/>
      <c r="X875" s="957"/>
      <c r="Y875" s="957"/>
      <c r="Z875" s="957"/>
      <c r="AA875" s="957"/>
      <c r="AB875" s="957"/>
      <c r="AC875" s="957"/>
      <c r="AD875" s="957"/>
    </row>
    <row r="876" ht="15.75" customHeight="1">
      <c r="A876" s="518"/>
      <c r="B876" s="517"/>
      <c r="C876" s="518"/>
      <c r="D876" s="992"/>
      <c r="E876" s="989"/>
      <c r="F876" s="989"/>
      <c r="G876" s="993"/>
      <c r="H876" s="993"/>
      <c r="I876" s="986"/>
      <c r="J876" s="523"/>
      <c r="K876" s="994"/>
      <c r="L876" s="995"/>
      <c r="M876" s="704"/>
      <c r="N876" s="704"/>
      <c r="O876" s="704"/>
      <c r="P876" s="957"/>
      <c r="Q876" s="957"/>
      <c r="R876" s="957"/>
      <c r="S876" s="957"/>
      <c r="T876" s="957"/>
      <c r="U876" s="957"/>
      <c r="V876" s="957"/>
      <c r="W876" s="957"/>
      <c r="X876" s="957"/>
      <c r="Y876" s="957"/>
      <c r="Z876" s="957"/>
      <c r="AA876" s="957"/>
      <c r="AB876" s="957"/>
      <c r="AC876" s="957"/>
      <c r="AD876" s="957"/>
    </row>
    <row r="877" ht="15.75" customHeight="1">
      <c r="A877" s="518"/>
      <c r="B877" s="517"/>
      <c r="C877" s="518"/>
      <c r="D877" s="992"/>
      <c r="E877" s="989"/>
      <c r="F877" s="989"/>
      <c r="G877" s="993"/>
      <c r="H877" s="993"/>
      <c r="I877" s="986"/>
      <c r="J877" s="523"/>
      <c r="K877" s="994"/>
      <c r="L877" s="995"/>
      <c r="M877" s="704"/>
      <c r="N877" s="704"/>
      <c r="O877" s="704"/>
      <c r="P877" s="957"/>
      <c r="Q877" s="957"/>
      <c r="R877" s="957"/>
      <c r="S877" s="957"/>
      <c r="T877" s="957"/>
      <c r="U877" s="957"/>
      <c r="V877" s="957"/>
      <c r="W877" s="957"/>
      <c r="X877" s="957"/>
      <c r="Y877" s="957"/>
      <c r="Z877" s="957"/>
      <c r="AA877" s="957"/>
      <c r="AB877" s="957"/>
      <c r="AC877" s="957"/>
      <c r="AD877" s="957"/>
    </row>
    <row r="878" ht="15.75" customHeight="1">
      <c r="A878" s="518"/>
      <c r="B878" s="517"/>
      <c r="C878" s="518"/>
      <c r="D878" s="992"/>
      <c r="E878" s="989"/>
      <c r="F878" s="989"/>
      <c r="G878" s="993"/>
      <c r="H878" s="993"/>
      <c r="I878" s="986"/>
      <c r="J878" s="523"/>
      <c r="K878" s="994"/>
      <c r="L878" s="995"/>
      <c r="M878" s="704"/>
      <c r="N878" s="704"/>
      <c r="O878" s="704"/>
      <c r="P878" s="957"/>
      <c r="Q878" s="957"/>
      <c r="R878" s="957"/>
      <c r="S878" s="957"/>
      <c r="T878" s="957"/>
      <c r="U878" s="957"/>
      <c r="V878" s="957"/>
      <c r="W878" s="957"/>
      <c r="X878" s="957"/>
      <c r="Y878" s="957"/>
      <c r="Z878" s="957"/>
      <c r="AA878" s="957"/>
      <c r="AB878" s="957"/>
      <c r="AC878" s="957"/>
      <c r="AD878" s="957"/>
    </row>
    <row r="879" ht="15.75" customHeight="1">
      <c r="A879" s="518"/>
      <c r="B879" s="517"/>
      <c r="C879" s="518"/>
      <c r="D879" s="992"/>
      <c r="E879" s="989"/>
      <c r="F879" s="989"/>
      <c r="G879" s="993"/>
      <c r="H879" s="993"/>
      <c r="I879" s="986"/>
      <c r="J879" s="523"/>
      <c r="K879" s="994"/>
      <c r="L879" s="995"/>
      <c r="M879" s="704"/>
      <c r="N879" s="704"/>
      <c r="O879" s="704"/>
      <c r="P879" s="957"/>
      <c r="Q879" s="957"/>
      <c r="R879" s="957"/>
      <c r="S879" s="957"/>
      <c r="T879" s="957"/>
      <c r="U879" s="957"/>
      <c r="V879" s="957"/>
      <c r="W879" s="957"/>
      <c r="X879" s="957"/>
      <c r="Y879" s="957"/>
      <c r="Z879" s="957"/>
      <c r="AA879" s="957"/>
      <c r="AB879" s="957"/>
      <c r="AC879" s="957"/>
      <c r="AD879" s="957"/>
    </row>
    <row r="880" ht="15.75" customHeight="1">
      <c r="A880" s="518"/>
      <c r="B880" s="517"/>
      <c r="C880" s="518"/>
      <c r="D880" s="992"/>
      <c r="E880" s="989"/>
      <c r="F880" s="989"/>
      <c r="G880" s="993"/>
      <c r="H880" s="993"/>
      <c r="I880" s="986"/>
      <c r="J880" s="523"/>
      <c r="K880" s="994"/>
      <c r="L880" s="995"/>
      <c r="M880" s="704"/>
      <c r="N880" s="704"/>
      <c r="O880" s="704"/>
      <c r="P880" s="957"/>
      <c r="Q880" s="957"/>
      <c r="R880" s="957"/>
      <c r="S880" s="957"/>
      <c r="T880" s="957"/>
      <c r="U880" s="957"/>
      <c r="V880" s="957"/>
      <c r="W880" s="957"/>
      <c r="X880" s="957"/>
      <c r="Y880" s="957"/>
      <c r="Z880" s="957"/>
      <c r="AA880" s="957"/>
      <c r="AB880" s="957"/>
      <c r="AC880" s="957"/>
      <c r="AD880" s="957"/>
    </row>
    <row r="881" ht="15.75" customHeight="1">
      <c r="A881" s="518"/>
      <c r="B881" s="517"/>
      <c r="C881" s="518"/>
      <c r="D881" s="992"/>
      <c r="E881" s="989"/>
      <c r="F881" s="989"/>
      <c r="G881" s="993"/>
      <c r="H881" s="993"/>
      <c r="I881" s="986"/>
      <c r="J881" s="523"/>
      <c r="K881" s="994"/>
      <c r="L881" s="995"/>
      <c r="M881" s="704"/>
      <c r="N881" s="704"/>
      <c r="O881" s="704"/>
      <c r="P881" s="957"/>
      <c r="Q881" s="957"/>
      <c r="R881" s="957"/>
      <c r="S881" s="957"/>
      <c r="T881" s="957"/>
      <c r="U881" s="957"/>
      <c r="V881" s="957"/>
      <c r="W881" s="957"/>
      <c r="X881" s="957"/>
      <c r="Y881" s="957"/>
      <c r="Z881" s="957"/>
      <c r="AA881" s="957"/>
      <c r="AB881" s="957"/>
      <c r="AC881" s="957"/>
      <c r="AD881" s="957"/>
    </row>
    <row r="882" ht="15.75" customHeight="1">
      <c r="A882" s="518"/>
      <c r="B882" s="517"/>
      <c r="C882" s="518"/>
      <c r="D882" s="992"/>
      <c r="E882" s="989"/>
      <c r="F882" s="989"/>
      <c r="G882" s="993"/>
      <c r="H882" s="993"/>
      <c r="I882" s="986"/>
      <c r="J882" s="523"/>
      <c r="K882" s="994"/>
      <c r="L882" s="995"/>
      <c r="M882" s="704"/>
      <c r="N882" s="704"/>
      <c r="O882" s="704"/>
      <c r="P882" s="957"/>
      <c r="Q882" s="957"/>
      <c r="R882" s="957"/>
      <c r="S882" s="957"/>
      <c r="T882" s="957"/>
      <c r="U882" s="957"/>
      <c r="V882" s="957"/>
      <c r="W882" s="957"/>
      <c r="X882" s="957"/>
      <c r="Y882" s="957"/>
      <c r="Z882" s="957"/>
      <c r="AA882" s="957"/>
      <c r="AB882" s="957"/>
      <c r="AC882" s="957"/>
      <c r="AD882" s="957"/>
    </row>
    <row r="883" ht="15.75" customHeight="1">
      <c r="A883" s="518"/>
      <c r="B883" s="517"/>
      <c r="C883" s="518"/>
      <c r="D883" s="992"/>
      <c r="E883" s="989"/>
      <c r="F883" s="989"/>
      <c r="G883" s="993"/>
      <c r="H883" s="993"/>
      <c r="I883" s="986"/>
      <c r="J883" s="523"/>
      <c r="K883" s="994"/>
      <c r="L883" s="995"/>
      <c r="M883" s="704"/>
      <c r="N883" s="704"/>
      <c r="O883" s="704"/>
      <c r="P883" s="957"/>
      <c r="Q883" s="957"/>
      <c r="R883" s="957"/>
      <c r="S883" s="957"/>
      <c r="T883" s="957"/>
      <c r="U883" s="957"/>
      <c r="V883" s="957"/>
      <c r="W883" s="957"/>
      <c r="X883" s="957"/>
      <c r="Y883" s="957"/>
      <c r="Z883" s="957"/>
      <c r="AA883" s="957"/>
      <c r="AB883" s="957"/>
      <c r="AC883" s="957"/>
      <c r="AD883" s="957"/>
    </row>
    <row r="884" ht="15.75" customHeight="1">
      <c r="A884" s="518"/>
      <c r="B884" s="517"/>
      <c r="C884" s="518"/>
      <c r="D884" s="992"/>
      <c r="E884" s="989"/>
      <c r="F884" s="989"/>
      <c r="G884" s="993"/>
      <c r="H884" s="993"/>
      <c r="I884" s="986"/>
      <c r="J884" s="523"/>
      <c r="K884" s="994"/>
      <c r="L884" s="995"/>
      <c r="M884" s="704"/>
      <c r="N884" s="704"/>
      <c r="O884" s="704"/>
      <c r="P884" s="957"/>
      <c r="Q884" s="957"/>
      <c r="R884" s="957"/>
      <c r="S884" s="957"/>
      <c r="T884" s="957"/>
      <c r="U884" s="957"/>
      <c r="V884" s="957"/>
      <c r="W884" s="957"/>
      <c r="X884" s="957"/>
      <c r="Y884" s="957"/>
      <c r="Z884" s="957"/>
      <c r="AA884" s="957"/>
      <c r="AB884" s="957"/>
      <c r="AC884" s="957"/>
      <c r="AD884" s="957"/>
    </row>
    <row r="885" ht="15.75" customHeight="1">
      <c r="A885" s="518"/>
      <c r="B885" s="517"/>
      <c r="C885" s="518"/>
      <c r="D885" s="992"/>
      <c r="E885" s="989"/>
      <c r="F885" s="989"/>
      <c r="G885" s="993"/>
      <c r="H885" s="993"/>
      <c r="I885" s="986"/>
      <c r="J885" s="523"/>
      <c r="K885" s="994"/>
      <c r="L885" s="995"/>
      <c r="M885" s="704"/>
      <c r="N885" s="704"/>
      <c r="O885" s="704"/>
      <c r="P885" s="957"/>
      <c r="Q885" s="957"/>
      <c r="R885" s="957"/>
      <c r="S885" s="957"/>
      <c r="T885" s="957"/>
      <c r="U885" s="957"/>
      <c r="V885" s="957"/>
      <c r="W885" s="957"/>
      <c r="X885" s="957"/>
      <c r="Y885" s="957"/>
      <c r="Z885" s="957"/>
      <c r="AA885" s="957"/>
      <c r="AB885" s="957"/>
      <c r="AC885" s="957"/>
      <c r="AD885" s="957"/>
    </row>
    <row r="886" ht="15.75" customHeight="1">
      <c r="A886" s="518"/>
      <c r="B886" s="517"/>
      <c r="C886" s="518"/>
      <c r="D886" s="992"/>
      <c r="E886" s="989"/>
      <c r="F886" s="989"/>
      <c r="G886" s="993"/>
      <c r="H886" s="993"/>
      <c r="I886" s="986"/>
      <c r="J886" s="523"/>
      <c r="K886" s="994"/>
      <c r="L886" s="995"/>
      <c r="M886" s="704"/>
      <c r="N886" s="704"/>
      <c r="O886" s="704"/>
      <c r="P886" s="957"/>
      <c r="Q886" s="957"/>
      <c r="R886" s="957"/>
      <c r="S886" s="957"/>
      <c r="T886" s="957"/>
      <c r="U886" s="957"/>
      <c r="V886" s="957"/>
      <c r="W886" s="957"/>
      <c r="X886" s="957"/>
      <c r="Y886" s="957"/>
      <c r="Z886" s="957"/>
      <c r="AA886" s="957"/>
      <c r="AB886" s="957"/>
      <c r="AC886" s="957"/>
      <c r="AD886" s="957"/>
    </row>
    <row r="887" ht="15.75" customHeight="1">
      <c r="A887" s="518"/>
      <c r="B887" s="517"/>
      <c r="C887" s="518"/>
      <c r="D887" s="992"/>
      <c r="E887" s="989"/>
      <c r="F887" s="989"/>
      <c r="G887" s="993"/>
      <c r="H887" s="993"/>
      <c r="I887" s="986"/>
      <c r="J887" s="523"/>
      <c r="K887" s="994"/>
      <c r="L887" s="995"/>
      <c r="M887" s="704"/>
      <c r="N887" s="704"/>
      <c r="O887" s="704"/>
      <c r="P887" s="957"/>
      <c r="Q887" s="957"/>
      <c r="R887" s="957"/>
      <c r="S887" s="957"/>
      <c r="T887" s="957"/>
      <c r="U887" s="957"/>
      <c r="V887" s="957"/>
      <c r="W887" s="957"/>
      <c r="X887" s="957"/>
      <c r="Y887" s="957"/>
      <c r="Z887" s="957"/>
      <c r="AA887" s="957"/>
      <c r="AB887" s="957"/>
      <c r="AC887" s="957"/>
      <c r="AD887" s="957"/>
    </row>
    <row r="888" ht="15.75" customHeight="1">
      <c r="A888" s="518"/>
      <c r="B888" s="517"/>
      <c r="C888" s="518"/>
      <c r="D888" s="992"/>
      <c r="E888" s="989"/>
      <c r="F888" s="989"/>
      <c r="G888" s="993"/>
      <c r="H888" s="993"/>
      <c r="I888" s="986"/>
      <c r="J888" s="523"/>
      <c r="K888" s="994"/>
      <c r="L888" s="995"/>
      <c r="M888" s="704"/>
      <c r="N888" s="704"/>
      <c r="O888" s="704"/>
      <c r="P888" s="957"/>
      <c r="Q888" s="957"/>
      <c r="R888" s="957"/>
      <c r="S888" s="957"/>
      <c r="T888" s="957"/>
      <c r="U888" s="957"/>
      <c r="V888" s="957"/>
      <c r="W888" s="957"/>
      <c r="X888" s="957"/>
      <c r="Y888" s="957"/>
      <c r="Z888" s="957"/>
      <c r="AA888" s="957"/>
      <c r="AB888" s="957"/>
      <c r="AC888" s="957"/>
      <c r="AD888" s="957"/>
    </row>
    <row r="889" ht="15.75" customHeight="1">
      <c r="A889" s="518"/>
      <c r="B889" s="517"/>
      <c r="C889" s="518"/>
      <c r="D889" s="992"/>
      <c r="E889" s="989"/>
      <c r="F889" s="989"/>
      <c r="G889" s="993"/>
      <c r="H889" s="993"/>
      <c r="I889" s="986"/>
      <c r="J889" s="523"/>
      <c r="K889" s="994"/>
      <c r="L889" s="995"/>
      <c r="M889" s="704"/>
      <c r="N889" s="704"/>
      <c r="O889" s="704"/>
      <c r="P889" s="957"/>
      <c r="Q889" s="957"/>
      <c r="R889" s="957"/>
      <c r="S889" s="957"/>
      <c r="T889" s="957"/>
      <c r="U889" s="957"/>
      <c r="V889" s="957"/>
      <c r="W889" s="957"/>
      <c r="X889" s="957"/>
      <c r="Y889" s="957"/>
      <c r="Z889" s="957"/>
      <c r="AA889" s="957"/>
      <c r="AB889" s="957"/>
      <c r="AC889" s="957"/>
      <c r="AD889" s="957"/>
    </row>
    <row r="890" ht="15.75" customHeight="1">
      <c r="A890" s="518"/>
      <c r="B890" s="517"/>
      <c r="C890" s="518"/>
      <c r="D890" s="992"/>
      <c r="E890" s="989"/>
      <c r="F890" s="989"/>
      <c r="G890" s="993"/>
      <c r="H890" s="993"/>
      <c r="I890" s="986"/>
      <c r="J890" s="523"/>
      <c r="K890" s="994"/>
      <c r="L890" s="995"/>
      <c r="M890" s="704"/>
      <c r="N890" s="704"/>
      <c r="O890" s="704"/>
      <c r="P890" s="957"/>
      <c r="Q890" s="957"/>
      <c r="R890" s="957"/>
      <c r="S890" s="957"/>
      <c r="T890" s="957"/>
      <c r="U890" s="957"/>
      <c r="V890" s="957"/>
      <c r="W890" s="957"/>
      <c r="X890" s="957"/>
      <c r="Y890" s="957"/>
      <c r="Z890" s="957"/>
      <c r="AA890" s="957"/>
      <c r="AB890" s="957"/>
      <c r="AC890" s="957"/>
      <c r="AD890" s="957"/>
    </row>
    <row r="891" ht="15.75" customHeight="1">
      <c r="A891" s="518"/>
      <c r="B891" s="517"/>
      <c r="C891" s="518"/>
      <c r="D891" s="992"/>
      <c r="E891" s="989"/>
      <c r="F891" s="989"/>
      <c r="G891" s="993"/>
      <c r="H891" s="993"/>
      <c r="I891" s="986"/>
      <c r="J891" s="523"/>
      <c r="K891" s="994"/>
      <c r="L891" s="995"/>
      <c r="M891" s="704"/>
      <c r="N891" s="704"/>
      <c r="O891" s="704"/>
      <c r="P891" s="957"/>
      <c r="Q891" s="957"/>
      <c r="R891" s="957"/>
      <c r="S891" s="957"/>
      <c r="T891" s="957"/>
      <c r="U891" s="957"/>
      <c r="V891" s="957"/>
      <c r="W891" s="957"/>
      <c r="X891" s="957"/>
      <c r="Y891" s="957"/>
      <c r="Z891" s="957"/>
      <c r="AA891" s="957"/>
      <c r="AB891" s="957"/>
      <c r="AC891" s="957"/>
      <c r="AD891" s="957"/>
    </row>
    <row r="892" ht="15.75" customHeight="1">
      <c r="A892" s="518"/>
      <c r="B892" s="517"/>
      <c r="C892" s="518"/>
      <c r="D892" s="992"/>
      <c r="E892" s="989"/>
      <c r="F892" s="989"/>
      <c r="G892" s="993"/>
      <c r="H892" s="993"/>
      <c r="I892" s="986"/>
      <c r="J892" s="523"/>
      <c r="K892" s="994"/>
      <c r="L892" s="995"/>
      <c r="M892" s="704"/>
      <c r="N892" s="704"/>
      <c r="O892" s="704"/>
      <c r="P892" s="957"/>
      <c r="Q892" s="957"/>
      <c r="R892" s="957"/>
      <c r="S892" s="957"/>
      <c r="T892" s="957"/>
      <c r="U892" s="957"/>
      <c r="V892" s="957"/>
      <c r="W892" s="957"/>
      <c r="X892" s="957"/>
      <c r="Y892" s="957"/>
      <c r="Z892" s="957"/>
      <c r="AA892" s="957"/>
      <c r="AB892" s="957"/>
      <c r="AC892" s="957"/>
      <c r="AD892" s="957"/>
    </row>
    <row r="893" ht="15.75" customHeight="1">
      <c r="A893" s="518"/>
      <c r="B893" s="517"/>
      <c r="C893" s="518"/>
      <c r="D893" s="992"/>
      <c r="E893" s="989"/>
      <c r="F893" s="989"/>
      <c r="G893" s="993"/>
      <c r="H893" s="993"/>
      <c r="I893" s="986"/>
      <c r="J893" s="523"/>
      <c r="K893" s="994"/>
      <c r="L893" s="995"/>
      <c r="M893" s="704"/>
      <c r="N893" s="704"/>
      <c r="O893" s="704"/>
      <c r="P893" s="957"/>
      <c r="Q893" s="957"/>
      <c r="R893" s="957"/>
      <c r="S893" s="957"/>
      <c r="T893" s="957"/>
      <c r="U893" s="957"/>
      <c r="V893" s="957"/>
      <c r="W893" s="957"/>
      <c r="X893" s="957"/>
      <c r="Y893" s="957"/>
      <c r="Z893" s="957"/>
      <c r="AA893" s="957"/>
      <c r="AB893" s="957"/>
      <c r="AC893" s="957"/>
      <c r="AD893" s="957"/>
    </row>
    <row r="894" ht="15.75" customHeight="1">
      <c r="A894" s="518"/>
      <c r="B894" s="517"/>
      <c r="C894" s="518"/>
      <c r="D894" s="992"/>
      <c r="E894" s="989"/>
      <c r="F894" s="989"/>
      <c r="G894" s="993"/>
      <c r="H894" s="993"/>
      <c r="I894" s="986"/>
      <c r="J894" s="523"/>
      <c r="K894" s="994"/>
      <c r="L894" s="995"/>
      <c r="M894" s="704"/>
      <c r="N894" s="704"/>
      <c r="O894" s="704"/>
      <c r="P894" s="957"/>
      <c r="Q894" s="957"/>
      <c r="R894" s="957"/>
      <c r="S894" s="957"/>
      <c r="T894" s="957"/>
      <c r="U894" s="957"/>
      <c r="V894" s="957"/>
      <c r="W894" s="957"/>
      <c r="X894" s="957"/>
      <c r="Y894" s="957"/>
      <c r="Z894" s="957"/>
      <c r="AA894" s="957"/>
      <c r="AB894" s="957"/>
      <c r="AC894" s="957"/>
      <c r="AD894" s="957"/>
    </row>
    <row r="895" ht="15.75" customHeight="1">
      <c r="A895" s="518"/>
      <c r="B895" s="517"/>
      <c r="C895" s="518"/>
      <c r="D895" s="992"/>
      <c r="E895" s="989"/>
      <c r="F895" s="989"/>
      <c r="G895" s="993"/>
      <c r="H895" s="993"/>
      <c r="I895" s="986"/>
      <c r="J895" s="523"/>
      <c r="K895" s="994"/>
      <c r="L895" s="995"/>
      <c r="M895" s="704"/>
      <c r="N895" s="704"/>
      <c r="O895" s="704"/>
      <c r="P895" s="957"/>
      <c r="Q895" s="957"/>
      <c r="R895" s="957"/>
      <c r="S895" s="957"/>
      <c r="T895" s="957"/>
      <c r="U895" s="957"/>
      <c r="V895" s="957"/>
      <c r="W895" s="957"/>
      <c r="X895" s="957"/>
      <c r="Y895" s="957"/>
      <c r="Z895" s="957"/>
      <c r="AA895" s="957"/>
      <c r="AB895" s="957"/>
      <c r="AC895" s="957"/>
      <c r="AD895" s="957"/>
    </row>
    <row r="896" ht="15.75" customHeight="1">
      <c r="A896" s="518"/>
      <c r="B896" s="517"/>
      <c r="C896" s="518"/>
      <c r="D896" s="992"/>
      <c r="E896" s="989"/>
      <c r="F896" s="989"/>
      <c r="G896" s="993"/>
      <c r="H896" s="993"/>
      <c r="I896" s="986"/>
      <c r="J896" s="523"/>
      <c r="K896" s="994"/>
      <c r="L896" s="995"/>
      <c r="M896" s="704"/>
      <c r="N896" s="704"/>
      <c r="O896" s="704"/>
      <c r="P896" s="957"/>
      <c r="Q896" s="957"/>
      <c r="R896" s="957"/>
      <c r="S896" s="957"/>
      <c r="T896" s="957"/>
      <c r="U896" s="957"/>
      <c r="V896" s="957"/>
      <c r="W896" s="957"/>
      <c r="X896" s="957"/>
      <c r="Y896" s="957"/>
      <c r="Z896" s="957"/>
      <c r="AA896" s="957"/>
      <c r="AB896" s="957"/>
      <c r="AC896" s="957"/>
      <c r="AD896" s="957"/>
    </row>
    <row r="897" ht="15.75" customHeight="1">
      <c r="A897" s="518"/>
      <c r="B897" s="517"/>
      <c r="C897" s="518"/>
      <c r="D897" s="992"/>
      <c r="E897" s="989"/>
      <c r="F897" s="989"/>
      <c r="G897" s="993"/>
      <c r="H897" s="993"/>
      <c r="I897" s="986"/>
      <c r="J897" s="523"/>
      <c r="K897" s="994"/>
      <c r="L897" s="995"/>
      <c r="M897" s="704"/>
      <c r="N897" s="704"/>
      <c r="O897" s="704"/>
      <c r="P897" s="957"/>
      <c r="Q897" s="957"/>
      <c r="R897" s="957"/>
      <c r="S897" s="957"/>
      <c r="T897" s="957"/>
      <c r="U897" s="957"/>
      <c r="V897" s="957"/>
      <c r="W897" s="957"/>
      <c r="X897" s="957"/>
      <c r="Y897" s="957"/>
      <c r="Z897" s="957"/>
      <c r="AA897" s="957"/>
      <c r="AB897" s="957"/>
      <c r="AC897" s="957"/>
      <c r="AD897" s="957"/>
    </row>
    <row r="898" ht="15.75" customHeight="1">
      <c r="A898" s="518"/>
      <c r="B898" s="517"/>
      <c r="C898" s="518"/>
      <c r="D898" s="992"/>
      <c r="E898" s="989"/>
      <c r="F898" s="989"/>
      <c r="G898" s="993"/>
      <c r="H898" s="993"/>
      <c r="I898" s="986"/>
      <c r="J898" s="523"/>
      <c r="K898" s="994"/>
      <c r="L898" s="995"/>
      <c r="M898" s="704"/>
      <c r="N898" s="704"/>
      <c r="O898" s="704"/>
      <c r="P898" s="957"/>
      <c r="Q898" s="957"/>
      <c r="R898" s="957"/>
      <c r="S898" s="957"/>
      <c r="T898" s="957"/>
      <c r="U898" s="957"/>
      <c r="V898" s="957"/>
      <c r="W898" s="957"/>
      <c r="X898" s="957"/>
      <c r="Y898" s="957"/>
      <c r="Z898" s="957"/>
      <c r="AA898" s="957"/>
      <c r="AB898" s="957"/>
      <c r="AC898" s="957"/>
      <c r="AD898" s="957"/>
    </row>
    <row r="899" ht="15.75" customHeight="1">
      <c r="A899" s="518"/>
      <c r="B899" s="517"/>
      <c r="C899" s="518"/>
      <c r="D899" s="992"/>
      <c r="E899" s="989"/>
      <c r="F899" s="989"/>
      <c r="G899" s="993"/>
      <c r="H899" s="993"/>
      <c r="I899" s="986"/>
      <c r="J899" s="523"/>
      <c r="K899" s="994"/>
      <c r="L899" s="995"/>
      <c r="M899" s="704"/>
      <c r="N899" s="704"/>
      <c r="O899" s="704"/>
      <c r="P899" s="957"/>
      <c r="Q899" s="957"/>
      <c r="R899" s="957"/>
      <c r="S899" s="957"/>
      <c r="T899" s="957"/>
      <c r="U899" s="957"/>
      <c r="V899" s="957"/>
      <c r="W899" s="957"/>
      <c r="X899" s="957"/>
      <c r="Y899" s="957"/>
      <c r="Z899" s="957"/>
      <c r="AA899" s="957"/>
      <c r="AB899" s="957"/>
      <c r="AC899" s="957"/>
      <c r="AD899" s="957"/>
    </row>
    <row r="900" ht="15.75" customHeight="1">
      <c r="A900" s="518"/>
      <c r="B900" s="517"/>
      <c r="C900" s="518"/>
      <c r="D900" s="992"/>
      <c r="E900" s="989"/>
      <c r="F900" s="989"/>
      <c r="G900" s="993"/>
      <c r="H900" s="993"/>
      <c r="I900" s="986"/>
      <c r="J900" s="523"/>
      <c r="K900" s="994"/>
      <c r="L900" s="995"/>
      <c r="M900" s="704"/>
      <c r="N900" s="704"/>
      <c r="O900" s="704"/>
      <c r="P900" s="957"/>
      <c r="Q900" s="957"/>
      <c r="R900" s="957"/>
      <c r="S900" s="957"/>
      <c r="T900" s="957"/>
      <c r="U900" s="957"/>
      <c r="V900" s="957"/>
      <c r="W900" s="957"/>
      <c r="X900" s="957"/>
      <c r="Y900" s="957"/>
      <c r="Z900" s="957"/>
      <c r="AA900" s="957"/>
      <c r="AB900" s="957"/>
      <c r="AC900" s="957"/>
      <c r="AD900" s="957"/>
    </row>
    <row r="901" ht="15.75" customHeight="1">
      <c r="A901" s="518"/>
      <c r="B901" s="517"/>
      <c r="C901" s="518"/>
      <c r="D901" s="992"/>
      <c r="E901" s="989"/>
      <c r="F901" s="989"/>
      <c r="G901" s="993"/>
      <c r="H901" s="993"/>
      <c r="I901" s="986"/>
      <c r="J901" s="523"/>
      <c r="K901" s="994"/>
      <c r="L901" s="995"/>
      <c r="M901" s="704"/>
      <c r="N901" s="704"/>
      <c r="O901" s="704"/>
      <c r="P901" s="957"/>
      <c r="Q901" s="957"/>
      <c r="R901" s="957"/>
      <c r="S901" s="957"/>
      <c r="T901" s="957"/>
      <c r="U901" s="957"/>
      <c r="V901" s="957"/>
      <c r="W901" s="957"/>
      <c r="X901" s="957"/>
      <c r="Y901" s="957"/>
      <c r="Z901" s="957"/>
      <c r="AA901" s="957"/>
      <c r="AB901" s="957"/>
      <c r="AC901" s="957"/>
      <c r="AD901" s="957"/>
    </row>
    <row r="902" ht="15.75" customHeight="1">
      <c r="A902" s="518"/>
      <c r="B902" s="517"/>
      <c r="C902" s="518"/>
      <c r="D902" s="992"/>
      <c r="E902" s="989"/>
      <c r="F902" s="989"/>
      <c r="G902" s="993"/>
      <c r="H902" s="993"/>
      <c r="I902" s="986"/>
      <c r="J902" s="523"/>
      <c r="K902" s="994"/>
      <c r="L902" s="995"/>
      <c r="M902" s="704"/>
      <c r="N902" s="704"/>
      <c r="O902" s="704"/>
      <c r="P902" s="957"/>
      <c r="Q902" s="957"/>
      <c r="R902" s="957"/>
      <c r="S902" s="957"/>
      <c r="T902" s="957"/>
      <c r="U902" s="957"/>
      <c r="V902" s="957"/>
      <c r="W902" s="957"/>
      <c r="X902" s="957"/>
      <c r="Y902" s="957"/>
      <c r="Z902" s="957"/>
      <c r="AA902" s="957"/>
      <c r="AB902" s="957"/>
      <c r="AC902" s="957"/>
      <c r="AD902" s="957"/>
    </row>
    <row r="903" ht="15.75" customHeight="1">
      <c r="A903" s="518"/>
      <c r="B903" s="517"/>
      <c r="C903" s="518"/>
      <c r="D903" s="992"/>
      <c r="E903" s="989"/>
      <c r="F903" s="989"/>
      <c r="G903" s="993"/>
      <c r="H903" s="993"/>
      <c r="I903" s="986"/>
      <c r="J903" s="523"/>
      <c r="K903" s="994"/>
      <c r="L903" s="995"/>
      <c r="M903" s="704"/>
      <c r="N903" s="704"/>
      <c r="O903" s="704"/>
      <c r="P903" s="957"/>
      <c r="Q903" s="957"/>
      <c r="R903" s="957"/>
      <c r="S903" s="957"/>
      <c r="T903" s="957"/>
      <c r="U903" s="957"/>
      <c r="V903" s="957"/>
      <c r="W903" s="957"/>
      <c r="X903" s="957"/>
      <c r="Y903" s="957"/>
      <c r="Z903" s="957"/>
      <c r="AA903" s="957"/>
      <c r="AB903" s="957"/>
      <c r="AC903" s="957"/>
      <c r="AD903" s="957"/>
    </row>
    <row r="904" ht="15.75" customHeight="1">
      <c r="A904" s="518"/>
      <c r="B904" s="517"/>
      <c r="C904" s="518"/>
      <c r="D904" s="992"/>
      <c r="E904" s="989"/>
      <c r="F904" s="989"/>
      <c r="G904" s="993"/>
      <c r="H904" s="993"/>
      <c r="I904" s="986"/>
      <c r="J904" s="523"/>
      <c r="K904" s="994"/>
      <c r="L904" s="995"/>
      <c r="M904" s="704"/>
      <c r="N904" s="704"/>
      <c r="O904" s="704"/>
      <c r="P904" s="957"/>
      <c r="Q904" s="957"/>
      <c r="R904" s="957"/>
      <c r="S904" s="957"/>
      <c r="T904" s="957"/>
      <c r="U904" s="957"/>
      <c r="V904" s="957"/>
      <c r="W904" s="957"/>
      <c r="X904" s="957"/>
      <c r="Y904" s="957"/>
      <c r="Z904" s="957"/>
      <c r="AA904" s="957"/>
      <c r="AB904" s="957"/>
      <c r="AC904" s="957"/>
      <c r="AD904" s="957"/>
    </row>
    <row r="905" ht="15.75" customHeight="1">
      <c r="A905" s="518"/>
      <c r="B905" s="517"/>
      <c r="C905" s="518"/>
      <c r="D905" s="992"/>
      <c r="E905" s="989"/>
      <c r="F905" s="989"/>
      <c r="G905" s="993"/>
      <c r="H905" s="993"/>
      <c r="I905" s="986"/>
      <c r="J905" s="523"/>
      <c r="K905" s="994"/>
      <c r="L905" s="995"/>
      <c r="M905" s="704"/>
      <c r="N905" s="704"/>
      <c r="O905" s="704"/>
      <c r="P905" s="957"/>
      <c r="Q905" s="957"/>
      <c r="R905" s="957"/>
      <c r="S905" s="957"/>
      <c r="T905" s="957"/>
      <c r="U905" s="957"/>
      <c r="V905" s="957"/>
      <c r="W905" s="957"/>
      <c r="X905" s="957"/>
      <c r="Y905" s="957"/>
      <c r="Z905" s="957"/>
      <c r="AA905" s="957"/>
      <c r="AB905" s="957"/>
      <c r="AC905" s="957"/>
      <c r="AD905" s="957"/>
    </row>
    <row r="906" ht="15.75" customHeight="1">
      <c r="A906" s="518"/>
      <c r="B906" s="517"/>
      <c r="C906" s="518"/>
      <c r="D906" s="992"/>
      <c r="E906" s="989"/>
      <c r="F906" s="989"/>
      <c r="G906" s="993"/>
      <c r="H906" s="993"/>
      <c r="I906" s="986"/>
      <c r="J906" s="523"/>
      <c r="K906" s="994"/>
      <c r="L906" s="995"/>
      <c r="M906" s="704"/>
      <c r="N906" s="704"/>
      <c r="O906" s="704"/>
      <c r="P906" s="957"/>
      <c r="Q906" s="957"/>
      <c r="R906" s="957"/>
      <c r="S906" s="957"/>
      <c r="T906" s="957"/>
      <c r="U906" s="957"/>
      <c r="V906" s="957"/>
      <c r="W906" s="957"/>
      <c r="X906" s="957"/>
      <c r="Y906" s="957"/>
      <c r="Z906" s="957"/>
      <c r="AA906" s="957"/>
      <c r="AB906" s="957"/>
      <c r="AC906" s="957"/>
      <c r="AD906" s="957"/>
    </row>
    <row r="907" ht="15.75" customHeight="1">
      <c r="A907" s="518"/>
      <c r="B907" s="517"/>
      <c r="C907" s="518"/>
      <c r="D907" s="992"/>
      <c r="E907" s="989"/>
      <c r="F907" s="989"/>
      <c r="G907" s="993"/>
      <c r="H907" s="993"/>
      <c r="I907" s="986"/>
      <c r="J907" s="523"/>
      <c r="K907" s="994"/>
      <c r="L907" s="995"/>
      <c r="M907" s="704"/>
      <c r="N907" s="704"/>
      <c r="O907" s="704"/>
      <c r="P907" s="957"/>
      <c r="Q907" s="957"/>
      <c r="R907" s="957"/>
      <c r="S907" s="957"/>
      <c r="T907" s="957"/>
      <c r="U907" s="957"/>
      <c r="V907" s="957"/>
      <c r="W907" s="957"/>
      <c r="X907" s="957"/>
      <c r="Y907" s="957"/>
      <c r="Z907" s="957"/>
      <c r="AA907" s="957"/>
      <c r="AB907" s="957"/>
      <c r="AC907" s="957"/>
      <c r="AD907" s="957"/>
    </row>
    <row r="908" ht="15.75" customHeight="1">
      <c r="A908" s="518"/>
      <c r="B908" s="517"/>
      <c r="C908" s="518"/>
      <c r="D908" s="992"/>
      <c r="E908" s="989"/>
      <c r="F908" s="989"/>
      <c r="G908" s="993"/>
      <c r="H908" s="993"/>
      <c r="I908" s="986"/>
      <c r="J908" s="523"/>
      <c r="K908" s="994"/>
      <c r="L908" s="995"/>
      <c r="M908" s="704"/>
      <c r="N908" s="704"/>
      <c r="O908" s="704"/>
      <c r="P908" s="957"/>
      <c r="Q908" s="957"/>
      <c r="R908" s="957"/>
      <c r="S908" s="957"/>
      <c r="T908" s="957"/>
      <c r="U908" s="957"/>
      <c r="V908" s="957"/>
      <c r="W908" s="957"/>
      <c r="X908" s="957"/>
      <c r="Y908" s="957"/>
      <c r="Z908" s="957"/>
      <c r="AA908" s="957"/>
      <c r="AB908" s="957"/>
      <c r="AC908" s="957"/>
      <c r="AD908" s="957"/>
    </row>
    <row r="909" ht="15.75" customHeight="1">
      <c r="A909" s="518"/>
      <c r="B909" s="517"/>
      <c r="C909" s="518"/>
      <c r="D909" s="992"/>
      <c r="E909" s="989"/>
      <c r="F909" s="989"/>
      <c r="G909" s="993"/>
      <c r="H909" s="993"/>
      <c r="I909" s="986"/>
      <c r="J909" s="523"/>
      <c r="K909" s="994"/>
      <c r="L909" s="995"/>
      <c r="M909" s="704"/>
      <c r="N909" s="704"/>
      <c r="O909" s="704"/>
      <c r="P909" s="957"/>
      <c r="Q909" s="957"/>
      <c r="R909" s="957"/>
      <c r="S909" s="957"/>
      <c r="T909" s="957"/>
      <c r="U909" s="957"/>
      <c r="V909" s="957"/>
      <c r="W909" s="957"/>
      <c r="X909" s="957"/>
      <c r="Y909" s="957"/>
      <c r="Z909" s="957"/>
      <c r="AA909" s="957"/>
      <c r="AB909" s="957"/>
      <c r="AC909" s="957"/>
      <c r="AD909" s="957"/>
    </row>
    <row r="910" ht="15.75" customHeight="1">
      <c r="A910" s="518"/>
      <c r="B910" s="517"/>
      <c r="C910" s="518"/>
      <c r="D910" s="992"/>
      <c r="E910" s="989"/>
      <c r="F910" s="989"/>
      <c r="G910" s="993"/>
      <c r="H910" s="993"/>
      <c r="I910" s="986"/>
      <c r="J910" s="523"/>
      <c r="K910" s="994"/>
      <c r="L910" s="995"/>
      <c r="M910" s="704"/>
      <c r="N910" s="704"/>
      <c r="O910" s="704"/>
      <c r="P910" s="957"/>
      <c r="Q910" s="957"/>
      <c r="R910" s="957"/>
      <c r="S910" s="957"/>
      <c r="T910" s="957"/>
      <c r="U910" s="957"/>
      <c r="V910" s="957"/>
      <c r="W910" s="957"/>
      <c r="X910" s="957"/>
      <c r="Y910" s="957"/>
      <c r="Z910" s="957"/>
      <c r="AA910" s="957"/>
      <c r="AB910" s="957"/>
      <c r="AC910" s="957"/>
      <c r="AD910" s="957"/>
    </row>
    <row r="911" ht="15.75" customHeight="1">
      <c r="A911" s="518"/>
      <c r="B911" s="517"/>
      <c r="C911" s="518"/>
      <c r="D911" s="992"/>
      <c r="E911" s="989"/>
      <c r="F911" s="989"/>
      <c r="G911" s="993"/>
      <c r="H911" s="993"/>
      <c r="I911" s="986"/>
      <c r="J911" s="523"/>
      <c r="K911" s="994"/>
      <c r="L911" s="995"/>
      <c r="M911" s="704"/>
      <c r="N911" s="704"/>
      <c r="O911" s="704"/>
      <c r="P911" s="957"/>
      <c r="Q911" s="957"/>
      <c r="R911" s="957"/>
      <c r="S911" s="957"/>
      <c r="T911" s="957"/>
      <c r="U911" s="957"/>
      <c r="V911" s="957"/>
      <c r="W911" s="957"/>
      <c r="X911" s="957"/>
      <c r="Y911" s="957"/>
      <c r="Z911" s="957"/>
      <c r="AA911" s="957"/>
      <c r="AB911" s="957"/>
      <c r="AC911" s="957"/>
      <c r="AD911" s="957"/>
    </row>
    <row r="912" ht="15.75" customHeight="1">
      <c r="A912" s="518"/>
      <c r="B912" s="517"/>
      <c r="C912" s="518"/>
      <c r="D912" s="992"/>
      <c r="E912" s="989"/>
      <c r="F912" s="989"/>
      <c r="G912" s="993"/>
      <c r="H912" s="993"/>
      <c r="I912" s="986"/>
      <c r="J912" s="523"/>
      <c r="K912" s="994"/>
      <c r="L912" s="995"/>
      <c r="M912" s="704"/>
      <c r="N912" s="704"/>
      <c r="O912" s="704"/>
      <c r="P912" s="957"/>
      <c r="Q912" s="957"/>
      <c r="R912" s="957"/>
      <c r="S912" s="957"/>
      <c r="T912" s="957"/>
      <c r="U912" s="957"/>
      <c r="V912" s="957"/>
      <c r="W912" s="957"/>
      <c r="X912" s="957"/>
      <c r="Y912" s="957"/>
      <c r="Z912" s="957"/>
      <c r="AA912" s="957"/>
      <c r="AB912" s="957"/>
      <c r="AC912" s="957"/>
      <c r="AD912" s="957"/>
    </row>
    <row r="913" ht="15.75" customHeight="1">
      <c r="A913" s="518"/>
      <c r="B913" s="517"/>
      <c r="C913" s="518"/>
      <c r="D913" s="992"/>
      <c r="E913" s="989"/>
      <c r="F913" s="989"/>
      <c r="G913" s="993"/>
      <c r="H913" s="993"/>
      <c r="I913" s="986"/>
      <c r="J913" s="523"/>
      <c r="K913" s="994"/>
      <c r="L913" s="995"/>
      <c r="M913" s="704"/>
      <c r="N913" s="704"/>
      <c r="O913" s="704"/>
      <c r="P913" s="957"/>
      <c r="Q913" s="957"/>
      <c r="R913" s="957"/>
      <c r="S913" s="957"/>
      <c r="T913" s="957"/>
      <c r="U913" s="957"/>
      <c r="V913" s="957"/>
      <c r="W913" s="957"/>
      <c r="X913" s="957"/>
      <c r="Y913" s="957"/>
      <c r="Z913" s="957"/>
      <c r="AA913" s="957"/>
      <c r="AB913" s="957"/>
      <c r="AC913" s="957"/>
      <c r="AD913" s="957"/>
    </row>
    <row r="914" ht="15.75" customHeight="1">
      <c r="A914" s="518"/>
      <c r="B914" s="517"/>
      <c r="C914" s="518"/>
      <c r="D914" s="992"/>
      <c r="E914" s="989"/>
      <c r="F914" s="989"/>
      <c r="G914" s="993"/>
      <c r="H914" s="993"/>
      <c r="I914" s="986"/>
      <c r="J914" s="523"/>
      <c r="K914" s="994"/>
      <c r="L914" s="995"/>
      <c r="M914" s="704"/>
      <c r="N914" s="704"/>
      <c r="O914" s="704"/>
      <c r="P914" s="957"/>
      <c r="Q914" s="957"/>
      <c r="R914" s="957"/>
      <c r="S914" s="957"/>
      <c r="T914" s="957"/>
      <c r="U914" s="957"/>
      <c r="V914" s="957"/>
      <c r="W914" s="957"/>
      <c r="X914" s="957"/>
      <c r="Y914" s="957"/>
      <c r="Z914" s="957"/>
      <c r="AA914" s="957"/>
      <c r="AB914" s="957"/>
      <c r="AC914" s="957"/>
      <c r="AD914" s="957"/>
    </row>
    <row r="915" ht="15.75" customHeight="1">
      <c r="A915" s="518"/>
      <c r="B915" s="517"/>
      <c r="C915" s="518"/>
      <c r="D915" s="992"/>
      <c r="E915" s="989"/>
      <c r="F915" s="989"/>
      <c r="G915" s="993"/>
      <c r="H915" s="993"/>
      <c r="I915" s="986"/>
      <c r="J915" s="523"/>
      <c r="K915" s="994"/>
      <c r="L915" s="995"/>
      <c r="M915" s="704"/>
      <c r="N915" s="704"/>
      <c r="O915" s="704"/>
      <c r="P915" s="957"/>
      <c r="Q915" s="957"/>
      <c r="R915" s="957"/>
      <c r="S915" s="957"/>
      <c r="T915" s="957"/>
      <c r="U915" s="957"/>
      <c r="V915" s="957"/>
      <c r="W915" s="957"/>
      <c r="X915" s="957"/>
      <c r="Y915" s="957"/>
      <c r="Z915" s="957"/>
      <c r="AA915" s="957"/>
      <c r="AB915" s="957"/>
      <c r="AC915" s="957"/>
      <c r="AD915" s="957"/>
    </row>
    <row r="916" ht="15.75" customHeight="1">
      <c r="A916" s="518"/>
      <c r="B916" s="517"/>
      <c r="C916" s="518"/>
      <c r="D916" s="992"/>
      <c r="E916" s="989"/>
      <c r="F916" s="989"/>
      <c r="G916" s="993"/>
      <c r="H916" s="993"/>
      <c r="I916" s="986"/>
      <c r="J916" s="523"/>
      <c r="K916" s="994"/>
      <c r="L916" s="995"/>
      <c r="M916" s="704"/>
      <c r="N916" s="704"/>
      <c r="O916" s="704"/>
      <c r="P916" s="957"/>
      <c r="Q916" s="957"/>
      <c r="R916" s="957"/>
      <c r="S916" s="957"/>
      <c r="T916" s="957"/>
      <c r="U916" s="957"/>
      <c r="V916" s="957"/>
      <c r="W916" s="957"/>
      <c r="X916" s="957"/>
      <c r="Y916" s="957"/>
      <c r="Z916" s="957"/>
      <c r="AA916" s="957"/>
      <c r="AB916" s="957"/>
      <c r="AC916" s="957"/>
      <c r="AD916" s="957"/>
    </row>
    <row r="917" ht="15.75" customHeight="1">
      <c r="A917" s="518"/>
      <c r="B917" s="517"/>
      <c r="C917" s="518"/>
      <c r="D917" s="992"/>
      <c r="E917" s="989"/>
      <c r="F917" s="989"/>
      <c r="G917" s="993"/>
      <c r="H917" s="993"/>
      <c r="I917" s="986"/>
      <c r="J917" s="523"/>
      <c r="K917" s="994"/>
      <c r="L917" s="995"/>
      <c r="M917" s="704"/>
      <c r="N917" s="704"/>
      <c r="O917" s="704"/>
      <c r="P917" s="957"/>
      <c r="Q917" s="957"/>
      <c r="R917" s="957"/>
      <c r="S917" s="957"/>
      <c r="T917" s="957"/>
      <c r="U917" s="957"/>
      <c r="V917" s="957"/>
      <c r="W917" s="957"/>
      <c r="X917" s="957"/>
      <c r="Y917" s="957"/>
      <c r="Z917" s="957"/>
      <c r="AA917" s="957"/>
      <c r="AB917" s="957"/>
      <c r="AC917" s="957"/>
      <c r="AD917" s="957"/>
    </row>
    <row r="918" ht="15.75" customHeight="1">
      <c r="A918" s="518"/>
      <c r="B918" s="517"/>
      <c r="C918" s="518"/>
      <c r="D918" s="992"/>
      <c r="E918" s="989"/>
      <c r="F918" s="989"/>
      <c r="G918" s="993"/>
      <c r="H918" s="993"/>
      <c r="I918" s="986"/>
      <c r="J918" s="523"/>
      <c r="K918" s="994"/>
      <c r="L918" s="995"/>
      <c r="M918" s="704"/>
      <c r="N918" s="704"/>
      <c r="O918" s="704"/>
      <c r="P918" s="957"/>
      <c r="Q918" s="957"/>
      <c r="R918" s="957"/>
      <c r="S918" s="957"/>
      <c r="T918" s="957"/>
      <c r="U918" s="957"/>
      <c r="V918" s="957"/>
      <c r="W918" s="957"/>
      <c r="X918" s="957"/>
      <c r="Y918" s="957"/>
      <c r="Z918" s="957"/>
      <c r="AA918" s="957"/>
      <c r="AB918" s="957"/>
      <c r="AC918" s="957"/>
      <c r="AD918" s="957"/>
    </row>
    <row r="919" ht="15.75" customHeight="1">
      <c r="A919" s="518"/>
      <c r="B919" s="517"/>
      <c r="C919" s="518"/>
      <c r="D919" s="992"/>
      <c r="E919" s="989"/>
      <c r="F919" s="989"/>
      <c r="G919" s="993"/>
      <c r="H919" s="993"/>
      <c r="I919" s="986"/>
      <c r="J919" s="523"/>
      <c r="K919" s="994"/>
      <c r="L919" s="995"/>
      <c r="M919" s="704"/>
      <c r="N919" s="704"/>
      <c r="O919" s="704"/>
      <c r="P919" s="957"/>
      <c r="Q919" s="957"/>
      <c r="R919" s="957"/>
      <c r="S919" s="957"/>
      <c r="T919" s="957"/>
      <c r="U919" s="957"/>
      <c r="V919" s="957"/>
      <c r="W919" s="957"/>
      <c r="X919" s="957"/>
      <c r="Y919" s="957"/>
      <c r="Z919" s="957"/>
      <c r="AA919" s="957"/>
      <c r="AB919" s="957"/>
      <c r="AC919" s="957"/>
      <c r="AD919" s="957"/>
    </row>
    <row r="920" ht="15.75" customHeight="1">
      <c r="A920" s="518"/>
      <c r="B920" s="517"/>
      <c r="C920" s="518"/>
      <c r="D920" s="992"/>
      <c r="E920" s="989"/>
      <c r="F920" s="989"/>
      <c r="G920" s="993"/>
      <c r="H920" s="993"/>
      <c r="I920" s="986"/>
      <c r="J920" s="523"/>
      <c r="K920" s="994"/>
      <c r="L920" s="995"/>
      <c r="M920" s="704"/>
      <c r="N920" s="704"/>
      <c r="O920" s="704"/>
      <c r="P920" s="957"/>
      <c r="Q920" s="957"/>
      <c r="R920" s="957"/>
      <c r="S920" s="957"/>
      <c r="T920" s="957"/>
      <c r="U920" s="957"/>
      <c r="V920" s="957"/>
      <c r="W920" s="957"/>
      <c r="X920" s="957"/>
      <c r="Y920" s="957"/>
      <c r="Z920" s="957"/>
      <c r="AA920" s="957"/>
      <c r="AB920" s="957"/>
      <c r="AC920" s="957"/>
      <c r="AD920" s="957"/>
    </row>
    <row r="921" ht="15.75" customHeight="1">
      <c r="A921" s="518"/>
      <c r="B921" s="517"/>
      <c r="C921" s="518"/>
      <c r="D921" s="992"/>
      <c r="E921" s="989"/>
      <c r="F921" s="989"/>
      <c r="G921" s="993"/>
      <c r="H921" s="993"/>
      <c r="I921" s="986"/>
      <c r="J921" s="523"/>
      <c r="K921" s="994"/>
      <c r="L921" s="995"/>
      <c r="M921" s="704"/>
      <c r="N921" s="704"/>
      <c r="O921" s="704"/>
      <c r="P921" s="957"/>
      <c r="Q921" s="957"/>
      <c r="R921" s="957"/>
      <c r="S921" s="957"/>
      <c r="T921" s="957"/>
      <c r="U921" s="957"/>
      <c r="V921" s="957"/>
      <c r="W921" s="957"/>
      <c r="X921" s="957"/>
      <c r="Y921" s="957"/>
      <c r="Z921" s="957"/>
      <c r="AA921" s="957"/>
      <c r="AB921" s="957"/>
      <c r="AC921" s="957"/>
      <c r="AD921" s="957"/>
    </row>
    <row r="922" ht="15.75" customHeight="1">
      <c r="A922" s="518"/>
      <c r="B922" s="517"/>
      <c r="C922" s="518"/>
      <c r="D922" s="992"/>
      <c r="E922" s="989"/>
      <c r="F922" s="989"/>
      <c r="G922" s="993"/>
      <c r="H922" s="993"/>
      <c r="I922" s="986"/>
      <c r="J922" s="523"/>
      <c r="K922" s="994"/>
      <c r="L922" s="995"/>
      <c r="M922" s="704"/>
      <c r="N922" s="704"/>
      <c r="O922" s="704"/>
      <c r="P922" s="957"/>
      <c r="Q922" s="957"/>
      <c r="R922" s="957"/>
      <c r="S922" s="957"/>
      <c r="T922" s="957"/>
      <c r="U922" s="957"/>
      <c r="V922" s="957"/>
      <c r="W922" s="957"/>
      <c r="X922" s="957"/>
      <c r="Y922" s="957"/>
      <c r="Z922" s="957"/>
      <c r="AA922" s="957"/>
      <c r="AB922" s="957"/>
      <c r="AC922" s="957"/>
      <c r="AD922" s="957"/>
    </row>
    <row r="923" ht="15.75" customHeight="1">
      <c r="A923" s="518"/>
      <c r="B923" s="517"/>
      <c r="C923" s="518"/>
      <c r="D923" s="992"/>
      <c r="E923" s="989"/>
      <c r="F923" s="989"/>
      <c r="G923" s="993"/>
      <c r="H923" s="993"/>
      <c r="I923" s="986"/>
      <c r="J923" s="523"/>
      <c r="K923" s="994"/>
      <c r="L923" s="995"/>
      <c r="M923" s="704"/>
      <c r="N923" s="704"/>
      <c r="O923" s="704"/>
      <c r="P923" s="957"/>
      <c r="Q923" s="957"/>
      <c r="R923" s="957"/>
      <c r="S923" s="957"/>
      <c r="T923" s="957"/>
      <c r="U923" s="957"/>
      <c r="V923" s="957"/>
      <c r="W923" s="957"/>
      <c r="X923" s="957"/>
      <c r="Y923" s="957"/>
      <c r="Z923" s="957"/>
      <c r="AA923" s="957"/>
      <c r="AB923" s="957"/>
      <c r="AC923" s="957"/>
      <c r="AD923" s="957"/>
    </row>
    <row r="924" ht="15.75" customHeight="1">
      <c r="A924" s="518"/>
      <c r="B924" s="517"/>
      <c r="C924" s="518"/>
      <c r="D924" s="992"/>
      <c r="E924" s="989"/>
      <c r="F924" s="989"/>
      <c r="G924" s="993"/>
      <c r="H924" s="993"/>
      <c r="I924" s="986"/>
      <c r="J924" s="523"/>
      <c r="K924" s="994"/>
      <c r="L924" s="995"/>
      <c r="M924" s="704"/>
      <c r="N924" s="704"/>
      <c r="O924" s="704"/>
      <c r="P924" s="957"/>
      <c r="Q924" s="957"/>
      <c r="R924" s="957"/>
      <c r="S924" s="957"/>
      <c r="T924" s="957"/>
      <c r="U924" s="957"/>
      <c r="V924" s="957"/>
      <c r="W924" s="957"/>
      <c r="X924" s="957"/>
      <c r="Y924" s="957"/>
      <c r="Z924" s="957"/>
      <c r="AA924" s="957"/>
      <c r="AB924" s="957"/>
      <c r="AC924" s="957"/>
      <c r="AD924" s="957"/>
    </row>
    <row r="925" ht="15.75" customHeight="1">
      <c r="A925" s="518"/>
      <c r="B925" s="517"/>
      <c r="C925" s="518"/>
      <c r="D925" s="992"/>
      <c r="E925" s="989"/>
      <c r="F925" s="989"/>
      <c r="G925" s="993"/>
      <c r="H925" s="993"/>
      <c r="I925" s="986"/>
      <c r="J925" s="523"/>
      <c r="K925" s="994"/>
      <c r="L925" s="995"/>
      <c r="M925" s="704"/>
      <c r="N925" s="704"/>
      <c r="O925" s="704"/>
      <c r="P925" s="957"/>
      <c r="Q925" s="957"/>
      <c r="R925" s="957"/>
      <c r="S925" s="957"/>
      <c r="T925" s="957"/>
      <c r="U925" s="957"/>
      <c r="V925" s="957"/>
      <c r="W925" s="957"/>
      <c r="X925" s="957"/>
      <c r="Y925" s="957"/>
      <c r="Z925" s="957"/>
      <c r="AA925" s="957"/>
      <c r="AB925" s="957"/>
      <c r="AC925" s="957"/>
      <c r="AD925" s="957"/>
    </row>
    <row r="926" ht="15.75" customHeight="1">
      <c r="A926" s="518"/>
      <c r="B926" s="517"/>
      <c r="C926" s="518"/>
      <c r="D926" s="992"/>
      <c r="E926" s="989"/>
      <c r="F926" s="989"/>
      <c r="G926" s="993"/>
      <c r="H926" s="993"/>
      <c r="I926" s="986"/>
      <c r="J926" s="523"/>
      <c r="K926" s="994"/>
      <c r="L926" s="995"/>
      <c r="M926" s="704"/>
      <c r="N926" s="704"/>
      <c r="O926" s="704"/>
      <c r="P926" s="957"/>
      <c r="Q926" s="957"/>
      <c r="R926" s="957"/>
      <c r="S926" s="957"/>
      <c r="T926" s="957"/>
      <c r="U926" s="957"/>
      <c r="V926" s="957"/>
      <c r="W926" s="957"/>
      <c r="X926" s="957"/>
      <c r="Y926" s="957"/>
      <c r="Z926" s="957"/>
      <c r="AA926" s="957"/>
      <c r="AB926" s="957"/>
      <c r="AC926" s="957"/>
      <c r="AD926" s="957"/>
    </row>
    <row r="927" ht="15.75" customHeight="1">
      <c r="A927" s="518"/>
      <c r="B927" s="517"/>
      <c r="C927" s="518"/>
      <c r="D927" s="992"/>
      <c r="E927" s="989"/>
      <c r="F927" s="989"/>
      <c r="G927" s="993"/>
      <c r="H927" s="993"/>
      <c r="I927" s="986"/>
      <c r="J927" s="523"/>
      <c r="K927" s="994"/>
      <c r="L927" s="995"/>
      <c r="M927" s="704"/>
      <c r="N927" s="704"/>
      <c r="O927" s="704"/>
      <c r="P927" s="957"/>
      <c r="Q927" s="957"/>
      <c r="R927" s="957"/>
      <c r="S927" s="957"/>
      <c r="T927" s="957"/>
      <c r="U927" s="957"/>
      <c r="V927" s="957"/>
      <c r="W927" s="957"/>
      <c r="X927" s="957"/>
      <c r="Y927" s="957"/>
      <c r="Z927" s="957"/>
      <c r="AA927" s="957"/>
      <c r="AB927" s="957"/>
      <c r="AC927" s="957"/>
      <c r="AD927" s="957"/>
    </row>
    <row r="928" ht="15.75" customHeight="1">
      <c r="A928" s="518"/>
      <c r="B928" s="517"/>
      <c r="C928" s="518"/>
      <c r="D928" s="992"/>
      <c r="E928" s="989"/>
      <c r="F928" s="989"/>
      <c r="G928" s="993"/>
      <c r="H928" s="993"/>
      <c r="I928" s="986"/>
      <c r="J928" s="523"/>
      <c r="K928" s="994"/>
      <c r="L928" s="995"/>
      <c r="M928" s="704"/>
      <c r="N928" s="704"/>
      <c r="O928" s="704"/>
      <c r="P928" s="957"/>
      <c r="Q928" s="957"/>
      <c r="R928" s="957"/>
      <c r="S928" s="957"/>
      <c r="T928" s="957"/>
      <c r="U928" s="957"/>
      <c r="V928" s="957"/>
      <c r="W928" s="957"/>
      <c r="X928" s="957"/>
      <c r="Y928" s="957"/>
      <c r="Z928" s="957"/>
      <c r="AA928" s="957"/>
      <c r="AB928" s="957"/>
      <c r="AC928" s="957"/>
      <c r="AD928" s="957"/>
    </row>
    <row r="929" ht="15.75" customHeight="1">
      <c r="A929" s="518"/>
      <c r="B929" s="517"/>
      <c r="C929" s="518"/>
      <c r="D929" s="992"/>
      <c r="E929" s="989"/>
      <c r="F929" s="989"/>
      <c r="G929" s="993"/>
      <c r="H929" s="993"/>
      <c r="I929" s="986"/>
      <c r="J929" s="523"/>
      <c r="K929" s="994"/>
      <c r="L929" s="995"/>
      <c r="M929" s="704"/>
      <c r="N929" s="704"/>
      <c r="O929" s="704"/>
      <c r="P929" s="957"/>
      <c r="Q929" s="957"/>
      <c r="R929" s="957"/>
      <c r="S929" s="957"/>
      <c r="T929" s="957"/>
      <c r="U929" s="957"/>
      <c r="V929" s="957"/>
      <c r="W929" s="957"/>
      <c r="X929" s="957"/>
      <c r="Y929" s="957"/>
      <c r="Z929" s="957"/>
      <c r="AA929" s="957"/>
      <c r="AB929" s="957"/>
      <c r="AC929" s="957"/>
      <c r="AD929" s="957"/>
    </row>
    <row r="930" ht="15.75" customHeight="1">
      <c r="A930" s="518"/>
      <c r="B930" s="517"/>
      <c r="C930" s="518"/>
      <c r="D930" s="992"/>
      <c r="E930" s="989"/>
      <c r="F930" s="989"/>
      <c r="G930" s="993"/>
      <c r="H930" s="993"/>
      <c r="I930" s="986"/>
      <c r="J930" s="523"/>
      <c r="K930" s="994"/>
      <c r="L930" s="995"/>
      <c r="M930" s="704"/>
      <c r="N930" s="704"/>
      <c r="O930" s="704"/>
      <c r="P930" s="957"/>
      <c r="Q930" s="957"/>
      <c r="R930" s="957"/>
      <c r="S930" s="957"/>
      <c r="T930" s="957"/>
      <c r="U930" s="957"/>
      <c r="V930" s="957"/>
      <c r="W930" s="957"/>
      <c r="X930" s="957"/>
      <c r="Y930" s="957"/>
      <c r="Z930" s="957"/>
      <c r="AA930" s="957"/>
      <c r="AB930" s="957"/>
      <c r="AC930" s="957"/>
      <c r="AD930" s="957"/>
    </row>
    <row r="931" ht="15.75" customHeight="1">
      <c r="A931" s="518"/>
      <c r="B931" s="517"/>
      <c r="C931" s="518"/>
      <c r="D931" s="992"/>
      <c r="E931" s="989"/>
      <c r="F931" s="989"/>
      <c r="G931" s="993"/>
      <c r="H931" s="993"/>
      <c r="I931" s="986"/>
      <c r="J931" s="523"/>
      <c r="K931" s="994"/>
      <c r="L931" s="995"/>
      <c r="M931" s="704"/>
      <c r="N931" s="704"/>
      <c r="O931" s="704"/>
      <c r="P931" s="957"/>
      <c r="Q931" s="957"/>
      <c r="R931" s="957"/>
      <c r="S931" s="957"/>
      <c r="T931" s="957"/>
      <c r="U931" s="957"/>
      <c r="V931" s="957"/>
      <c r="W931" s="957"/>
      <c r="X931" s="957"/>
      <c r="Y931" s="957"/>
      <c r="Z931" s="957"/>
      <c r="AA931" s="957"/>
      <c r="AB931" s="957"/>
      <c r="AC931" s="957"/>
      <c r="AD931" s="957"/>
    </row>
    <row r="932" ht="15.75" customHeight="1">
      <c r="A932" s="518"/>
      <c r="B932" s="517"/>
      <c r="C932" s="518"/>
      <c r="D932" s="992"/>
      <c r="E932" s="989"/>
      <c r="F932" s="989"/>
      <c r="G932" s="993"/>
      <c r="H932" s="993"/>
      <c r="I932" s="986"/>
      <c r="J932" s="523"/>
      <c r="K932" s="994"/>
      <c r="L932" s="995"/>
      <c r="M932" s="704"/>
      <c r="N932" s="704"/>
      <c r="O932" s="704"/>
      <c r="P932" s="957"/>
      <c r="Q932" s="957"/>
      <c r="R932" s="957"/>
      <c r="S932" s="957"/>
      <c r="T932" s="957"/>
      <c r="U932" s="957"/>
      <c r="V932" s="957"/>
      <c r="W932" s="957"/>
      <c r="X932" s="957"/>
      <c r="Y932" s="957"/>
      <c r="Z932" s="957"/>
      <c r="AA932" s="957"/>
      <c r="AB932" s="957"/>
      <c r="AC932" s="957"/>
      <c r="AD932" s="957"/>
    </row>
    <row r="933" ht="15.75" customHeight="1">
      <c r="A933" s="518"/>
      <c r="B933" s="517"/>
      <c r="C933" s="518"/>
      <c r="D933" s="992"/>
      <c r="E933" s="989"/>
      <c r="F933" s="989"/>
      <c r="G933" s="993"/>
      <c r="H933" s="993"/>
      <c r="I933" s="986"/>
      <c r="J933" s="523"/>
      <c r="K933" s="994"/>
      <c r="L933" s="995"/>
      <c r="M933" s="704"/>
      <c r="N933" s="704"/>
      <c r="O933" s="704"/>
      <c r="P933" s="957"/>
      <c r="Q933" s="957"/>
      <c r="R933" s="957"/>
      <c r="S933" s="957"/>
      <c r="T933" s="957"/>
      <c r="U933" s="957"/>
      <c r="V933" s="957"/>
      <c r="W933" s="957"/>
      <c r="X933" s="957"/>
      <c r="Y933" s="957"/>
      <c r="Z933" s="957"/>
      <c r="AA933" s="957"/>
      <c r="AB933" s="957"/>
      <c r="AC933" s="957"/>
      <c r="AD933" s="957"/>
    </row>
    <row r="934" ht="15.75" customHeight="1">
      <c r="A934" s="518"/>
      <c r="B934" s="517"/>
      <c r="C934" s="518"/>
      <c r="D934" s="992"/>
      <c r="E934" s="989"/>
      <c r="F934" s="989"/>
      <c r="G934" s="993"/>
      <c r="H934" s="993"/>
      <c r="I934" s="986"/>
      <c r="J934" s="523"/>
      <c r="K934" s="994"/>
      <c r="L934" s="995"/>
      <c r="M934" s="704"/>
      <c r="N934" s="704"/>
      <c r="O934" s="704"/>
      <c r="P934" s="957"/>
      <c r="Q934" s="957"/>
      <c r="R934" s="957"/>
      <c r="S934" s="957"/>
      <c r="T934" s="957"/>
      <c r="U934" s="957"/>
      <c r="V934" s="957"/>
      <c r="W934" s="957"/>
      <c r="X934" s="957"/>
      <c r="Y934" s="957"/>
      <c r="Z934" s="957"/>
      <c r="AA934" s="957"/>
      <c r="AB934" s="957"/>
      <c r="AC934" s="957"/>
      <c r="AD934" s="957"/>
    </row>
    <row r="935" ht="15.75" customHeight="1">
      <c r="A935" s="518"/>
      <c r="B935" s="517"/>
      <c r="C935" s="518"/>
      <c r="D935" s="992"/>
      <c r="E935" s="989"/>
      <c r="F935" s="989"/>
      <c r="G935" s="993"/>
      <c r="H935" s="993"/>
      <c r="I935" s="986"/>
      <c r="J935" s="523"/>
      <c r="K935" s="994"/>
      <c r="L935" s="995"/>
      <c r="M935" s="704"/>
      <c r="N935" s="704"/>
      <c r="O935" s="704"/>
      <c r="P935" s="957"/>
      <c r="Q935" s="957"/>
      <c r="R935" s="957"/>
      <c r="S935" s="957"/>
      <c r="T935" s="957"/>
      <c r="U935" s="957"/>
      <c r="V935" s="957"/>
      <c r="W935" s="957"/>
      <c r="X935" s="957"/>
      <c r="Y935" s="957"/>
      <c r="Z935" s="957"/>
      <c r="AA935" s="957"/>
      <c r="AB935" s="957"/>
      <c r="AC935" s="957"/>
      <c r="AD935" s="957"/>
    </row>
    <row r="936" ht="15.75" customHeight="1">
      <c r="A936" s="518"/>
      <c r="B936" s="517"/>
      <c r="C936" s="518"/>
      <c r="D936" s="992"/>
      <c r="E936" s="989"/>
      <c r="F936" s="989"/>
      <c r="G936" s="993"/>
      <c r="H936" s="993"/>
      <c r="I936" s="986"/>
      <c r="J936" s="523"/>
      <c r="K936" s="994"/>
      <c r="L936" s="995"/>
      <c r="M936" s="704"/>
      <c r="N936" s="704"/>
      <c r="O936" s="704"/>
      <c r="P936" s="957"/>
      <c r="Q936" s="957"/>
      <c r="R936" s="957"/>
      <c r="S936" s="957"/>
      <c r="T936" s="957"/>
      <c r="U936" s="957"/>
      <c r="V936" s="957"/>
      <c r="W936" s="957"/>
      <c r="X936" s="957"/>
      <c r="Y936" s="957"/>
      <c r="Z936" s="957"/>
      <c r="AA936" s="957"/>
      <c r="AB936" s="957"/>
      <c r="AC936" s="957"/>
      <c r="AD936" s="957"/>
    </row>
    <row r="937" ht="15.75" customHeight="1">
      <c r="A937" s="518"/>
      <c r="B937" s="517"/>
      <c r="C937" s="518"/>
      <c r="D937" s="992"/>
      <c r="E937" s="989"/>
      <c r="F937" s="989"/>
      <c r="G937" s="993"/>
      <c r="H937" s="993"/>
      <c r="I937" s="986"/>
      <c r="J937" s="523"/>
      <c r="K937" s="994"/>
      <c r="L937" s="995"/>
      <c r="M937" s="704"/>
      <c r="N937" s="704"/>
      <c r="O937" s="704"/>
      <c r="P937" s="957"/>
      <c r="Q937" s="957"/>
      <c r="R937" s="957"/>
      <c r="S937" s="957"/>
      <c r="T937" s="957"/>
      <c r="U937" s="957"/>
      <c r="V937" s="957"/>
      <c r="W937" s="957"/>
      <c r="X937" s="957"/>
      <c r="Y937" s="957"/>
      <c r="Z937" s="957"/>
      <c r="AA937" s="957"/>
      <c r="AB937" s="957"/>
      <c r="AC937" s="957"/>
      <c r="AD937" s="957"/>
    </row>
    <row r="938" ht="15.75" customHeight="1">
      <c r="A938" s="518"/>
      <c r="B938" s="517"/>
      <c r="C938" s="518"/>
      <c r="D938" s="992"/>
      <c r="E938" s="989"/>
      <c r="F938" s="989"/>
      <c r="G938" s="993"/>
      <c r="H938" s="993"/>
      <c r="I938" s="986"/>
      <c r="J938" s="523"/>
      <c r="K938" s="994"/>
      <c r="L938" s="995"/>
      <c r="M938" s="704"/>
      <c r="N938" s="704"/>
      <c r="O938" s="704"/>
      <c r="P938" s="957"/>
      <c r="Q938" s="957"/>
      <c r="R938" s="957"/>
      <c r="S938" s="957"/>
      <c r="T938" s="957"/>
      <c r="U938" s="957"/>
      <c r="V938" s="957"/>
      <c r="W938" s="957"/>
      <c r="X938" s="957"/>
      <c r="Y938" s="957"/>
      <c r="Z938" s="957"/>
      <c r="AA938" s="957"/>
      <c r="AB938" s="957"/>
      <c r="AC938" s="957"/>
      <c r="AD938" s="957"/>
    </row>
    <row r="939" ht="15.75" customHeight="1">
      <c r="A939" s="518"/>
      <c r="B939" s="517"/>
      <c r="C939" s="518"/>
      <c r="D939" s="992"/>
      <c r="E939" s="989"/>
      <c r="F939" s="989"/>
      <c r="G939" s="993"/>
      <c r="H939" s="993"/>
      <c r="I939" s="986"/>
      <c r="J939" s="523"/>
      <c r="K939" s="994"/>
      <c r="L939" s="995"/>
      <c r="M939" s="704"/>
      <c r="N939" s="704"/>
      <c r="O939" s="704"/>
      <c r="P939" s="957"/>
      <c r="Q939" s="957"/>
      <c r="R939" s="957"/>
      <c r="S939" s="957"/>
      <c r="T939" s="957"/>
      <c r="U939" s="957"/>
      <c r="V939" s="957"/>
      <c r="W939" s="957"/>
      <c r="X939" s="957"/>
      <c r="Y939" s="957"/>
      <c r="Z939" s="957"/>
      <c r="AA939" s="957"/>
      <c r="AB939" s="957"/>
      <c r="AC939" s="957"/>
      <c r="AD939" s="957"/>
    </row>
    <row r="940" ht="15.75" customHeight="1">
      <c r="A940" s="518"/>
      <c r="B940" s="517"/>
      <c r="C940" s="518"/>
      <c r="D940" s="992"/>
      <c r="E940" s="989"/>
      <c r="F940" s="989"/>
      <c r="G940" s="993"/>
      <c r="H940" s="993"/>
      <c r="I940" s="986"/>
      <c r="J940" s="523"/>
      <c r="K940" s="994"/>
      <c r="L940" s="995"/>
      <c r="M940" s="704"/>
      <c r="N940" s="704"/>
      <c r="O940" s="704"/>
      <c r="P940" s="957"/>
      <c r="Q940" s="957"/>
      <c r="R940" s="957"/>
      <c r="S940" s="957"/>
      <c r="T940" s="957"/>
      <c r="U940" s="957"/>
      <c r="V940" s="957"/>
      <c r="W940" s="957"/>
      <c r="X940" s="957"/>
      <c r="Y940" s="957"/>
      <c r="Z940" s="957"/>
      <c r="AA940" s="957"/>
      <c r="AB940" s="957"/>
      <c r="AC940" s="957"/>
      <c r="AD940" s="957"/>
    </row>
    <row r="941" ht="15.75" customHeight="1">
      <c r="A941" s="518"/>
      <c r="B941" s="517"/>
      <c r="C941" s="518"/>
      <c r="D941" s="992"/>
      <c r="E941" s="989"/>
      <c r="F941" s="989"/>
      <c r="G941" s="993"/>
      <c r="H941" s="993"/>
      <c r="I941" s="986"/>
      <c r="J941" s="523"/>
      <c r="K941" s="994"/>
      <c r="L941" s="995"/>
      <c r="M941" s="704"/>
      <c r="N941" s="704"/>
      <c r="O941" s="704"/>
      <c r="P941" s="957"/>
      <c r="Q941" s="957"/>
      <c r="R941" s="957"/>
      <c r="S941" s="957"/>
      <c r="T941" s="957"/>
      <c r="U941" s="957"/>
      <c r="V941" s="957"/>
      <c r="W941" s="957"/>
      <c r="X941" s="957"/>
      <c r="Y941" s="957"/>
      <c r="Z941" s="957"/>
      <c r="AA941" s="957"/>
      <c r="AB941" s="957"/>
      <c r="AC941" s="957"/>
      <c r="AD941" s="957"/>
    </row>
    <row r="942" ht="15.75" customHeight="1">
      <c r="A942" s="518"/>
      <c r="B942" s="517"/>
      <c r="C942" s="518"/>
      <c r="D942" s="992"/>
      <c r="E942" s="989"/>
      <c r="F942" s="989"/>
      <c r="G942" s="993"/>
      <c r="H942" s="993"/>
      <c r="I942" s="986"/>
      <c r="J942" s="523"/>
      <c r="K942" s="994"/>
      <c r="L942" s="995"/>
      <c r="M942" s="704"/>
      <c r="N942" s="704"/>
      <c r="O942" s="704"/>
      <c r="P942" s="957"/>
      <c r="Q942" s="957"/>
      <c r="R942" s="957"/>
      <c r="S942" s="957"/>
      <c r="T942" s="957"/>
      <c r="U942" s="957"/>
      <c r="V942" s="957"/>
      <c r="W942" s="957"/>
      <c r="X942" s="957"/>
      <c r="Y942" s="957"/>
      <c r="Z942" s="957"/>
      <c r="AA942" s="957"/>
      <c r="AB942" s="957"/>
      <c r="AC942" s="957"/>
      <c r="AD942" s="957"/>
    </row>
    <row r="943" ht="15.75" customHeight="1">
      <c r="A943" s="518"/>
      <c r="B943" s="517"/>
      <c r="C943" s="518"/>
      <c r="D943" s="992"/>
      <c r="E943" s="989"/>
      <c r="F943" s="989"/>
      <c r="G943" s="993"/>
      <c r="H943" s="993"/>
      <c r="I943" s="986"/>
      <c r="J943" s="523"/>
      <c r="K943" s="994"/>
      <c r="L943" s="995"/>
      <c r="M943" s="704"/>
      <c r="N943" s="704"/>
      <c r="O943" s="704"/>
      <c r="P943" s="957"/>
      <c r="Q943" s="957"/>
      <c r="R943" s="957"/>
      <c r="S943" s="957"/>
      <c r="T943" s="957"/>
      <c r="U943" s="957"/>
      <c r="V943" s="957"/>
      <c r="W943" s="957"/>
      <c r="X943" s="957"/>
      <c r="Y943" s="957"/>
      <c r="Z943" s="957"/>
      <c r="AA943" s="957"/>
      <c r="AB943" s="957"/>
      <c r="AC943" s="957"/>
      <c r="AD943" s="957"/>
    </row>
    <row r="944" ht="15.75" customHeight="1">
      <c r="A944" s="518"/>
      <c r="B944" s="517"/>
      <c r="C944" s="518"/>
      <c r="D944" s="992"/>
      <c r="E944" s="989"/>
      <c r="F944" s="989"/>
      <c r="G944" s="993"/>
      <c r="H944" s="993"/>
      <c r="I944" s="986"/>
      <c r="J944" s="523"/>
      <c r="K944" s="994"/>
      <c r="L944" s="995"/>
      <c r="M944" s="704"/>
      <c r="N944" s="704"/>
      <c r="O944" s="704"/>
      <c r="P944" s="957"/>
      <c r="Q944" s="957"/>
      <c r="R944" s="957"/>
      <c r="S944" s="957"/>
      <c r="T944" s="957"/>
      <c r="U944" s="957"/>
      <c r="V944" s="957"/>
      <c r="W944" s="957"/>
      <c r="X944" s="957"/>
      <c r="Y944" s="957"/>
      <c r="Z944" s="957"/>
      <c r="AA944" s="957"/>
      <c r="AB944" s="957"/>
      <c r="AC944" s="957"/>
      <c r="AD944" s="957"/>
    </row>
    <row r="945" ht="15.75" customHeight="1">
      <c r="A945" s="518"/>
      <c r="B945" s="517"/>
      <c r="C945" s="518"/>
      <c r="D945" s="992"/>
      <c r="E945" s="989"/>
      <c r="F945" s="989"/>
      <c r="G945" s="993"/>
      <c r="H945" s="993"/>
      <c r="I945" s="986"/>
      <c r="J945" s="523"/>
      <c r="K945" s="994"/>
      <c r="L945" s="995"/>
      <c r="M945" s="704"/>
      <c r="N945" s="704"/>
      <c r="O945" s="704"/>
      <c r="P945" s="957"/>
      <c r="Q945" s="957"/>
      <c r="R945" s="957"/>
      <c r="S945" s="957"/>
      <c r="T945" s="957"/>
      <c r="U945" s="957"/>
      <c r="V945" s="957"/>
      <c r="W945" s="957"/>
      <c r="X945" s="957"/>
      <c r="Y945" s="957"/>
      <c r="Z945" s="957"/>
      <c r="AA945" s="957"/>
      <c r="AB945" s="957"/>
      <c r="AC945" s="957"/>
      <c r="AD945" s="957"/>
    </row>
    <row r="946" ht="15.75" customHeight="1">
      <c r="A946" s="518"/>
      <c r="B946" s="517"/>
      <c r="C946" s="518"/>
      <c r="D946" s="992"/>
      <c r="E946" s="989"/>
      <c r="F946" s="989"/>
      <c r="G946" s="993"/>
      <c r="H946" s="993"/>
      <c r="I946" s="986"/>
      <c r="J946" s="523"/>
      <c r="K946" s="994"/>
      <c r="L946" s="995"/>
      <c r="M946" s="704"/>
      <c r="N946" s="704"/>
      <c r="O946" s="704"/>
      <c r="P946" s="957"/>
      <c r="Q946" s="957"/>
      <c r="R946" s="957"/>
      <c r="S946" s="957"/>
      <c r="T946" s="957"/>
      <c r="U946" s="957"/>
      <c r="V946" s="957"/>
      <c r="W946" s="957"/>
      <c r="X946" s="957"/>
      <c r="Y946" s="957"/>
      <c r="Z946" s="957"/>
      <c r="AA946" s="957"/>
      <c r="AB946" s="957"/>
      <c r="AC946" s="957"/>
      <c r="AD946" s="957"/>
    </row>
    <row r="947" ht="15.75" customHeight="1">
      <c r="A947" s="518"/>
      <c r="B947" s="517"/>
      <c r="C947" s="518"/>
      <c r="D947" s="992"/>
      <c r="E947" s="989"/>
      <c r="F947" s="989"/>
      <c r="G947" s="993"/>
      <c r="H947" s="993"/>
      <c r="I947" s="986"/>
      <c r="J947" s="523"/>
      <c r="K947" s="994"/>
      <c r="L947" s="995"/>
      <c r="M947" s="704"/>
      <c r="N947" s="704"/>
      <c r="O947" s="704"/>
      <c r="P947" s="957"/>
      <c r="Q947" s="957"/>
      <c r="R947" s="957"/>
      <c r="S947" s="957"/>
      <c r="T947" s="957"/>
      <c r="U947" s="957"/>
      <c r="V947" s="957"/>
      <c r="W947" s="957"/>
      <c r="X947" s="957"/>
      <c r="Y947" s="957"/>
      <c r="Z947" s="957"/>
      <c r="AA947" s="957"/>
      <c r="AB947" s="957"/>
      <c r="AC947" s="957"/>
      <c r="AD947" s="957"/>
    </row>
    <row r="948" ht="15.75" customHeight="1">
      <c r="A948" s="518"/>
      <c r="B948" s="517"/>
      <c r="C948" s="518"/>
      <c r="D948" s="992"/>
      <c r="E948" s="989"/>
      <c r="F948" s="989"/>
      <c r="G948" s="993"/>
      <c r="H948" s="993"/>
      <c r="I948" s="986"/>
      <c r="J948" s="523"/>
      <c r="K948" s="994"/>
      <c r="L948" s="995"/>
      <c r="M948" s="704"/>
      <c r="N948" s="704"/>
      <c r="O948" s="704"/>
      <c r="P948" s="957"/>
      <c r="Q948" s="957"/>
      <c r="R948" s="957"/>
      <c r="S948" s="957"/>
      <c r="T948" s="957"/>
      <c r="U948" s="957"/>
      <c r="V948" s="957"/>
      <c r="W948" s="957"/>
      <c r="X948" s="957"/>
      <c r="Y948" s="957"/>
      <c r="Z948" s="957"/>
      <c r="AA948" s="957"/>
      <c r="AB948" s="957"/>
      <c r="AC948" s="957"/>
      <c r="AD948" s="957"/>
    </row>
    <row r="949" ht="15.75" customHeight="1">
      <c r="A949" s="518"/>
      <c r="B949" s="517"/>
      <c r="C949" s="518"/>
      <c r="D949" s="992"/>
      <c r="E949" s="989"/>
      <c r="F949" s="989"/>
      <c r="G949" s="993"/>
      <c r="H949" s="993"/>
      <c r="I949" s="986"/>
      <c r="J949" s="523"/>
      <c r="K949" s="994"/>
      <c r="L949" s="995"/>
      <c r="M949" s="704"/>
      <c r="N949" s="704"/>
      <c r="O949" s="704"/>
      <c r="P949" s="957"/>
      <c r="Q949" s="957"/>
      <c r="R949" s="957"/>
      <c r="S949" s="957"/>
      <c r="T949" s="957"/>
      <c r="U949" s="957"/>
      <c r="V949" s="957"/>
      <c r="W949" s="957"/>
      <c r="X949" s="957"/>
      <c r="Y949" s="957"/>
      <c r="Z949" s="957"/>
      <c r="AA949" s="957"/>
      <c r="AB949" s="957"/>
      <c r="AC949" s="957"/>
      <c r="AD949" s="957"/>
    </row>
    <row r="950" ht="15.75" customHeight="1">
      <c r="A950" s="518"/>
      <c r="B950" s="517"/>
      <c r="C950" s="518"/>
      <c r="D950" s="992"/>
      <c r="E950" s="989"/>
      <c r="F950" s="989"/>
      <c r="G950" s="993"/>
      <c r="H950" s="993"/>
      <c r="I950" s="986"/>
      <c r="J950" s="523"/>
      <c r="K950" s="994"/>
      <c r="L950" s="995"/>
      <c r="M950" s="704"/>
      <c r="N950" s="704"/>
      <c r="O950" s="704"/>
      <c r="P950" s="957"/>
      <c r="Q950" s="957"/>
      <c r="R950" s="957"/>
      <c r="S950" s="957"/>
      <c r="T950" s="957"/>
      <c r="U950" s="957"/>
      <c r="V950" s="957"/>
      <c r="W950" s="957"/>
      <c r="X950" s="957"/>
      <c r="Y950" s="957"/>
      <c r="Z950" s="957"/>
      <c r="AA950" s="957"/>
      <c r="AB950" s="957"/>
      <c r="AC950" s="957"/>
      <c r="AD950" s="957"/>
    </row>
    <row r="951" ht="15.75" customHeight="1">
      <c r="A951" s="518"/>
      <c r="B951" s="517"/>
      <c r="C951" s="518"/>
      <c r="D951" s="992"/>
      <c r="E951" s="989"/>
      <c r="F951" s="989"/>
      <c r="G951" s="993"/>
      <c r="H951" s="993"/>
      <c r="I951" s="986"/>
      <c r="J951" s="523"/>
      <c r="K951" s="994"/>
      <c r="L951" s="995"/>
      <c r="M951" s="704"/>
      <c r="N951" s="704"/>
      <c r="O951" s="704"/>
      <c r="P951" s="957"/>
      <c r="Q951" s="957"/>
      <c r="R951" s="957"/>
      <c r="S951" s="957"/>
      <c r="T951" s="957"/>
      <c r="U951" s="957"/>
      <c r="V951" s="957"/>
      <c r="W951" s="957"/>
      <c r="X951" s="957"/>
      <c r="Y951" s="957"/>
      <c r="Z951" s="957"/>
      <c r="AA951" s="957"/>
      <c r="AB951" s="957"/>
      <c r="AC951" s="957"/>
      <c r="AD951" s="957"/>
    </row>
    <row r="952" ht="15.75" customHeight="1">
      <c r="A952" s="518"/>
      <c r="B952" s="517"/>
      <c r="C952" s="518"/>
      <c r="D952" s="992"/>
      <c r="E952" s="989"/>
      <c r="F952" s="989"/>
      <c r="G952" s="993"/>
      <c r="H952" s="993"/>
      <c r="I952" s="986"/>
      <c r="J952" s="523"/>
      <c r="K952" s="994"/>
      <c r="L952" s="995"/>
      <c r="M952" s="704"/>
      <c r="N952" s="704"/>
      <c r="O952" s="704"/>
      <c r="P952" s="957"/>
      <c r="Q952" s="957"/>
      <c r="R952" s="957"/>
      <c r="S952" s="957"/>
      <c r="T952" s="957"/>
      <c r="U952" s="957"/>
      <c r="V952" s="957"/>
      <c r="W952" s="957"/>
      <c r="X952" s="957"/>
      <c r="Y952" s="957"/>
      <c r="Z952" s="957"/>
      <c r="AA952" s="957"/>
      <c r="AB952" s="957"/>
      <c r="AC952" s="957"/>
      <c r="AD952" s="957"/>
    </row>
    <row r="953" ht="15.75" customHeight="1">
      <c r="A953" s="518"/>
      <c r="B953" s="517"/>
      <c r="C953" s="518"/>
      <c r="D953" s="992"/>
      <c r="E953" s="989"/>
      <c r="F953" s="989"/>
      <c r="G953" s="993"/>
      <c r="H953" s="993"/>
      <c r="I953" s="986"/>
      <c r="J953" s="523"/>
      <c r="K953" s="994"/>
      <c r="L953" s="995"/>
      <c r="M953" s="704"/>
      <c r="N953" s="704"/>
      <c r="O953" s="704"/>
      <c r="P953" s="957"/>
      <c r="Q953" s="957"/>
      <c r="R953" s="957"/>
      <c r="S953" s="957"/>
      <c r="T953" s="957"/>
      <c r="U953" s="957"/>
      <c r="V953" s="957"/>
      <c r="W953" s="957"/>
      <c r="X953" s="957"/>
      <c r="Y953" s="957"/>
      <c r="Z953" s="957"/>
      <c r="AA953" s="957"/>
      <c r="AB953" s="957"/>
      <c r="AC953" s="957"/>
      <c r="AD953" s="957"/>
    </row>
    <row r="954" ht="15.75" customHeight="1">
      <c r="A954" s="518"/>
      <c r="B954" s="517"/>
      <c r="C954" s="518"/>
      <c r="D954" s="992"/>
      <c r="E954" s="989"/>
      <c r="F954" s="989"/>
      <c r="G954" s="993"/>
      <c r="H954" s="993"/>
      <c r="I954" s="986"/>
      <c r="J954" s="523"/>
      <c r="K954" s="994"/>
      <c r="L954" s="995"/>
      <c r="M954" s="704"/>
      <c r="N954" s="704"/>
      <c r="O954" s="704"/>
      <c r="P954" s="957"/>
      <c r="Q954" s="957"/>
      <c r="R954" s="957"/>
      <c r="S954" s="957"/>
      <c r="T954" s="957"/>
      <c r="U954" s="957"/>
      <c r="V954" s="957"/>
      <c r="W954" s="957"/>
      <c r="X954" s="957"/>
      <c r="Y954" s="957"/>
      <c r="Z954" s="957"/>
      <c r="AA954" s="957"/>
      <c r="AB954" s="957"/>
      <c r="AC954" s="957"/>
      <c r="AD954" s="957"/>
    </row>
    <row r="955" ht="15.75" customHeight="1">
      <c r="A955" s="518"/>
      <c r="B955" s="517"/>
      <c r="C955" s="518"/>
      <c r="D955" s="992"/>
      <c r="E955" s="989"/>
      <c r="F955" s="989"/>
      <c r="G955" s="993"/>
      <c r="H955" s="993"/>
      <c r="I955" s="986"/>
      <c r="J955" s="523"/>
      <c r="K955" s="994"/>
      <c r="L955" s="995"/>
      <c r="M955" s="704"/>
      <c r="N955" s="704"/>
      <c r="O955" s="704"/>
      <c r="P955" s="957"/>
      <c r="Q955" s="957"/>
      <c r="R955" s="957"/>
      <c r="S955" s="957"/>
      <c r="T955" s="957"/>
      <c r="U955" s="957"/>
      <c r="V955" s="957"/>
      <c r="W955" s="957"/>
      <c r="X955" s="957"/>
      <c r="Y955" s="957"/>
      <c r="Z955" s="957"/>
      <c r="AA955" s="957"/>
      <c r="AB955" s="957"/>
      <c r="AC955" s="957"/>
      <c r="AD955" s="957"/>
    </row>
    <row r="956" ht="15.75" customHeight="1">
      <c r="A956" s="518"/>
      <c r="B956" s="517"/>
      <c r="C956" s="518"/>
      <c r="D956" s="992"/>
      <c r="E956" s="989"/>
      <c r="F956" s="989"/>
      <c r="G956" s="993"/>
      <c r="H956" s="993"/>
      <c r="I956" s="986"/>
      <c r="J956" s="523"/>
      <c r="K956" s="994"/>
      <c r="L956" s="995"/>
      <c r="M956" s="704"/>
      <c r="N956" s="704"/>
      <c r="O956" s="704"/>
      <c r="P956" s="957"/>
      <c r="Q956" s="957"/>
      <c r="R956" s="957"/>
      <c r="S956" s="957"/>
      <c r="T956" s="957"/>
      <c r="U956" s="957"/>
      <c r="V956" s="957"/>
      <c r="W956" s="957"/>
      <c r="X956" s="957"/>
      <c r="Y956" s="957"/>
      <c r="Z956" s="957"/>
      <c r="AA956" s="957"/>
      <c r="AB956" s="957"/>
      <c r="AC956" s="957"/>
      <c r="AD956" s="957"/>
    </row>
    <row r="957" ht="15.75" customHeight="1">
      <c r="A957" s="518"/>
      <c r="B957" s="517"/>
      <c r="C957" s="518"/>
      <c r="D957" s="992"/>
      <c r="E957" s="989"/>
      <c r="F957" s="989"/>
      <c r="G957" s="993"/>
      <c r="H957" s="993"/>
      <c r="I957" s="986"/>
      <c r="J957" s="523"/>
      <c r="K957" s="994"/>
      <c r="L957" s="995"/>
      <c r="M957" s="704"/>
      <c r="N957" s="704"/>
      <c r="O957" s="704"/>
      <c r="P957" s="957"/>
      <c r="Q957" s="957"/>
      <c r="R957" s="957"/>
      <c r="S957" s="957"/>
      <c r="T957" s="957"/>
      <c r="U957" s="957"/>
      <c r="V957" s="957"/>
      <c r="W957" s="957"/>
      <c r="X957" s="957"/>
      <c r="Y957" s="957"/>
      <c r="Z957" s="957"/>
      <c r="AA957" s="957"/>
      <c r="AB957" s="957"/>
      <c r="AC957" s="957"/>
      <c r="AD957" s="957"/>
    </row>
    <row r="958" ht="15.75" customHeight="1">
      <c r="A958" s="518"/>
      <c r="B958" s="517"/>
      <c r="C958" s="518"/>
      <c r="D958" s="992"/>
      <c r="E958" s="989"/>
      <c r="F958" s="989"/>
      <c r="G958" s="993"/>
      <c r="H958" s="993"/>
      <c r="I958" s="986"/>
      <c r="J958" s="523"/>
      <c r="K958" s="994"/>
      <c r="L958" s="995"/>
      <c r="M958" s="704"/>
      <c r="N958" s="704"/>
      <c r="O958" s="704"/>
      <c r="P958" s="957"/>
      <c r="Q958" s="957"/>
      <c r="R958" s="957"/>
      <c r="S958" s="957"/>
      <c r="T958" s="957"/>
      <c r="U958" s="957"/>
      <c r="V958" s="957"/>
      <c r="W958" s="957"/>
      <c r="X958" s="957"/>
      <c r="Y958" s="957"/>
      <c r="Z958" s="957"/>
      <c r="AA958" s="957"/>
      <c r="AB958" s="957"/>
      <c r="AC958" s="957"/>
      <c r="AD958" s="957"/>
    </row>
    <row r="959" ht="15.75" customHeight="1">
      <c r="A959" s="518"/>
      <c r="B959" s="517"/>
      <c r="C959" s="518"/>
      <c r="D959" s="992"/>
      <c r="E959" s="989"/>
      <c r="F959" s="989"/>
      <c r="G959" s="993"/>
      <c r="H959" s="993"/>
      <c r="I959" s="986"/>
      <c r="J959" s="523"/>
      <c r="K959" s="994"/>
      <c r="L959" s="995"/>
      <c r="M959" s="704"/>
      <c r="N959" s="704"/>
      <c r="O959" s="704"/>
      <c r="P959" s="957"/>
      <c r="Q959" s="957"/>
      <c r="R959" s="957"/>
      <c r="S959" s="957"/>
      <c r="T959" s="957"/>
      <c r="U959" s="957"/>
      <c r="V959" s="957"/>
      <c r="W959" s="957"/>
      <c r="X959" s="957"/>
      <c r="Y959" s="957"/>
      <c r="Z959" s="957"/>
      <c r="AA959" s="957"/>
      <c r="AB959" s="957"/>
      <c r="AC959" s="957"/>
      <c r="AD959" s="957"/>
    </row>
    <row r="960" ht="15.75" customHeight="1">
      <c r="A960" s="518"/>
      <c r="B960" s="517"/>
      <c r="C960" s="518"/>
      <c r="D960" s="992"/>
      <c r="E960" s="989"/>
      <c r="F960" s="989"/>
      <c r="G960" s="993"/>
      <c r="H960" s="993"/>
      <c r="I960" s="986"/>
      <c r="J960" s="523"/>
      <c r="K960" s="994"/>
      <c r="L960" s="995"/>
      <c r="M960" s="704"/>
      <c r="N960" s="704"/>
      <c r="O960" s="704"/>
      <c r="P960" s="957"/>
      <c r="Q960" s="957"/>
      <c r="R960" s="957"/>
      <c r="S960" s="957"/>
      <c r="T960" s="957"/>
      <c r="U960" s="957"/>
      <c r="V960" s="957"/>
      <c r="W960" s="957"/>
      <c r="X960" s="957"/>
      <c r="Y960" s="957"/>
      <c r="Z960" s="957"/>
      <c r="AA960" s="957"/>
      <c r="AB960" s="957"/>
      <c r="AC960" s="957"/>
      <c r="AD960" s="957"/>
    </row>
    <row r="961" ht="15.75" customHeight="1">
      <c r="A961" s="518"/>
      <c r="B961" s="517"/>
      <c r="C961" s="518"/>
      <c r="D961" s="992"/>
      <c r="E961" s="989"/>
      <c r="F961" s="989"/>
      <c r="G961" s="993"/>
      <c r="H961" s="993"/>
      <c r="I961" s="986"/>
      <c r="J961" s="523"/>
      <c r="K961" s="994"/>
      <c r="L961" s="995"/>
      <c r="M961" s="704"/>
      <c r="N961" s="704"/>
      <c r="O961" s="704"/>
      <c r="P961" s="957"/>
      <c r="Q961" s="957"/>
      <c r="R961" s="957"/>
      <c r="S961" s="957"/>
      <c r="T961" s="957"/>
      <c r="U961" s="957"/>
      <c r="V961" s="957"/>
      <c r="W961" s="957"/>
      <c r="X961" s="957"/>
      <c r="Y961" s="957"/>
      <c r="Z961" s="957"/>
      <c r="AA961" s="957"/>
      <c r="AB961" s="957"/>
      <c r="AC961" s="957"/>
      <c r="AD961" s="957"/>
    </row>
    <row r="962" ht="15.75" customHeight="1">
      <c r="A962" s="518"/>
      <c r="B962" s="517"/>
      <c r="C962" s="518"/>
      <c r="D962" s="992"/>
      <c r="E962" s="989"/>
      <c r="F962" s="989"/>
      <c r="G962" s="993"/>
      <c r="H962" s="993"/>
      <c r="I962" s="986"/>
      <c r="J962" s="523"/>
      <c r="K962" s="994"/>
      <c r="L962" s="995"/>
      <c r="M962" s="704"/>
      <c r="N962" s="704"/>
      <c r="O962" s="704"/>
      <c r="P962" s="957"/>
      <c r="Q962" s="957"/>
      <c r="R962" s="957"/>
      <c r="S962" s="957"/>
      <c r="T962" s="957"/>
      <c r="U962" s="957"/>
      <c r="V962" s="957"/>
      <c r="W962" s="957"/>
      <c r="X962" s="957"/>
      <c r="Y962" s="957"/>
      <c r="Z962" s="957"/>
      <c r="AA962" s="957"/>
      <c r="AB962" s="957"/>
      <c r="AC962" s="957"/>
      <c r="AD962" s="957"/>
    </row>
    <row r="963" ht="15.75" customHeight="1">
      <c r="A963" s="518"/>
      <c r="B963" s="517"/>
      <c r="C963" s="518"/>
      <c r="D963" s="992"/>
      <c r="E963" s="989"/>
      <c r="F963" s="989"/>
      <c r="G963" s="993"/>
      <c r="H963" s="993"/>
      <c r="I963" s="986"/>
      <c r="J963" s="523"/>
      <c r="K963" s="994"/>
      <c r="L963" s="995"/>
      <c r="M963" s="704"/>
      <c r="N963" s="704"/>
      <c r="O963" s="704"/>
      <c r="P963" s="957"/>
      <c r="Q963" s="957"/>
      <c r="R963" s="957"/>
      <c r="S963" s="957"/>
      <c r="T963" s="957"/>
      <c r="U963" s="957"/>
      <c r="V963" s="957"/>
      <c r="W963" s="957"/>
      <c r="X963" s="957"/>
      <c r="Y963" s="957"/>
      <c r="Z963" s="957"/>
      <c r="AA963" s="957"/>
      <c r="AB963" s="957"/>
      <c r="AC963" s="957"/>
      <c r="AD963" s="957"/>
    </row>
    <row r="964" ht="15.75" customHeight="1">
      <c r="A964" s="518"/>
      <c r="B964" s="517"/>
      <c r="C964" s="518"/>
      <c r="D964" s="992"/>
      <c r="E964" s="989"/>
      <c r="F964" s="989"/>
      <c r="G964" s="993"/>
      <c r="H964" s="993"/>
      <c r="I964" s="986"/>
      <c r="J964" s="523"/>
      <c r="K964" s="994"/>
      <c r="L964" s="995"/>
      <c r="M964" s="704"/>
      <c r="N964" s="704"/>
      <c r="O964" s="704"/>
      <c r="P964" s="957"/>
      <c r="Q964" s="957"/>
      <c r="R964" s="957"/>
      <c r="S964" s="957"/>
      <c r="T964" s="957"/>
      <c r="U964" s="957"/>
      <c r="V964" s="957"/>
      <c r="W964" s="957"/>
      <c r="X964" s="957"/>
      <c r="Y964" s="957"/>
      <c r="Z964" s="957"/>
      <c r="AA964" s="957"/>
      <c r="AB964" s="957"/>
      <c r="AC964" s="957"/>
      <c r="AD964" s="957"/>
    </row>
    <row r="965" ht="15.75" customHeight="1">
      <c r="A965" s="518"/>
      <c r="B965" s="517"/>
      <c r="C965" s="518"/>
      <c r="D965" s="992"/>
      <c r="E965" s="989"/>
      <c r="F965" s="989"/>
      <c r="G965" s="993"/>
      <c r="H965" s="993"/>
      <c r="I965" s="986"/>
      <c r="J965" s="523"/>
      <c r="K965" s="994"/>
      <c r="L965" s="995"/>
      <c r="M965" s="704"/>
      <c r="N965" s="704"/>
      <c r="O965" s="704"/>
      <c r="P965" s="957"/>
      <c r="Q965" s="957"/>
      <c r="R965" s="957"/>
      <c r="S965" s="957"/>
      <c r="T965" s="957"/>
      <c r="U965" s="957"/>
      <c r="V965" s="957"/>
      <c r="W965" s="957"/>
      <c r="X965" s="957"/>
      <c r="Y965" s="957"/>
      <c r="Z965" s="957"/>
      <c r="AA965" s="957"/>
      <c r="AB965" s="957"/>
      <c r="AC965" s="957"/>
      <c r="AD965" s="957"/>
    </row>
    <row r="966" ht="15.75" customHeight="1">
      <c r="A966" s="518"/>
      <c r="B966" s="517"/>
      <c r="C966" s="518"/>
      <c r="D966" s="992"/>
      <c r="E966" s="989"/>
      <c r="F966" s="989"/>
      <c r="G966" s="993"/>
      <c r="H966" s="993"/>
      <c r="I966" s="986"/>
      <c r="J966" s="523"/>
      <c r="K966" s="994"/>
      <c r="L966" s="995"/>
      <c r="M966" s="704"/>
      <c r="N966" s="704"/>
      <c r="O966" s="704"/>
      <c r="P966" s="957"/>
      <c r="Q966" s="957"/>
      <c r="R966" s="957"/>
      <c r="S966" s="957"/>
      <c r="T966" s="957"/>
      <c r="U966" s="957"/>
      <c r="V966" s="957"/>
      <c r="W966" s="957"/>
      <c r="X966" s="957"/>
      <c r="Y966" s="957"/>
      <c r="Z966" s="957"/>
      <c r="AA966" s="957"/>
      <c r="AB966" s="957"/>
      <c r="AC966" s="957"/>
      <c r="AD966" s="957"/>
    </row>
    <row r="967" ht="15.75" customHeight="1">
      <c r="A967" s="518"/>
      <c r="B967" s="517"/>
      <c r="C967" s="518"/>
      <c r="D967" s="992"/>
      <c r="E967" s="989"/>
      <c r="F967" s="989"/>
      <c r="G967" s="993"/>
      <c r="H967" s="993"/>
      <c r="I967" s="986"/>
      <c r="J967" s="523"/>
      <c r="K967" s="994"/>
      <c r="L967" s="995"/>
      <c r="M967" s="704"/>
      <c r="N967" s="704"/>
      <c r="O967" s="704"/>
      <c r="P967" s="957"/>
      <c r="Q967" s="957"/>
      <c r="R967" s="957"/>
      <c r="S967" s="957"/>
      <c r="T967" s="957"/>
      <c r="U967" s="957"/>
      <c r="V967" s="957"/>
      <c r="W967" s="957"/>
      <c r="X967" s="957"/>
      <c r="Y967" s="957"/>
      <c r="Z967" s="957"/>
      <c r="AA967" s="957"/>
      <c r="AB967" s="957"/>
      <c r="AC967" s="957"/>
      <c r="AD967" s="957"/>
    </row>
    <row r="968" ht="15.75" customHeight="1">
      <c r="A968" s="518"/>
      <c r="B968" s="517"/>
      <c r="C968" s="518"/>
      <c r="D968" s="992"/>
      <c r="E968" s="989"/>
      <c r="F968" s="989"/>
      <c r="G968" s="993"/>
      <c r="H968" s="993"/>
      <c r="I968" s="986"/>
      <c r="J968" s="523"/>
      <c r="K968" s="994"/>
      <c r="L968" s="995"/>
      <c r="M968" s="704"/>
      <c r="N968" s="704"/>
      <c r="O968" s="704"/>
      <c r="P968" s="957"/>
      <c r="Q968" s="957"/>
      <c r="R968" s="957"/>
      <c r="S968" s="957"/>
      <c r="T968" s="957"/>
      <c r="U968" s="957"/>
      <c r="V968" s="957"/>
      <c r="W968" s="957"/>
      <c r="X968" s="957"/>
      <c r="Y968" s="957"/>
      <c r="Z968" s="957"/>
      <c r="AA968" s="957"/>
      <c r="AB968" s="957"/>
      <c r="AC968" s="957"/>
      <c r="AD968" s="957"/>
    </row>
    <row r="969" ht="15.75" customHeight="1">
      <c r="A969" s="518"/>
      <c r="B969" s="517"/>
      <c r="C969" s="518"/>
      <c r="D969" s="992"/>
      <c r="E969" s="989"/>
      <c r="F969" s="989"/>
      <c r="G969" s="993"/>
      <c r="H969" s="993"/>
      <c r="I969" s="986"/>
      <c r="J969" s="523"/>
      <c r="K969" s="994"/>
      <c r="L969" s="995"/>
      <c r="M969" s="704"/>
      <c r="N969" s="704"/>
      <c r="O969" s="704"/>
      <c r="P969" s="957"/>
      <c r="Q969" s="957"/>
      <c r="R969" s="957"/>
      <c r="S969" s="957"/>
      <c r="T969" s="957"/>
      <c r="U969" s="957"/>
      <c r="V969" s="957"/>
      <c r="W969" s="957"/>
      <c r="X969" s="957"/>
      <c r="Y969" s="957"/>
      <c r="Z969" s="957"/>
      <c r="AA969" s="957"/>
      <c r="AB969" s="957"/>
      <c r="AC969" s="957"/>
      <c r="AD969" s="957"/>
    </row>
    <row r="970" ht="15.75" customHeight="1">
      <c r="A970" s="518"/>
      <c r="B970" s="517"/>
      <c r="C970" s="518"/>
      <c r="D970" s="992"/>
      <c r="E970" s="989"/>
      <c r="F970" s="989"/>
      <c r="G970" s="993"/>
      <c r="H970" s="993"/>
      <c r="I970" s="986"/>
      <c r="J970" s="523"/>
      <c r="K970" s="994"/>
      <c r="L970" s="995"/>
      <c r="M970" s="704"/>
      <c r="N970" s="704"/>
      <c r="O970" s="704"/>
      <c r="P970" s="957"/>
      <c r="Q970" s="957"/>
      <c r="R970" s="957"/>
      <c r="S970" s="957"/>
      <c r="T970" s="957"/>
      <c r="U970" s="957"/>
      <c r="V970" s="957"/>
      <c r="W970" s="957"/>
      <c r="X970" s="957"/>
      <c r="Y970" s="957"/>
      <c r="Z970" s="957"/>
      <c r="AA970" s="957"/>
      <c r="AB970" s="957"/>
      <c r="AC970" s="957"/>
      <c r="AD970" s="957"/>
    </row>
    <row r="971" ht="15.75" customHeight="1">
      <c r="A971" s="518"/>
      <c r="B971" s="517"/>
      <c r="C971" s="518"/>
      <c r="D971" s="992"/>
      <c r="E971" s="989"/>
      <c r="F971" s="989"/>
      <c r="G971" s="993"/>
      <c r="H971" s="993"/>
      <c r="I971" s="986"/>
      <c r="J971" s="523"/>
      <c r="K971" s="994"/>
      <c r="L971" s="995"/>
      <c r="M971" s="704"/>
      <c r="N971" s="704"/>
      <c r="O971" s="704"/>
      <c r="P971" s="957"/>
      <c r="Q971" s="957"/>
      <c r="R971" s="957"/>
      <c r="S971" s="957"/>
      <c r="T971" s="957"/>
      <c r="U971" s="957"/>
      <c r="V971" s="957"/>
      <c r="W971" s="957"/>
      <c r="X971" s="957"/>
      <c r="Y971" s="957"/>
      <c r="Z971" s="957"/>
      <c r="AA971" s="957"/>
      <c r="AB971" s="957"/>
      <c r="AC971" s="957"/>
      <c r="AD971" s="957"/>
    </row>
    <row r="972" ht="15.75" customHeight="1">
      <c r="A972" s="518"/>
      <c r="B972" s="517"/>
      <c r="C972" s="518"/>
      <c r="D972" s="992"/>
      <c r="E972" s="989"/>
      <c r="F972" s="989"/>
      <c r="G972" s="993"/>
      <c r="H972" s="993"/>
      <c r="I972" s="986"/>
      <c r="J972" s="523"/>
      <c r="K972" s="994"/>
      <c r="L972" s="995"/>
      <c r="M972" s="704"/>
      <c r="N972" s="704"/>
      <c r="O972" s="704"/>
      <c r="P972" s="957"/>
      <c r="Q972" s="957"/>
      <c r="R972" s="957"/>
      <c r="S972" s="957"/>
      <c r="T972" s="957"/>
      <c r="U972" s="957"/>
      <c r="V972" s="957"/>
      <c r="W972" s="957"/>
      <c r="X972" s="957"/>
      <c r="Y972" s="957"/>
      <c r="Z972" s="957"/>
      <c r="AA972" s="957"/>
      <c r="AB972" s="957"/>
      <c r="AC972" s="957"/>
      <c r="AD972" s="957"/>
    </row>
    <row r="973" ht="15.75" customHeight="1">
      <c r="A973" s="518"/>
      <c r="B973" s="517"/>
      <c r="C973" s="518"/>
      <c r="D973" s="992"/>
      <c r="E973" s="989"/>
      <c r="F973" s="989"/>
      <c r="G973" s="993"/>
      <c r="H973" s="993"/>
      <c r="I973" s="986"/>
      <c r="J973" s="523"/>
      <c r="K973" s="994"/>
      <c r="L973" s="995"/>
      <c r="M973" s="704"/>
      <c r="N973" s="704"/>
      <c r="O973" s="704"/>
      <c r="P973" s="957"/>
      <c r="Q973" s="957"/>
      <c r="R973" s="957"/>
      <c r="S973" s="957"/>
      <c r="T973" s="957"/>
      <c r="U973" s="957"/>
      <c r="V973" s="957"/>
      <c r="W973" s="957"/>
      <c r="X973" s="957"/>
      <c r="Y973" s="957"/>
      <c r="Z973" s="957"/>
      <c r="AA973" s="957"/>
      <c r="AB973" s="957"/>
      <c r="AC973" s="957"/>
      <c r="AD973" s="957"/>
    </row>
    <row r="974" ht="15.75" customHeight="1">
      <c r="A974" s="518"/>
      <c r="B974" s="517"/>
      <c r="C974" s="518"/>
      <c r="D974" s="992"/>
      <c r="E974" s="989"/>
      <c r="F974" s="989"/>
      <c r="G974" s="993"/>
      <c r="H974" s="993"/>
      <c r="I974" s="986"/>
      <c r="J974" s="523"/>
      <c r="K974" s="994"/>
      <c r="L974" s="995"/>
      <c r="M974" s="704"/>
      <c r="N974" s="704"/>
      <c r="O974" s="704"/>
      <c r="P974" s="957"/>
      <c r="Q974" s="957"/>
      <c r="R974" s="957"/>
      <c r="S974" s="957"/>
      <c r="T974" s="957"/>
      <c r="U974" s="957"/>
      <c r="V974" s="957"/>
      <c r="W974" s="957"/>
      <c r="X974" s="957"/>
      <c r="Y974" s="957"/>
      <c r="Z974" s="957"/>
      <c r="AA974" s="957"/>
      <c r="AB974" s="957"/>
      <c r="AC974" s="957"/>
      <c r="AD974" s="957"/>
    </row>
    <row r="975" ht="15.75" customHeight="1">
      <c r="A975" s="518"/>
      <c r="B975" s="517"/>
      <c r="C975" s="518"/>
      <c r="D975" s="992"/>
      <c r="E975" s="989"/>
      <c r="F975" s="989"/>
      <c r="G975" s="993"/>
      <c r="H975" s="993"/>
      <c r="I975" s="986"/>
      <c r="J975" s="523"/>
      <c r="K975" s="994"/>
      <c r="L975" s="995"/>
      <c r="M975" s="704"/>
      <c r="N975" s="704"/>
      <c r="O975" s="704"/>
      <c r="P975" s="957"/>
      <c r="Q975" s="957"/>
      <c r="R975" s="957"/>
      <c r="S975" s="957"/>
      <c r="T975" s="957"/>
      <c r="U975" s="957"/>
      <c r="V975" s="957"/>
      <c r="W975" s="957"/>
      <c r="X975" s="957"/>
      <c r="Y975" s="957"/>
      <c r="Z975" s="957"/>
      <c r="AA975" s="957"/>
      <c r="AB975" s="957"/>
      <c r="AC975" s="957"/>
      <c r="AD975" s="957"/>
    </row>
    <row r="976" ht="15.75" customHeight="1">
      <c r="A976" s="518"/>
      <c r="B976" s="517"/>
      <c r="C976" s="518"/>
      <c r="D976" s="992"/>
      <c r="E976" s="989"/>
      <c r="F976" s="989"/>
      <c r="G976" s="993"/>
      <c r="H976" s="993"/>
      <c r="I976" s="986"/>
      <c r="J976" s="523"/>
      <c r="K976" s="994"/>
      <c r="L976" s="995"/>
      <c r="M976" s="704"/>
      <c r="N976" s="704"/>
      <c r="O976" s="704"/>
      <c r="P976" s="957"/>
      <c r="Q976" s="957"/>
      <c r="R976" s="957"/>
      <c r="S976" s="957"/>
      <c r="T976" s="957"/>
      <c r="U976" s="957"/>
      <c r="V976" s="957"/>
      <c r="W976" s="957"/>
      <c r="X976" s="957"/>
      <c r="Y976" s="957"/>
      <c r="Z976" s="957"/>
      <c r="AA976" s="957"/>
      <c r="AB976" s="957"/>
      <c r="AC976" s="957"/>
      <c r="AD976" s="957"/>
    </row>
    <row r="977" ht="15.75" customHeight="1">
      <c r="A977" s="518"/>
      <c r="B977" s="517"/>
      <c r="C977" s="518"/>
      <c r="D977" s="992"/>
      <c r="E977" s="989"/>
      <c r="F977" s="989"/>
      <c r="G977" s="993"/>
      <c r="H977" s="993"/>
      <c r="I977" s="986"/>
      <c r="J977" s="523"/>
      <c r="K977" s="994"/>
      <c r="L977" s="995"/>
      <c r="M977" s="704"/>
      <c r="N977" s="704"/>
      <c r="O977" s="704"/>
      <c r="P977" s="957"/>
      <c r="Q977" s="957"/>
      <c r="R977" s="957"/>
      <c r="S977" s="957"/>
      <c r="T977" s="957"/>
      <c r="U977" s="957"/>
      <c r="V977" s="957"/>
      <c r="W977" s="957"/>
      <c r="X977" s="957"/>
      <c r="Y977" s="957"/>
      <c r="Z977" s="957"/>
      <c r="AA977" s="957"/>
      <c r="AB977" s="957"/>
      <c r="AC977" s="957"/>
      <c r="AD977" s="957"/>
    </row>
    <row r="978" ht="15.75" customHeight="1">
      <c r="A978" s="518"/>
      <c r="B978" s="517"/>
      <c r="C978" s="518"/>
      <c r="D978" s="992"/>
      <c r="E978" s="989"/>
      <c r="F978" s="989"/>
      <c r="G978" s="993"/>
      <c r="H978" s="993"/>
      <c r="I978" s="986"/>
      <c r="J978" s="523"/>
      <c r="K978" s="994"/>
      <c r="L978" s="995"/>
      <c r="M978" s="704"/>
      <c r="N978" s="704"/>
      <c r="O978" s="704"/>
      <c r="P978" s="957"/>
      <c r="Q978" s="957"/>
      <c r="R978" s="957"/>
      <c r="S978" s="957"/>
      <c r="T978" s="957"/>
      <c r="U978" s="957"/>
      <c r="V978" s="957"/>
      <c r="W978" s="957"/>
      <c r="X978" s="957"/>
      <c r="Y978" s="957"/>
      <c r="Z978" s="957"/>
      <c r="AA978" s="957"/>
      <c r="AB978" s="957"/>
      <c r="AC978" s="957"/>
      <c r="AD978" s="957"/>
    </row>
    <row r="979" ht="15.75" customHeight="1">
      <c r="A979" s="518"/>
      <c r="B979" s="517"/>
      <c r="C979" s="518"/>
      <c r="D979" s="992"/>
      <c r="E979" s="989"/>
      <c r="F979" s="989"/>
      <c r="G979" s="993"/>
      <c r="H979" s="993"/>
      <c r="I979" s="986"/>
      <c r="J979" s="523"/>
      <c r="K979" s="994"/>
      <c r="L979" s="995"/>
      <c r="M979" s="704"/>
      <c r="N979" s="704"/>
      <c r="O979" s="704"/>
      <c r="P979" s="957"/>
      <c r="Q979" s="957"/>
      <c r="R979" s="957"/>
      <c r="S979" s="957"/>
      <c r="T979" s="957"/>
      <c r="U979" s="957"/>
      <c r="V979" s="957"/>
      <c r="W979" s="957"/>
      <c r="X979" s="957"/>
      <c r="Y979" s="957"/>
      <c r="Z979" s="957"/>
      <c r="AA979" s="957"/>
      <c r="AB979" s="957"/>
      <c r="AC979" s="957"/>
      <c r="AD979" s="957"/>
    </row>
    <row r="980" ht="15.75" customHeight="1">
      <c r="A980" s="518"/>
      <c r="B980" s="517"/>
      <c r="C980" s="518"/>
      <c r="D980" s="992"/>
      <c r="E980" s="989"/>
      <c r="F980" s="989"/>
      <c r="G980" s="993"/>
      <c r="H980" s="993"/>
      <c r="I980" s="986"/>
      <c r="J980" s="523"/>
      <c r="K980" s="994"/>
      <c r="L980" s="995"/>
      <c r="M980" s="704"/>
      <c r="N980" s="704"/>
      <c r="O980" s="704"/>
      <c r="P980" s="957"/>
      <c r="Q980" s="957"/>
      <c r="R980" s="957"/>
      <c r="S980" s="957"/>
      <c r="T980" s="957"/>
      <c r="U980" s="957"/>
      <c r="V980" s="957"/>
      <c r="W980" s="957"/>
      <c r="X980" s="957"/>
      <c r="Y980" s="957"/>
      <c r="Z980" s="957"/>
      <c r="AA980" s="957"/>
      <c r="AB980" s="957"/>
      <c r="AC980" s="957"/>
      <c r="AD980" s="957"/>
    </row>
    <row r="981" ht="15.75" customHeight="1">
      <c r="A981" s="518"/>
      <c r="B981" s="517"/>
      <c r="C981" s="518"/>
      <c r="D981" s="992"/>
      <c r="E981" s="989"/>
      <c r="F981" s="989"/>
      <c r="G981" s="993"/>
      <c r="H981" s="993"/>
      <c r="I981" s="986"/>
      <c r="J981" s="523"/>
      <c r="K981" s="994"/>
      <c r="L981" s="995"/>
      <c r="M981" s="704"/>
      <c r="N981" s="704"/>
      <c r="O981" s="704"/>
      <c r="P981" s="957"/>
      <c r="Q981" s="957"/>
      <c r="R981" s="957"/>
      <c r="S981" s="957"/>
      <c r="T981" s="957"/>
      <c r="U981" s="957"/>
      <c r="V981" s="957"/>
      <c r="W981" s="957"/>
      <c r="X981" s="957"/>
      <c r="Y981" s="957"/>
      <c r="Z981" s="957"/>
      <c r="AA981" s="957"/>
      <c r="AB981" s="957"/>
      <c r="AC981" s="957"/>
      <c r="AD981" s="957"/>
    </row>
    <row r="982" ht="15.75" customHeight="1">
      <c r="A982" s="518"/>
      <c r="B982" s="517"/>
      <c r="C982" s="518"/>
      <c r="D982" s="992"/>
      <c r="E982" s="989"/>
      <c r="F982" s="989"/>
      <c r="G982" s="993"/>
      <c r="H982" s="993"/>
      <c r="I982" s="986"/>
      <c r="J982" s="523"/>
      <c r="K982" s="994"/>
      <c r="L982" s="995"/>
      <c r="M982" s="704"/>
      <c r="N982" s="704"/>
      <c r="O982" s="704"/>
      <c r="P982" s="957"/>
      <c r="Q982" s="957"/>
      <c r="R982" s="957"/>
      <c r="S982" s="957"/>
      <c r="T982" s="957"/>
      <c r="U982" s="957"/>
      <c r="V982" s="957"/>
      <c r="W982" s="957"/>
      <c r="X982" s="957"/>
      <c r="Y982" s="957"/>
      <c r="Z982" s="957"/>
      <c r="AA982" s="957"/>
      <c r="AB982" s="957"/>
      <c r="AC982" s="957"/>
      <c r="AD982" s="957"/>
    </row>
    <row r="983" ht="15.75" customHeight="1">
      <c r="A983" s="518"/>
      <c r="B983" s="517"/>
      <c r="C983" s="518"/>
      <c r="D983" s="992"/>
      <c r="E983" s="989"/>
      <c r="F983" s="989"/>
      <c r="G983" s="993"/>
      <c r="H983" s="993"/>
      <c r="I983" s="986"/>
      <c r="J983" s="523"/>
      <c r="K983" s="994"/>
      <c r="L983" s="995"/>
      <c r="M983" s="704"/>
      <c r="N983" s="704"/>
      <c r="O983" s="704"/>
      <c r="P983" s="957"/>
      <c r="Q983" s="957"/>
      <c r="R983" s="957"/>
      <c r="S983" s="957"/>
      <c r="T983" s="957"/>
      <c r="U983" s="957"/>
      <c r="V983" s="957"/>
      <c r="W983" s="957"/>
      <c r="X983" s="957"/>
      <c r="Y983" s="957"/>
      <c r="Z983" s="957"/>
      <c r="AA983" s="957"/>
      <c r="AB983" s="957"/>
      <c r="AC983" s="957"/>
      <c r="AD983" s="957"/>
    </row>
    <row r="984" ht="15.75" customHeight="1">
      <c r="A984" s="518"/>
      <c r="B984" s="517"/>
      <c r="C984" s="518"/>
      <c r="D984" s="992"/>
      <c r="E984" s="989"/>
      <c r="F984" s="989"/>
      <c r="G984" s="993"/>
      <c r="H984" s="993"/>
      <c r="I984" s="986"/>
      <c r="J984" s="523"/>
      <c r="K984" s="994"/>
      <c r="L984" s="995"/>
      <c r="M984" s="704"/>
      <c r="N984" s="704"/>
      <c r="O984" s="704"/>
      <c r="P984" s="957"/>
      <c r="Q984" s="957"/>
      <c r="R984" s="957"/>
      <c r="S984" s="957"/>
      <c r="T984" s="957"/>
      <c r="U984" s="957"/>
      <c r="V984" s="957"/>
      <c r="W984" s="957"/>
      <c r="X984" s="957"/>
      <c r="Y984" s="957"/>
      <c r="Z984" s="957"/>
      <c r="AA984" s="957"/>
      <c r="AB984" s="957"/>
      <c r="AC984" s="957"/>
      <c r="AD984" s="957"/>
    </row>
    <row r="985" ht="15.75" customHeight="1">
      <c r="A985" s="518"/>
      <c r="B985" s="517"/>
      <c r="C985" s="518"/>
      <c r="D985" s="992"/>
      <c r="E985" s="989"/>
      <c r="F985" s="989"/>
      <c r="G985" s="993"/>
      <c r="H985" s="993"/>
      <c r="I985" s="986"/>
      <c r="J985" s="523"/>
      <c r="K985" s="994"/>
      <c r="L985" s="995"/>
      <c r="M985" s="704"/>
      <c r="N985" s="704"/>
      <c r="O985" s="704"/>
      <c r="P985" s="957"/>
      <c r="Q985" s="957"/>
      <c r="R985" s="957"/>
      <c r="S985" s="957"/>
      <c r="T985" s="957"/>
      <c r="U985" s="957"/>
      <c r="V985" s="957"/>
      <c r="W985" s="957"/>
      <c r="X985" s="957"/>
      <c r="Y985" s="957"/>
      <c r="Z985" s="957"/>
      <c r="AA985" s="957"/>
      <c r="AB985" s="957"/>
      <c r="AC985" s="957"/>
      <c r="AD985" s="957"/>
    </row>
    <row r="986" ht="15.75" customHeight="1">
      <c r="A986" s="518"/>
      <c r="B986" s="517"/>
      <c r="C986" s="518"/>
      <c r="D986" s="992"/>
      <c r="E986" s="989"/>
      <c r="F986" s="989"/>
      <c r="G986" s="993"/>
      <c r="H986" s="993"/>
      <c r="I986" s="986"/>
      <c r="J986" s="523"/>
      <c r="K986" s="994"/>
      <c r="L986" s="995"/>
      <c r="M986" s="704"/>
      <c r="N986" s="704"/>
      <c r="O986" s="704"/>
      <c r="P986" s="957"/>
      <c r="Q986" s="957"/>
      <c r="R986" s="957"/>
      <c r="S986" s="957"/>
      <c r="T986" s="957"/>
      <c r="U986" s="957"/>
      <c r="V986" s="957"/>
      <c r="W986" s="957"/>
      <c r="X986" s="957"/>
      <c r="Y986" s="957"/>
      <c r="Z986" s="957"/>
      <c r="AA986" s="957"/>
      <c r="AB986" s="957"/>
      <c r="AC986" s="957"/>
      <c r="AD986" s="957"/>
    </row>
    <row r="987" ht="15.75" customHeight="1">
      <c r="A987" s="518"/>
      <c r="B987" s="517"/>
      <c r="C987" s="518"/>
      <c r="D987" s="992"/>
      <c r="E987" s="989"/>
      <c r="F987" s="989"/>
      <c r="G987" s="993"/>
      <c r="H987" s="993"/>
      <c r="I987" s="986"/>
      <c r="J987" s="523"/>
      <c r="K987" s="994"/>
      <c r="L987" s="995"/>
      <c r="M987" s="704"/>
      <c r="N987" s="704"/>
      <c r="O987" s="704"/>
      <c r="P987" s="957"/>
      <c r="Q987" s="957"/>
      <c r="R987" s="957"/>
      <c r="S987" s="957"/>
      <c r="T987" s="957"/>
      <c r="U987" s="957"/>
      <c r="V987" s="957"/>
      <c r="W987" s="957"/>
      <c r="X987" s="957"/>
      <c r="Y987" s="957"/>
      <c r="Z987" s="957"/>
      <c r="AA987" s="957"/>
      <c r="AB987" s="957"/>
      <c r="AC987" s="957"/>
      <c r="AD987" s="957"/>
    </row>
    <row r="988" ht="15.75" customHeight="1">
      <c r="A988" s="518"/>
      <c r="B988" s="517"/>
      <c r="C988" s="518"/>
      <c r="D988" s="992"/>
      <c r="E988" s="989"/>
      <c r="F988" s="989"/>
      <c r="G988" s="993"/>
      <c r="H988" s="993"/>
      <c r="I988" s="986"/>
      <c r="J988" s="523"/>
      <c r="K988" s="994"/>
      <c r="L988" s="995"/>
      <c r="M988" s="704"/>
      <c r="N988" s="704"/>
      <c r="O988" s="704"/>
      <c r="P988" s="957"/>
      <c r="Q988" s="957"/>
      <c r="R988" s="957"/>
      <c r="S988" s="957"/>
      <c r="T988" s="957"/>
      <c r="U988" s="957"/>
      <c r="V988" s="957"/>
      <c r="W988" s="957"/>
      <c r="X988" s="957"/>
      <c r="Y988" s="957"/>
      <c r="Z988" s="957"/>
      <c r="AA988" s="957"/>
      <c r="AB988" s="957"/>
      <c r="AC988" s="957"/>
      <c r="AD988" s="957"/>
    </row>
    <row r="989" ht="15.75" customHeight="1">
      <c r="A989" s="518"/>
      <c r="B989" s="517"/>
      <c r="C989" s="518"/>
      <c r="D989" s="992"/>
      <c r="E989" s="989"/>
      <c r="F989" s="989"/>
      <c r="G989" s="993"/>
      <c r="H989" s="993"/>
      <c r="I989" s="986"/>
      <c r="J989" s="523"/>
      <c r="K989" s="994"/>
      <c r="L989" s="995"/>
      <c r="M989" s="704"/>
      <c r="N989" s="704"/>
      <c r="O989" s="704"/>
      <c r="P989" s="957"/>
      <c r="Q989" s="957"/>
      <c r="R989" s="957"/>
      <c r="S989" s="957"/>
      <c r="T989" s="957"/>
      <c r="U989" s="957"/>
      <c r="V989" s="957"/>
      <c r="W989" s="957"/>
      <c r="X989" s="957"/>
      <c r="Y989" s="957"/>
      <c r="Z989" s="957"/>
      <c r="AA989" s="957"/>
      <c r="AB989" s="957"/>
      <c r="AC989" s="957"/>
      <c r="AD989" s="957"/>
    </row>
    <row r="990" ht="15.75" customHeight="1">
      <c r="A990" s="518"/>
      <c r="B990" s="517"/>
      <c r="C990" s="518"/>
      <c r="D990" s="992"/>
      <c r="E990" s="989"/>
      <c r="F990" s="989"/>
      <c r="G990" s="993"/>
      <c r="H990" s="993"/>
      <c r="I990" s="986"/>
      <c r="J990" s="523"/>
      <c r="K990" s="994"/>
      <c r="L990" s="995"/>
      <c r="M990" s="704"/>
      <c r="N990" s="704"/>
      <c r="O990" s="704"/>
      <c r="P990" s="957"/>
      <c r="Q990" s="957"/>
      <c r="R990" s="957"/>
      <c r="S990" s="957"/>
      <c r="T990" s="957"/>
      <c r="U990" s="957"/>
      <c r="V990" s="957"/>
      <c r="W990" s="957"/>
      <c r="X990" s="957"/>
      <c r="Y990" s="957"/>
      <c r="Z990" s="957"/>
      <c r="AA990" s="957"/>
      <c r="AB990" s="957"/>
      <c r="AC990" s="957"/>
      <c r="AD990" s="957"/>
    </row>
    <row r="991" ht="15.75" customHeight="1">
      <c r="A991" s="518"/>
      <c r="B991" s="517"/>
      <c r="C991" s="518"/>
      <c r="D991" s="992"/>
      <c r="E991" s="989"/>
      <c r="F991" s="989"/>
      <c r="G991" s="993"/>
      <c r="H991" s="993"/>
      <c r="I991" s="986"/>
      <c r="J991" s="523"/>
      <c r="K991" s="994"/>
      <c r="L991" s="995"/>
      <c r="M991" s="704"/>
      <c r="N991" s="704"/>
      <c r="O991" s="704"/>
      <c r="P991" s="957"/>
      <c r="Q991" s="957"/>
      <c r="R991" s="957"/>
      <c r="S991" s="957"/>
      <c r="T991" s="957"/>
      <c r="U991" s="957"/>
      <c r="V991" s="957"/>
      <c r="W991" s="957"/>
      <c r="X991" s="957"/>
      <c r="Y991" s="957"/>
      <c r="Z991" s="957"/>
      <c r="AA991" s="957"/>
      <c r="AB991" s="957"/>
      <c r="AC991" s="957"/>
      <c r="AD991" s="957"/>
    </row>
    <row r="992" ht="15.75" customHeight="1">
      <c r="A992" s="518"/>
      <c r="B992" s="517"/>
      <c r="C992" s="518"/>
      <c r="D992" s="992"/>
      <c r="E992" s="989"/>
      <c r="F992" s="989"/>
      <c r="G992" s="993"/>
      <c r="H992" s="993"/>
      <c r="I992" s="986"/>
      <c r="J992" s="523"/>
      <c r="K992" s="994"/>
      <c r="L992" s="995"/>
      <c r="M992" s="704"/>
      <c r="N992" s="704"/>
      <c r="O992" s="704"/>
      <c r="P992" s="957"/>
      <c r="Q992" s="957"/>
      <c r="R992" s="957"/>
      <c r="S992" s="957"/>
      <c r="T992" s="957"/>
      <c r="U992" s="957"/>
      <c r="V992" s="957"/>
      <c r="W992" s="957"/>
      <c r="X992" s="957"/>
      <c r="Y992" s="957"/>
      <c r="Z992" s="957"/>
      <c r="AA992" s="957"/>
      <c r="AB992" s="957"/>
      <c r="AC992" s="957"/>
      <c r="AD992" s="957"/>
    </row>
    <row r="993" ht="15.75" customHeight="1">
      <c r="A993" s="518"/>
      <c r="B993" s="517"/>
      <c r="C993" s="518"/>
      <c r="D993" s="992"/>
      <c r="E993" s="989"/>
      <c r="F993" s="989"/>
      <c r="G993" s="993"/>
      <c r="H993" s="993"/>
      <c r="I993" s="986"/>
      <c r="J993" s="523"/>
      <c r="K993" s="994"/>
      <c r="L993" s="995"/>
      <c r="M993" s="704"/>
      <c r="N993" s="704"/>
      <c r="O993" s="704"/>
      <c r="P993" s="957"/>
      <c r="Q993" s="957"/>
      <c r="R993" s="957"/>
      <c r="S993" s="957"/>
      <c r="T993" s="957"/>
      <c r="U993" s="957"/>
      <c r="V993" s="957"/>
      <c r="W993" s="957"/>
      <c r="X993" s="957"/>
      <c r="Y993" s="957"/>
      <c r="Z993" s="957"/>
      <c r="AA993" s="957"/>
      <c r="AB993" s="957"/>
      <c r="AC993" s="957"/>
      <c r="AD993" s="957"/>
    </row>
    <row r="994" ht="15.75" customHeight="1">
      <c r="A994" s="518"/>
      <c r="B994" s="517"/>
      <c r="C994" s="518"/>
      <c r="D994" s="992"/>
      <c r="E994" s="989"/>
      <c r="F994" s="989"/>
      <c r="G994" s="993"/>
      <c r="H994" s="993"/>
      <c r="I994" s="986"/>
      <c r="J994" s="523"/>
      <c r="K994" s="994"/>
      <c r="L994" s="995"/>
      <c r="M994" s="704"/>
      <c r="N994" s="704"/>
      <c r="O994" s="704"/>
      <c r="P994" s="957"/>
      <c r="Q994" s="957"/>
      <c r="R994" s="957"/>
      <c r="S994" s="957"/>
      <c r="T994" s="957"/>
      <c r="U994" s="957"/>
      <c r="V994" s="957"/>
      <c r="W994" s="957"/>
      <c r="X994" s="957"/>
      <c r="Y994" s="957"/>
      <c r="Z994" s="957"/>
      <c r="AA994" s="957"/>
      <c r="AB994" s="957"/>
      <c r="AC994" s="957"/>
      <c r="AD994" s="957"/>
    </row>
    <row r="995" ht="15.75" customHeight="1">
      <c r="A995" s="518"/>
      <c r="B995" s="517"/>
      <c r="C995" s="518"/>
      <c r="D995" s="992"/>
      <c r="E995" s="989"/>
      <c r="F995" s="989"/>
      <c r="G995" s="993"/>
      <c r="H995" s="993"/>
      <c r="I995" s="986"/>
      <c r="J995" s="523"/>
      <c r="K995" s="994"/>
      <c r="L995" s="995"/>
      <c r="M995" s="704"/>
      <c r="N995" s="704"/>
      <c r="O995" s="704"/>
      <c r="P995" s="957"/>
      <c r="Q995" s="957"/>
      <c r="R995" s="957"/>
      <c r="S995" s="957"/>
      <c r="T995" s="957"/>
      <c r="U995" s="957"/>
      <c r="V995" s="957"/>
      <c r="W995" s="957"/>
      <c r="X995" s="957"/>
      <c r="Y995" s="957"/>
      <c r="Z995" s="957"/>
      <c r="AA995" s="957"/>
      <c r="AB995" s="957"/>
      <c r="AC995" s="957"/>
      <c r="AD995" s="957"/>
    </row>
    <row r="996" ht="15.75" customHeight="1">
      <c r="A996" s="518"/>
      <c r="B996" s="517"/>
      <c r="C996" s="518"/>
      <c r="D996" s="992"/>
      <c r="E996" s="989"/>
      <c r="F996" s="989"/>
      <c r="G996" s="993"/>
      <c r="H996" s="993"/>
      <c r="I996" s="986"/>
      <c r="J996" s="523"/>
      <c r="K996" s="994"/>
      <c r="L996" s="995"/>
      <c r="M996" s="704"/>
      <c r="N996" s="704"/>
      <c r="O996" s="704"/>
      <c r="P996" s="957"/>
      <c r="Q996" s="957"/>
      <c r="R996" s="957"/>
      <c r="S996" s="957"/>
      <c r="T996" s="957"/>
      <c r="U996" s="957"/>
      <c r="V996" s="957"/>
      <c r="W996" s="957"/>
      <c r="X996" s="957"/>
      <c r="Y996" s="957"/>
      <c r="Z996" s="957"/>
      <c r="AA996" s="957"/>
      <c r="AB996" s="957"/>
      <c r="AC996" s="957"/>
      <c r="AD996" s="957"/>
    </row>
    <row r="997" ht="15.75" customHeight="1">
      <c r="A997" s="518"/>
      <c r="B997" s="517"/>
      <c r="C997" s="518"/>
      <c r="D997" s="992"/>
      <c r="E997" s="989"/>
      <c r="F997" s="989"/>
      <c r="G997" s="993"/>
      <c r="H997" s="993"/>
      <c r="I997" s="986"/>
      <c r="J997" s="523"/>
      <c r="K997" s="994"/>
      <c r="L997" s="995"/>
      <c r="M997" s="704"/>
      <c r="N997" s="704"/>
      <c r="O997" s="704"/>
      <c r="P997" s="957"/>
      <c r="Q997" s="957"/>
      <c r="R997" s="957"/>
      <c r="S997" s="957"/>
      <c r="T997" s="957"/>
      <c r="U997" s="957"/>
      <c r="V997" s="957"/>
      <c r="W997" s="957"/>
      <c r="X997" s="957"/>
      <c r="Y997" s="957"/>
      <c r="Z997" s="957"/>
      <c r="AA997" s="957"/>
      <c r="AB997" s="957"/>
      <c r="AC997" s="957"/>
      <c r="AD997" s="957"/>
    </row>
    <row r="998" ht="15.75" customHeight="1">
      <c r="A998" s="518"/>
      <c r="B998" s="517"/>
      <c r="C998" s="518"/>
      <c r="D998" s="992"/>
      <c r="E998" s="989"/>
      <c r="F998" s="989"/>
      <c r="G998" s="993"/>
      <c r="H998" s="993"/>
      <c r="I998" s="986"/>
      <c r="J998" s="523"/>
      <c r="K998" s="994"/>
      <c r="L998" s="995"/>
      <c r="M998" s="704"/>
      <c r="N998" s="704"/>
      <c r="O998" s="704"/>
      <c r="P998" s="957"/>
      <c r="Q998" s="957"/>
      <c r="R998" s="957"/>
      <c r="S998" s="957"/>
      <c r="T998" s="957"/>
      <c r="U998" s="957"/>
      <c r="V998" s="957"/>
      <c r="W998" s="957"/>
      <c r="X998" s="957"/>
      <c r="Y998" s="957"/>
      <c r="Z998" s="957"/>
      <c r="AA998" s="957"/>
      <c r="AB998" s="957"/>
      <c r="AC998" s="957"/>
      <c r="AD998" s="957"/>
    </row>
    <row r="999" ht="15.75" customHeight="1">
      <c r="A999" s="518"/>
      <c r="B999" s="517"/>
      <c r="C999" s="518"/>
      <c r="D999" s="992"/>
      <c r="E999" s="989"/>
      <c r="F999" s="989"/>
      <c r="G999" s="993"/>
      <c r="H999" s="993"/>
      <c r="I999" s="986"/>
      <c r="J999" s="523"/>
      <c r="K999" s="994"/>
      <c r="L999" s="995"/>
      <c r="M999" s="704"/>
      <c r="N999" s="704"/>
      <c r="O999" s="704"/>
      <c r="P999" s="957"/>
      <c r="Q999" s="957"/>
      <c r="R999" s="957"/>
      <c r="S999" s="957"/>
      <c r="T999" s="957"/>
      <c r="U999" s="957"/>
      <c r="V999" s="957"/>
      <c r="W999" s="957"/>
      <c r="X999" s="957"/>
      <c r="Y999" s="957"/>
      <c r="Z999" s="957"/>
      <c r="AA999" s="957"/>
      <c r="AB999" s="957"/>
      <c r="AC999" s="957"/>
      <c r="AD999" s="957"/>
    </row>
    <row r="1000" ht="15.75" customHeight="1">
      <c r="A1000" s="518"/>
      <c r="B1000" s="517"/>
      <c r="C1000" s="518"/>
      <c r="D1000" s="992"/>
      <c r="E1000" s="989"/>
      <c r="F1000" s="989"/>
      <c r="G1000" s="993"/>
      <c r="H1000" s="993"/>
      <c r="I1000" s="986"/>
      <c r="J1000" s="523"/>
      <c r="K1000" s="994"/>
      <c r="L1000" s="995"/>
      <c r="M1000" s="704"/>
      <c r="N1000" s="704"/>
      <c r="O1000" s="704"/>
      <c r="P1000" s="957"/>
      <c r="Q1000" s="957"/>
      <c r="R1000" s="957"/>
      <c r="S1000" s="957"/>
      <c r="T1000" s="957"/>
      <c r="U1000" s="957"/>
      <c r="V1000" s="957"/>
      <c r="W1000" s="957"/>
      <c r="X1000" s="957"/>
      <c r="Y1000" s="957"/>
      <c r="Z1000" s="957"/>
      <c r="AA1000" s="957"/>
      <c r="AB1000" s="957"/>
      <c r="AC1000" s="957"/>
      <c r="AD1000" s="957"/>
    </row>
    <row r="1001" ht="15.75" customHeight="1">
      <c r="A1001" s="518"/>
      <c r="B1001" s="517"/>
      <c r="C1001" s="518"/>
      <c r="D1001" s="992"/>
      <c r="E1001" s="989"/>
      <c r="F1001" s="989"/>
      <c r="G1001" s="993"/>
      <c r="H1001" s="993"/>
      <c r="I1001" s="986"/>
      <c r="J1001" s="523"/>
      <c r="K1001" s="994"/>
      <c r="L1001" s="995"/>
      <c r="M1001" s="704"/>
      <c r="N1001" s="704"/>
      <c r="O1001" s="704"/>
      <c r="P1001" s="957"/>
      <c r="Q1001" s="957"/>
      <c r="R1001" s="957"/>
      <c r="S1001" s="957"/>
      <c r="T1001" s="957"/>
      <c r="U1001" s="957"/>
      <c r="V1001" s="957"/>
      <c r="W1001" s="957"/>
      <c r="X1001" s="957"/>
      <c r="Y1001" s="957"/>
      <c r="Z1001" s="957"/>
      <c r="AA1001" s="957"/>
      <c r="AB1001" s="957"/>
      <c r="AC1001" s="957"/>
      <c r="AD1001" s="957"/>
    </row>
    <row r="1002" ht="15.75" customHeight="1">
      <c r="A1002" s="518"/>
      <c r="B1002" s="517"/>
      <c r="C1002" s="518"/>
      <c r="D1002" s="992"/>
      <c r="E1002" s="989"/>
      <c r="F1002" s="989"/>
      <c r="G1002" s="993"/>
      <c r="H1002" s="993"/>
      <c r="I1002" s="986"/>
      <c r="J1002" s="523"/>
      <c r="K1002" s="994"/>
      <c r="L1002" s="995"/>
      <c r="M1002" s="704"/>
      <c r="N1002" s="704"/>
      <c r="O1002" s="704"/>
      <c r="P1002" s="957"/>
      <c r="Q1002" s="957"/>
      <c r="R1002" s="957"/>
      <c r="S1002" s="957"/>
      <c r="T1002" s="957"/>
      <c r="U1002" s="957"/>
      <c r="V1002" s="957"/>
      <c r="W1002" s="957"/>
      <c r="X1002" s="957"/>
      <c r="Y1002" s="957"/>
      <c r="Z1002" s="957"/>
      <c r="AA1002" s="957"/>
      <c r="AB1002" s="957"/>
      <c r="AC1002" s="957"/>
      <c r="AD1002" s="957"/>
    </row>
    <row r="1003" ht="15.75" customHeight="1">
      <c r="A1003" s="518"/>
      <c r="B1003" s="517"/>
      <c r="C1003" s="518"/>
      <c r="D1003" s="992"/>
      <c r="E1003" s="989"/>
      <c r="F1003" s="989"/>
      <c r="G1003" s="993"/>
      <c r="H1003" s="993"/>
      <c r="I1003" s="986"/>
      <c r="J1003" s="523"/>
      <c r="K1003" s="994"/>
      <c r="L1003" s="995"/>
      <c r="M1003" s="704"/>
      <c r="N1003" s="704"/>
      <c r="O1003" s="704"/>
      <c r="P1003" s="957"/>
      <c r="Q1003" s="957"/>
      <c r="R1003" s="957"/>
      <c r="S1003" s="957"/>
      <c r="T1003" s="957"/>
      <c r="U1003" s="957"/>
      <c r="V1003" s="957"/>
      <c r="W1003" s="957"/>
      <c r="X1003" s="957"/>
      <c r="Y1003" s="957"/>
      <c r="Z1003" s="957"/>
      <c r="AA1003" s="957"/>
      <c r="AB1003" s="957"/>
      <c r="AC1003" s="957"/>
      <c r="AD1003" s="957"/>
    </row>
    <row r="1004" ht="15.75" customHeight="1">
      <c r="A1004" s="518"/>
      <c r="B1004" s="517"/>
      <c r="C1004" s="518"/>
      <c r="D1004" s="992"/>
      <c r="E1004" s="989"/>
      <c r="F1004" s="989"/>
      <c r="G1004" s="993"/>
      <c r="H1004" s="993"/>
      <c r="I1004" s="986"/>
      <c r="J1004" s="523"/>
      <c r="K1004" s="994"/>
      <c r="L1004" s="995"/>
      <c r="M1004" s="704"/>
      <c r="N1004" s="704"/>
      <c r="O1004" s="704"/>
      <c r="P1004" s="957"/>
      <c r="Q1004" s="957"/>
      <c r="R1004" s="957"/>
      <c r="S1004" s="957"/>
      <c r="T1004" s="957"/>
      <c r="U1004" s="957"/>
      <c r="V1004" s="957"/>
      <c r="W1004" s="957"/>
      <c r="X1004" s="957"/>
      <c r="Y1004" s="957"/>
      <c r="Z1004" s="957"/>
      <c r="AA1004" s="957"/>
      <c r="AB1004" s="957"/>
      <c r="AC1004" s="957"/>
      <c r="AD1004" s="957"/>
    </row>
    <row r="1005" ht="15.75" customHeight="1">
      <c r="A1005" s="518"/>
      <c r="B1005" s="517"/>
      <c r="C1005" s="518"/>
      <c r="D1005" s="992"/>
      <c r="E1005" s="989"/>
      <c r="F1005" s="989"/>
      <c r="G1005" s="993"/>
      <c r="H1005" s="993"/>
      <c r="I1005" s="986"/>
      <c r="J1005" s="523"/>
      <c r="K1005" s="994"/>
      <c r="L1005" s="995"/>
      <c r="M1005" s="704"/>
      <c r="N1005" s="704"/>
      <c r="O1005" s="704"/>
      <c r="P1005" s="957"/>
      <c r="Q1005" s="957"/>
      <c r="R1005" s="957"/>
      <c r="S1005" s="957"/>
      <c r="T1005" s="957"/>
      <c r="U1005" s="957"/>
      <c r="V1005" s="957"/>
      <c r="W1005" s="957"/>
      <c r="X1005" s="957"/>
      <c r="Y1005" s="957"/>
      <c r="Z1005" s="957"/>
      <c r="AA1005" s="957"/>
      <c r="AB1005" s="957"/>
      <c r="AC1005" s="957"/>
      <c r="AD1005" s="957"/>
    </row>
    <row r="1006" ht="15.75" customHeight="1">
      <c r="A1006" s="518"/>
      <c r="B1006" s="517"/>
      <c r="C1006" s="518"/>
      <c r="D1006" s="992"/>
      <c r="E1006" s="989"/>
      <c r="F1006" s="989"/>
      <c r="G1006" s="993"/>
      <c r="H1006" s="993"/>
      <c r="I1006" s="986"/>
      <c r="J1006" s="523"/>
      <c r="K1006" s="994"/>
      <c r="L1006" s="995"/>
      <c r="M1006" s="704"/>
      <c r="N1006" s="704"/>
      <c r="O1006" s="704"/>
      <c r="P1006" s="957"/>
      <c r="Q1006" s="957"/>
      <c r="R1006" s="957"/>
      <c r="S1006" s="957"/>
      <c r="T1006" s="957"/>
      <c r="U1006" s="957"/>
      <c r="V1006" s="957"/>
      <c r="W1006" s="957"/>
      <c r="X1006" s="957"/>
      <c r="Y1006" s="957"/>
      <c r="Z1006" s="957"/>
      <c r="AA1006" s="957"/>
      <c r="AB1006" s="957"/>
      <c r="AC1006" s="957"/>
      <c r="AD1006" s="957"/>
    </row>
    <row r="1007" ht="15.75" customHeight="1">
      <c r="A1007" s="518"/>
      <c r="B1007" s="517"/>
      <c r="C1007" s="518"/>
      <c r="D1007" s="992"/>
      <c r="E1007" s="989"/>
      <c r="F1007" s="989"/>
      <c r="G1007" s="993"/>
      <c r="H1007" s="993"/>
      <c r="I1007" s="986"/>
      <c r="J1007" s="523"/>
      <c r="K1007" s="994"/>
      <c r="L1007" s="995"/>
      <c r="M1007" s="704"/>
      <c r="N1007" s="704"/>
      <c r="O1007" s="704"/>
      <c r="P1007" s="957"/>
      <c r="Q1007" s="957"/>
      <c r="R1007" s="957"/>
      <c r="S1007" s="957"/>
      <c r="T1007" s="957"/>
      <c r="U1007" s="957"/>
      <c r="V1007" s="957"/>
      <c r="W1007" s="957"/>
      <c r="X1007" s="957"/>
      <c r="Y1007" s="957"/>
      <c r="Z1007" s="957"/>
      <c r="AA1007" s="957"/>
      <c r="AB1007" s="957"/>
      <c r="AC1007" s="957"/>
      <c r="AD1007" s="957"/>
    </row>
    <row r="1008" ht="15.75" customHeight="1">
      <c r="A1008" s="518"/>
      <c r="B1008" s="517"/>
      <c r="C1008" s="518"/>
      <c r="D1008" s="992"/>
      <c r="E1008" s="989"/>
      <c r="F1008" s="989"/>
      <c r="G1008" s="993"/>
      <c r="H1008" s="993"/>
      <c r="I1008" s="986"/>
      <c r="J1008" s="523"/>
      <c r="K1008" s="994"/>
      <c r="L1008" s="995"/>
      <c r="M1008" s="704"/>
      <c r="N1008" s="704"/>
      <c r="O1008" s="704"/>
      <c r="P1008" s="957"/>
      <c r="Q1008" s="957"/>
      <c r="R1008" s="957"/>
      <c r="S1008" s="957"/>
      <c r="T1008" s="957"/>
      <c r="U1008" s="957"/>
      <c r="V1008" s="957"/>
      <c r="W1008" s="957"/>
      <c r="X1008" s="957"/>
      <c r="Y1008" s="957"/>
      <c r="Z1008" s="957"/>
      <c r="AA1008" s="957"/>
      <c r="AB1008" s="957"/>
      <c r="AC1008" s="957"/>
      <c r="AD1008" s="957"/>
    </row>
    <row r="1009" ht="15.75" customHeight="1">
      <c r="A1009" s="518"/>
      <c r="B1009" s="517"/>
      <c r="C1009" s="518"/>
      <c r="D1009" s="992"/>
      <c r="E1009" s="989"/>
      <c r="F1009" s="989"/>
      <c r="G1009" s="993"/>
      <c r="H1009" s="993"/>
      <c r="I1009" s="986"/>
      <c r="J1009" s="523"/>
      <c r="K1009" s="994"/>
      <c r="L1009" s="995"/>
      <c r="M1009" s="704"/>
      <c r="N1009" s="704"/>
      <c r="O1009" s="704"/>
      <c r="P1009" s="957"/>
      <c r="Q1009" s="957"/>
      <c r="R1009" s="957"/>
      <c r="S1009" s="957"/>
      <c r="T1009" s="957"/>
      <c r="U1009" s="957"/>
      <c r="V1009" s="957"/>
      <c r="W1009" s="957"/>
      <c r="X1009" s="957"/>
      <c r="Y1009" s="957"/>
      <c r="Z1009" s="957"/>
      <c r="AA1009" s="957"/>
      <c r="AB1009" s="957"/>
      <c r="AC1009" s="957"/>
      <c r="AD1009" s="957"/>
    </row>
    <row r="1010" ht="15.75" customHeight="1">
      <c r="A1010" s="518"/>
      <c r="B1010" s="517"/>
      <c r="C1010" s="518"/>
      <c r="D1010" s="992"/>
      <c r="E1010" s="989"/>
      <c r="F1010" s="989"/>
      <c r="G1010" s="993"/>
      <c r="H1010" s="993"/>
      <c r="I1010" s="986"/>
      <c r="J1010" s="523"/>
      <c r="K1010" s="994"/>
      <c r="L1010" s="995"/>
      <c r="M1010" s="704"/>
      <c r="N1010" s="704"/>
      <c r="O1010" s="704"/>
      <c r="P1010" s="957"/>
      <c r="Q1010" s="957"/>
      <c r="R1010" s="957"/>
      <c r="S1010" s="957"/>
      <c r="T1010" s="957"/>
      <c r="U1010" s="957"/>
      <c r="V1010" s="957"/>
      <c r="W1010" s="957"/>
      <c r="X1010" s="957"/>
      <c r="Y1010" s="957"/>
      <c r="Z1010" s="957"/>
      <c r="AA1010" s="957"/>
      <c r="AB1010" s="957"/>
      <c r="AC1010" s="957"/>
      <c r="AD1010" s="957"/>
    </row>
    <row r="1011" ht="15.75" customHeight="1">
      <c r="A1011" s="518"/>
      <c r="B1011" s="517"/>
      <c r="C1011" s="518"/>
      <c r="D1011" s="992"/>
      <c r="E1011" s="989"/>
      <c r="F1011" s="989"/>
      <c r="G1011" s="993"/>
      <c r="H1011" s="993"/>
      <c r="I1011" s="986"/>
      <c r="J1011" s="523"/>
      <c r="K1011" s="994"/>
      <c r="L1011" s="995"/>
      <c r="M1011" s="704"/>
      <c r="N1011" s="704"/>
      <c r="O1011" s="704"/>
      <c r="P1011" s="957"/>
      <c r="Q1011" s="957"/>
      <c r="R1011" s="957"/>
      <c r="S1011" s="957"/>
      <c r="T1011" s="957"/>
      <c r="U1011" s="957"/>
      <c r="V1011" s="957"/>
      <c r="W1011" s="957"/>
      <c r="X1011" s="957"/>
      <c r="Y1011" s="957"/>
      <c r="Z1011" s="957"/>
      <c r="AA1011" s="957"/>
      <c r="AB1011" s="957"/>
      <c r="AC1011" s="957"/>
      <c r="AD1011" s="957"/>
    </row>
    <row r="1012" ht="15.75" customHeight="1">
      <c r="A1012" s="518"/>
      <c r="B1012" s="517"/>
      <c r="C1012" s="518"/>
      <c r="D1012" s="992"/>
      <c r="E1012" s="989"/>
      <c r="F1012" s="989"/>
      <c r="G1012" s="993"/>
      <c r="H1012" s="993"/>
      <c r="I1012" s="986"/>
      <c r="J1012" s="523"/>
      <c r="K1012" s="994"/>
      <c r="L1012" s="995"/>
      <c r="M1012" s="704"/>
      <c r="N1012" s="704"/>
      <c r="O1012" s="704"/>
      <c r="P1012" s="957"/>
      <c r="Q1012" s="957"/>
      <c r="R1012" s="957"/>
      <c r="S1012" s="957"/>
      <c r="T1012" s="957"/>
      <c r="U1012" s="957"/>
      <c r="V1012" s="957"/>
      <c r="W1012" s="957"/>
      <c r="X1012" s="957"/>
      <c r="Y1012" s="957"/>
      <c r="Z1012" s="957"/>
      <c r="AA1012" s="957"/>
      <c r="AB1012" s="957"/>
      <c r="AC1012" s="957"/>
      <c r="AD1012" s="957"/>
    </row>
    <row r="1013" ht="15.75" customHeight="1">
      <c r="A1013" s="518"/>
      <c r="B1013" s="517"/>
      <c r="C1013" s="518"/>
      <c r="D1013" s="992"/>
      <c r="E1013" s="989"/>
      <c r="F1013" s="989"/>
      <c r="G1013" s="993"/>
      <c r="H1013" s="993"/>
      <c r="I1013" s="986"/>
      <c r="J1013" s="523"/>
      <c r="K1013" s="994"/>
      <c r="L1013" s="995"/>
      <c r="M1013" s="704"/>
      <c r="N1013" s="704"/>
      <c r="O1013" s="704"/>
      <c r="P1013" s="957"/>
      <c r="Q1013" s="957"/>
      <c r="R1013" s="957"/>
      <c r="S1013" s="957"/>
      <c r="T1013" s="957"/>
      <c r="U1013" s="957"/>
      <c r="V1013" s="957"/>
      <c r="W1013" s="957"/>
      <c r="X1013" s="957"/>
      <c r="Y1013" s="957"/>
      <c r="Z1013" s="957"/>
      <c r="AA1013" s="957"/>
      <c r="AB1013" s="957"/>
      <c r="AC1013" s="957"/>
      <c r="AD1013" s="957"/>
    </row>
    <row r="1014" ht="15.75" customHeight="1">
      <c r="A1014" s="518"/>
      <c r="B1014" s="517"/>
      <c r="C1014" s="518"/>
      <c r="D1014" s="992"/>
      <c r="E1014" s="989"/>
      <c r="F1014" s="989"/>
      <c r="G1014" s="993"/>
      <c r="H1014" s="993"/>
      <c r="I1014" s="986"/>
      <c r="J1014" s="523"/>
      <c r="K1014" s="994"/>
      <c r="L1014" s="995"/>
      <c r="M1014" s="704"/>
      <c r="N1014" s="704"/>
      <c r="O1014" s="704"/>
      <c r="P1014" s="957"/>
      <c r="Q1014" s="957"/>
      <c r="R1014" s="957"/>
      <c r="S1014" s="957"/>
      <c r="T1014" s="957"/>
      <c r="U1014" s="957"/>
      <c r="V1014" s="957"/>
      <c r="W1014" s="957"/>
      <c r="X1014" s="957"/>
      <c r="Y1014" s="957"/>
      <c r="Z1014" s="957"/>
      <c r="AA1014" s="957"/>
      <c r="AB1014" s="957"/>
      <c r="AC1014" s="957"/>
      <c r="AD1014" s="957"/>
    </row>
    <row r="1015" ht="15.75" customHeight="1">
      <c r="A1015" s="518"/>
      <c r="B1015" s="517"/>
      <c r="C1015" s="518"/>
      <c r="D1015" s="992"/>
      <c r="E1015" s="989"/>
      <c r="F1015" s="989"/>
      <c r="G1015" s="993"/>
      <c r="H1015" s="993"/>
      <c r="I1015" s="986"/>
      <c r="J1015" s="523"/>
      <c r="K1015" s="994"/>
      <c r="L1015" s="995"/>
      <c r="M1015" s="704"/>
      <c r="N1015" s="704"/>
      <c r="O1015" s="704"/>
      <c r="P1015" s="957"/>
      <c r="Q1015" s="957"/>
      <c r="R1015" s="957"/>
      <c r="S1015" s="957"/>
      <c r="T1015" s="957"/>
      <c r="U1015" s="957"/>
      <c r="V1015" s="957"/>
      <c r="W1015" s="957"/>
      <c r="X1015" s="957"/>
      <c r="Y1015" s="957"/>
      <c r="Z1015" s="957"/>
      <c r="AA1015" s="957"/>
      <c r="AB1015" s="957"/>
      <c r="AC1015" s="957"/>
      <c r="AD1015" s="957"/>
    </row>
    <row r="1016" ht="15.75" customHeight="1">
      <c r="A1016" s="518"/>
      <c r="B1016" s="517"/>
      <c r="C1016" s="518"/>
      <c r="D1016" s="992"/>
      <c r="E1016" s="989"/>
      <c r="F1016" s="989"/>
      <c r="G1016" s="993"/>
      <c r="H1016" s="993"/>
      <c r="I1016" s="986"/>
      <c r="J1016" s="523"/>
      <c r="K1016" s="994"/>
      <c r="L1016" s="995"/>
      <c r="M1016" s="704"/>
      <c r="N1016" s="704"/>
      <c r="O1016" s="704"/>
      <c r="P1016" s="957"/>
      <c r="Q1016" s="957"/>
      <c r="R1016" s="957"/>
      <c r="S1016" s="957"/>
      <c r="T1016" s="957"/>
      <c r="U1016" s="957"/>
      <c r="V1016" s="957"/>
      <c r="W1016" s="957"/>
      <c r="X1016" s="957"/>
      <c r="Y1016" s="957"/>
      <c r="Z1016" s="957"/>
      <c r="AA1016" s="957"/>
      <c r="AB1016" s="957"/>
      <c r="AC1016" s="957"/>
      <c r="AD1016" s="957"/>
    </row>
    <row r="1017" ht="15.75" customHeight="1">
      <c r="A1017" s="518"/>
      <c r="B1017" s="517"/>
      <c r="C1017" s="518"/>
      <c r="D1017" s="992"/>
      <c r="E1017" s="989"/>
      <c r="F1017" s="989"/>
      <c r="G1017" s="993"/>
      <c r="H1017" s="993"/>
      <c r="I1017" s="986"/>
      <c r="J1017" s="523"/>
      <c r="K1017" s="994"/>
      <c r="L1017" s="995"/>
      <c r="M1017" s="704"/>
      <c r="N1017" s="704"/>
      <c r="O1017" s="704"/>
      <c r="P1017" s="957"/>
      <c r="Q1017" s="957"/>
      <c r="R1017" s="957"/>
      <c r="S1017" s="957"/>
      <c r="T1017" s="957"/>
      <c r="U1017" s="957"/>
      <c r="V1017" s="957"/>
      <c r="W1017" s="957"/>
      <c r="X1017" s="957"/>
      <c r="Y1017" s="957"/>
      <c r="Z1017" s="957"/>
      <c r="AA1017" s="957"/>
      <c r="AB1017" s="957"/>
      <c r="AC1017" s="957"/>
      <c r="AD1017" s="957"/>
    </row>
    <row r="1018" ht="15.75" customHeight="1">
      <c r="A1018" s="518"/>
      <c r="B1018" s="517"/>
      <c r="C1018" s="518"/>
      <c r="D1018" s="992"/>
      <c r="E1018" s="989"/>
      <c r="F1018" s="989"/>
      <c r="G1018" s="993"/>
      <c r="H1018" s="993"/>
      <c r="I1018" s="986"/>
      <c r="J1018" s="523"/>
      <c r="K1018" s="994"/>
      <c r="L1018" s="995"/>
      <c r="M1018" s="704"/>
      <c r="N1018" s="704"/>
      <c r="O1018" s="704"/>
      <c r="P1018" s="957"/>
      <c r="Q1018" s="957"/>
      <c r="R1018" s="957"/>
      <c r="S1018" s="957"/>
      <c r="T1018" s="957"/>
      <c r="U1018" s="957"/>
      <c r="V1018" s="957"/>
      <c r="W1018" s="957"/>
      <c r="X1018" s="957"/>
      <c r="Y1018" s="957"/>
      <c r="Z1018" s="957"/>
      <c r="AA1018" s="957"/>
      <c r="AB1018" s="957"/>
      <c r="AC1018" s="957"/>
      <c r="AD1018" s="957"/>
    </row>
    <row r="1019" ht="15.75" customHeight="1">
      <c r="A1019" s="518"/>
      <c r="B1019" s="517"/>
      <c r="C1019" s="518"/>
      <c r="D1019" s="992"/>
      <c r="E1019" s="989"/>
      <c r="F1019" s="989"/>
      <c r="G1019" s="993"/>
      <c r="H1019" s="993"/>
      <c r="I1019" s="986"/>
      <c r="J1019" s="523"/>
      <c r="K1019" s="994"/>
      <c r="L1019" s="995"/>
      <c r="M1019" s="704"/>
      <c r="N1019" s="704"/>
      <c r="O1019" s="704"/>
      <c r="P1019" s="957"/>
      <c r="Q1019" s="957"/>
      <c r="R1019" s="957"/>
      <c r="S1019" s="957"/>
      <c r="T1019" s="957"/>
      <c r="U1019" s="957"/>
      <c r="V1019" s="957"/>
      <c r="W1019" s="957"/>
      <c r="X1019" s="957"/>
      <c r="Y1019" s="957"/>
      <c r="Z1019" s="957"/>
      <c r="AA1019" s="957"/>
      <c r="AB1019" s="957"/>
      <c r="AC1019" s="957"/>
      <c r="AD1019" s="957"/>
    </row>
    <row r="1020" ht="15.75" customHeight="1">
      <c r="A1020" s="518"/>
      <c r="B1020" s="517"/>
      <c r="C1020" s="518"/>
      <c r="D1020" s="992"/>
      <c r="E1020" s="989"/>
      <c r="F1020" s="989"/>
      <c r="G1020" s="993"/>
      <c r="H1020" s="993"/>
      <c r="I1020" s="986"/>
      <c r="J1020" s="523"/>
      <c r="K1020" s="994"/>
      <c r="L1020" s="995"/>
      <c r="M1020" s="704"/>
      <c r="N1020" s="704"/>
      <c r="O1020" s="704"/>
      <c r="P1020" s="957"/>
      <c r="Q1020" s="957"/>
      <c r="R1020" s="957"/>
      <c r="S1020" s="957"/>
      <c r="T1020" s="957"/>
      <c r="U1020" s="957"/>
      <c r="V1020" s="957"/>
      <c r="W1020" s="957"/>
      <c r="X1020" s="957"/>
      <c r="Y1020" s="957"/>
      <c r="Z1020" s="957"/>
      <c r="AA1020" s="957"/>
      <c r="AB1020" s="957"/>
      <c r="AC1020" s="957"/>
      <c r="AD1020" s="957"/>
    </row>
    <row r="1021" ht="15.75" customHeight="1">
      <c r="A1021" s="518"/>
      <c r="B1021" s="517"/>
      <c r="C1021" s="518"/>
      <c r="D1021" s="992"/>
      <c r="E1021" s="989"/>
      <c r="F1021" s="989"/>
      <c r="G1021" s="993"/>
      <c r="H1021" s="993"/>
      <c r="I1021" s="986"/>
      <c r="J1021" s="523"/>
      <c r="K1021" s="994"/>
      <c r="L1021" s="995"/>
      <c r="M1021" s="704"/>
      <c r="N1021" s="704"/>
      <c r="O1021" s="704"/>
      <c r="P1021" s="957"/>
      <c r="Q1021" s="957"/>
      <c r="R1021" s="957"/>
      <c r="S1021" s="957"/>
      <c r="T1021" s="957"/>
      <c r="U1021" s="957"/>
      <c r="V1021" s="957"/>
      <c r="W1021" s="957"/>
      <c r="X1021" s="957"/>
      <c r="Y1021" s="957"/>
      <c r="Z1021" s="957"/>
      <c r="AA1021" s="957"/>
      <c r="AB1021" s="957"/>
      <c r="AC1021" s="957"/>
      <c r="AD1021" s="957"/>
    </row>
    <row r="1022" ht="15.75" customHeight="1">
      <c r="A1022" s="518"/>
      <c r="B1022" s="517"/>
      <c r="C1022" s="518"/>
      <c r="D1022" s="992"/>
      <c r="E1022" s="989"/>
      <c r="F1022" s="989"/>
      <c r="G1022" s="993"/>
      <c r="H1022" s="993"/>
      <c r="I1022" s="986"/>
      <c r="J1022" s="523"/>
      <c r="K1022" s="994"/>
      <c r="L1022" s="995"/>
      <c r="M1022" s="704"/>
      <c r="N1022" s="704"/>
      <c r="O1022" s="704"/>
      <c r="P1022" s="957"/>
      <c r="Q1022" s="957"/>
      <c r="R1022" s="957"/>
      <c r="S1022" s="957"/>
      <c r="T1022" s="957"/>
      <c r="U1022" s="957"/>
      <c r="V1022" s="957"/>
      <c r="W1022" s="957"/>
      <c r="X1022" s="957"/>
      <c r="Y1022" s="957"/>
      <c r="Z1022" s="957"/>
      <c r="AA1022" s="957"/>
      <c r="AB1022" s="957"/>
      <c r="AC1022" s="957"/>
      <c r="AD1022" s="957"/>
    </row>
    <row r="1023" ht="15.75" customHeight="1">
      <c r="A1023" s="518"/>
      <c r="B1023" s="517"/>
      <c r="C1023" s="518"/>
      <c r="D1023" s="992"/>
      <c r="E1023" s="989"/>
      <c r="F1023" s="989"/>
      <c r="G1023" s="993"/>
      <c r="H1023" s="993"/>
      <c r="I1023" s="986"/>
      <c r="J1023" s="523"/>
      <c r="K1023" s="994"/>
      <c r="L1023" s="995"/>
      <c r="M1023" s="704"/>
      <c r="N1023" s="704"/>
      <c r="O1023" s="704"/>
      <c r="P1023" s="957"/>
      <c r="Q1023" s="957"/>
      <c r="R1023" s="957"/>
      <c r="S1023" s="957"/>
      <c r="T1023" s="957"/>
      <c r="U1023" s="957"/>
      <c r="V1023" s="957"/>
      <c r="W1023" s="957"/>
      <c r="X1023" s="957"/>
      <c r="Y1023" s="957"/>
      <c r="Z1023" s="957"/>
      <c r="AA1023" s="957"/>
      <c r="AB1023" s="957"/>
      <c r="AC1023" s="957"/>
      <c r="AD1023" s="957"/>
    </row>
    <row r="1024" ht="15.75" customHeight="1">
      <c r="A1024" s="518"/>
      <c r="B1024" s="517"/>
      <c r="C1024" s="518"/>
      <c r="D1024" s="992"/>
      <c r="E1024" s="989"/>
      <c r="F1024" s="989"/>
      <c r="G1024" s="993"/>
      <c r="H1024" s="993"/>
      <c r="I1024" s="986"/>
      <c r="J1024" s="523"/>
      <c r="K1024" s="994"/>
      <c r="L1024" s="995"/>
      <c r="M1024" s="704"/>
      <c r="N1024" s="704"/>
      <c r="O1024" s="704"/>
      <c r="P1024" s="957"/>
      <c r="Q1024" s="957"/>
      <c r="R1024" s="957"/>
      <c r="S1024" s="957"/>
      <c r="T1024" s="957"/>
      <c r="U1024" s="957"/>
      <c r="V1024" s="957"/>
      <c r="W1024" s="957"/>
      <c r="X1024" s="957"/>
      <c r="Y1024" s="957"/>
      <c r="Z1024" s="957"/>
      <c r="AA1024" s="957"/>
      <c r="AB1024" s="957"/>
      <c r="AC1024" s="957"/>
      <c r="AD1024" s="957"/>
    </row>
    <row r="1025" ht="15.75" customHeight="1">
      <c r="A1025" s="518"/>
      <c r="B1025" s="517"/>
      <c r="C1025" s="518"/>
      <c r="D1025" s="992"/>
      <c r="E1025" s="989"/>
      <c r="F1025" s="989"/>
      <c r="G1025" s="993"/>
      <c r="H1025" s="993"/>
      <c r="I1025" s="986"/>
      <c r="J1025" s="523"/>
      <c r="K1025" s="994"/>
      <c r="L1025" s="995"/>
      <c r="M1025" s="704"/>
      <c r="N1025" s="704"/>
      <c r="O1025" s="704"/>
      <c r="P1025" s="957"/>
      <c r="Q1025" s="957"/>
      <c r="R1025" s="957"/>
      <c r="S1025" s="957"/>
      <c r="T1025" s="957"/>
      <c r="U1025" s="957"/>
      <c r="V1025" s="957"/>
      <c r="W1025" s="957"/>
      <c r="X1025" s="957"/>
      <c r="Y1025" s="957"/>
      <c r="Z1025" s="957"/>
      <c r="AA1025" s="957"/>
      <c r="AB1025" s="957"/>
      <c r="AC1025" s="957"/>
      <c r="AD1025" s="957"/>
    </row>
    <row r="1026" ht="15.75" customHeight="1">
      <c r="A1026" s="518"/>
      <c r="B1026" s="517"/>
      <c r="C1026" s="518"/>
      <c r="D1026" s="992"/>
      <c r="E1026" s="989"/>
      <c r="F1026" s="989"/>
      <c r="G1026" s="993"/>
      <c r="H1026" s="993"/>
      <c r="I1026" s="986"/>
      <c r="J1026" s="523"/>
      <c r="K1026" s="994"/>
      <c r="L1026" s="995"/>
      <c r="M1026" s="704"/>
      <c r="N1026" s="704"/>
      <c r="O1026" s="704"/>
      <c r="P1026" s="957"/>
      <c r="Q1026" s="957"/>
      <c r="R1026" s="957"/>
      <c r="S1026" s="957"/>
      <c r="T1026" s="957"/>
      <c r="U1026" s="957"/>
      <c r="V1026" s="957"/>
      <c r="W1026" s="957"/>
      <c r="X1026" s="957"/>
      <c r="Y1026" s="957"/>
      <c r="Z1026" s="957"/>
      <c r="AA1026" s="957"/>
      <c r="AB1026" s="957"/>
      <c r="AC1026" s="957"/>
      <c r="AD1026" s="957"/>
    </row>
    <row r="1027" ht="15.75" customHeight="1">
      <c r="A1027" s="518"/>
      <c r="B1027" s="517"/>
      <c r="C1027" s="518"/>
      <c r="D1027" s="992"/>
      <c r="E1027" s="989"/>
      <c r="F1027" s="989"/>
      <c r="G1027" s="993"/>
      <c r="H1027" s="993"/>
      <c r="I1027" s="986"/>
      <c r="J1027" s="523"/>
      <c r="K1027" s="994"/>
      <c r="L1027" s="995"/>
      <c r="M1027" s="704"/>
      <c r="N1027" s="704"/>
      <c r="O1027" s="704"/>
      <c r="P1027" s="957"/>
      <c r="Q1027" s="957"/>
      <c r="R1027" s="957"/>
      <c r="S1027" s="957"/>
      <c r="T1027" s="957"/>
      <c r="U1027" s="957"/>
      <c r="V1027" s="957"/>
      <c r="W1027" s="957"/>
      <c r="X1027" s="957"/>
      <c r="Y1027" s="957"/>
      <c r="Z1027" s="957"/>
      <c r="AA1027" s="957"/>
      <c r="AB1027" s="957"/>
      <c r="AC1027" s="957"/>
      <c r="AD1027" s="957"/>
    </row>
    <row r="1028" ht="15.75" customHeight="1">
      <c r="A1028" s="518"/>
      <c r="B1028" s="517"/>
      <c r="C1028" s="518"/>
      <c r="D1028" s="992"/>
      <c r="E1028" s="989"/>
      <c r="F1028" s="989"/>
      <c r="G1028" s="993"/>
      <c r="H1028" s="993"/>
      <c r="I1028" s="986"/>
      <c r="J1028" s="523"/>
      <c r="K1028" s="994"/>
      <c r="L1028" s="995"/>
      <c r="M1028" s="704"/>
      <c r="N1028" s="704"/>
      <c r="O1028" s="704"/>
      <c r="P1028" s="957"/>
      <c r="Q1028" s="957"/>
      <c r="R1028" s="957"/>
      <c r="S1028" s="957"/>
      <c r="T1028" s="957"/>
      <c r="U1028" s="957"/>
      <c r="V1028" s="957"/>
      <c r="W1028" s="957"/>
      <c r="X1028" s="957"/>
      <c r="Y1028" s="957"/>
      <c r="Z1028" s="957"/>
      <c r="AA1028" s="957"/>
      <c r="AB1028" s="957"/>
      <c r="AC1028" s="957"/>
      <c r="AD1028" s="957"/>
    </row>
    <row r="1029" ht="15.75" customHeight="1">
      <c r="A1029" s="518"/>
      <c r="B1029" s="517"/>
      <c r="C1029" s="518"/>
      <c r="D1029" s="992"/>
      <c r="E1029" s="989"/>
      <c r="F1029" s="989"/>
      <c r="G1029" s="993"/>
      <c r="H1029" s="993"/>
      <c r="I1029" s="986"/>
      <c r="J1029" s="523"/>
      <c r="K1029" s="994"/>
      <c r="L1029" s="995"/>
      <c r="M1029" s="704"/>
      <c r="N1029" s="704"/>
      <c r="O1029" s="704"/>
      <c r="P1029" s="957"/>
      <c r="Q1029" s="957"/>
      <c r="R1029" s="957"/>
      <c r="S1029" s="957"/>
      <c r="T1029" s="957"/>
      <c r="U1029" s="957"/>
      <c r="V1029" s="957"/>
      <c r="W1029" s="957"/>
      <c r="X1029" s="957"/>
      <c r="Y1029" s="957"/>
      <c r="Z1029" s="957"/>
      <c r="AA1029" s="957"/>
      <c r="AB1029" s="957"/>
      <c r="AC1029" s="957"/>
      <c r="AD1029" s="957"/>
    </row>
    <row r="1030" ht="15.75" customHeight="1">
      <c r="A1030" s="518"/>
      <c r="B1030" s="517"/>
      <c r="C1030" s="518"/>
      <c r="D1030" s="992"/>
      <c r="E1030" s="989"/>
      <c r="F1030" s="989"/>
      <c r="G1030" s="993"/>
      <c r="H1030" s="993"/>
      <c r="I1030" s="986"/>
      <c r="J1030" s="523"/>
      <c r="K1030" s="994"/>
      <c r="L1030" s="995"/>
      <c r="M1030" s="704"/>
      <c r="N1030" s="704"/>
      <c r="O1030" s="704"/>
      <c r="P1030" s="957"/>
      <c r="Q1030" s="957"/>
      <c r="R1030" s="957"/>
      <c r="S1030" s="957"/>
      <c r="T1030" s="957"/>
      <c r="U1030" s="957"/>
      <c r="V1030" s="957"/>
      <c r="W1030" s="957"/>
      <c r="X1030" s="957"/>
      <c r="Y1030" s="957"/>
      <c r="Z1030" s="957"/>
      <c r="AA1030" s="957"/>
      <c r="AB1030" s="957"/>
      <c r="AC1030" s="957"/>
      <c r="AD1030" s="957"/>
    </row>
    <row r="1031" ht="15.75" customHeight="1">
      <c r="A1031" s="518"/>
      <c r="B1031" s="517"/>
      <c r="C1031" s="518"/>
      <c r="D1031" s="992"/>
      <c r="E1031" s="989"/>
      <c r="F1031" s="989"/>
      <c r="G1031" s="993"/>
      <c r="H1031" s="993"/>
      <c r="I1031" s="986"/>
      <c r="J1031" s="523"/>
      <c r="K1031" s="994"/>
      <c r="L1031" s="995"/>
      <c r="M1031" s="704"/>
      <c r="N1031" s="704"/>
      <c r="O1031" s="704"/>
      <c r="P1031" s="957"/>
      <c r="Q1031" s="957"/>
      <c r="R1031" s="957"/>
      <c r="S1031" s="957"/>
      <c r="T1031" s="957"/>
      <c r="U1031" s="957"/>
      <c r="V1031" s="957"/>
      <c r="W1031" s="957"/>
      <c r="X1031" s="957"/>
      <c r="Y1031" s="957"/>
      <c r="Z1031" s="957"/>
      <c r="AA1031" s="957"/>
      <c r="AB1031" s="957"/>
      <c r="AC1031" s="957"/>
      <c r="AD1031" s="957"/>
    </row>
    <row r="1032" ht="15.75" customHeight="1">
      <c r="A1032" s="518"/>
      <c r="B1032" s="517"/>
      <c r="C1032" s="518"/>
      <c r="D1032" s="992"/>
      <c r="E1032" s="989"/>
      <c r="F1032" s="989"/>
      <c r="G1032" s="993"/>
      <c r="H1032" s="993"/>
      <c r="I1032" s="986"/>
      <c r="J1032" s="523"/>
      <c r="K1032" s="994"/>
      <c r="L1032" s="995"/>
      <c r="M1032" s="704"/>
      <c r="N1032" s="704"/>
      <c r="O1032" s="704"/>
      <c r="P1032" s="957"/>
      <c r="Q1032" s="957"/>
      <c r="R1032" s="957"/>
      <c r="S1032" s="957"/>
      <c r="T1032" s="957"/>
      <c r="U1032" s="957"/>
      <c r="V1032" s="957"/>
      <c r="W1032" s="957"/>
      <c r="X1032" s="957"/>
      <c r="Y1032" s="957"/>
      <c r="Z1032" s="957"/>
      <c r="AA1032" s="957"/>
      <c r="AB1032" s="957"/>
      <c r="AC1032" s="957"/>
      <c r="AD1032" s="957"/>
    </row>
    <row r="1033" ht="15.75" customHeight="1">
      <c r="A1033" s="518"/>
      <c r="B1033" s="517"/>
      <c r="C1033" s="518"/>
      <c r="D1033" s="992"/>
      <c r="E1033" s="989"/>
      <c r="F1033" s="989"/>
      <c r="G1033" s="993"/>
      <c r="H1033" s="993"/>
      <c r="I1033" s="986"/>
      <c r="J1033" s="523"/>
      <c r="K1033" s="994"/>
      <c r="L1033" s="995"/>
      <c r="M1033" s="704"/>
      <c r="N1033" s="704"/>
      <c r="O1033" s="704"/>
      <c r="P1033" s="957"/>
      <c r="Q1033" s="957"/>
      <c r="R1033" s="957"/>
      <c r="S1033" s="957"/>
      <c r="T1033" s="957"/>
      <c r="U1033" s="957"/>
      <c r="V1033" s="957"/>
      <c r="W1033" s="957"/>
      <c r="X1033" s="957"/>
      <c r="Y1033" s="957"/>
      <c r="Z1033" s="957"/>
      <c r="AA1033" s="957"/>
      <c r="AB1033" s="957"/>
      <c r="AC1033" s="957"/>
      <c r="AD1033" s="957"/>
    </row>
    <row r="1034" ht="15.75" customHeight="1">
      <c r="A1034" s="518"/>
      <c r="B1034" s="517"/>
      <c r="C1034" s="518"/>
      <c r="D1034" s="992"/>
      <c r="E1034" s="989"/>
      <c r="F1034" s="989"/>
      <c r="G1034" s="993"/>
      <c r="H1034" s="993"/>
      <c r="I1034" s="986"/>
      <c r="J1034" s="523"/>
      <c r="K1034" s="994"/>
      <c r="L1034" s="995"/>
      <c r="M1034" s="704"/>
      <c r="N1034" s="704"/>
      <c r="O1034" s="704"/>
      <c r="P1034" s="957"/>
      <c r="Q1034" s="957"/>
      <c r="R1034" s="957"/>
      <c r="S1034" s="957"/>
      <c r="T1034" s="957"/>
      <c r="U1034" s="957"/>
      <c r="V1034" s="957"/>
      <c r="W1034" s="957"/>
      <c r="X1034" s="957"/>
      <c r="Y1034" s="957"/>
      <c r="Z1034" s="957"/>
      <c r="AA1034" s="957"/>
      <c r="AB1034" s="957"/>
      <c r="AC1034" s="957"/>
      <c r="AD1034" s="957"/>
    </row>
    <row r="1035" ht="15.75" customHeight="1">
      <c r="A1035" s="518"/>
      <c r="B1035" s="517"/>
      <c r="C1035" s="518"/>
      <c r="D1035" s="992"/>
      <c r="E1035" s="989"/>
      <c r="F1035" s="989"/>
      <c r="G1035" s="993"/>
      <c r="H1035" s="993"/>
      <c r="I1035" s="986"/>
      <c r="J1035" s="523"/>
      <c r="K1035" s="994"/>
      <c r="L1035" s="995"/>
      <c r="M1035" s="704"/>
      <c r="N1035" s="704"/>
      <c r="O1035" s="704"/>
      <c r="P1035" s="957"/>
      <c r="Q1035" s="957"/>
      <c r="R1035" s="957"/>
      <c r="S1035" s="957"/>
      <c r="T1035" s="957"/>
      <c r="U1035" s="957"/>
      <c r="V1035" s="957"/>
      <c r="W1035" s="957"/>
      <c r="X1035" s="957"/>
      <c r="Y1035" s="957"/>
      <c r="Z1035" s="957"/>
      <c r="AA1035" s="957"/>
      <c r="AB1035" s="957"/>
      <c r="AC1035" s="957"/>
      <c r="AD1035" s="957"/>
    </row>
    <row r="1036" ht="15.75" customHeight="1">
      <c r="A1036" s="518"/>
      <c r="B1036" s="517"/>
      <c r="C1036" s="518"/>
      <c r="D1036" s="992"/>
      <c r="E1036" s="989"/>
      <c r="F1036" s="989"/>
      <c r="G1036" s="993"/>
      <c r="H1036" s="993"/>
      <c r="I1036" s="986"/>
      <c r="J1036" s="523"/>
      <c r="K1036" s="994"/>
      <c r="L1036" s="995"/>
      <c r="M1036" s="704"/>
      <c r="N1036" s="704"/>
      <c r="O1036" s="704"/>
      <c r="P1036" s="957"/>
      <c r="Q1036" s="957"/>
      <c r="R1036" s="957"/>
      <c r="S1036" s="957"/>
      <c r="T1036" s="957"/>
      <c r="U1036" s="957"/>
      <c r="V1036" s="957"/>
      <c r="W1036" s="957"/>
      <c r="X1036" s="957"/>
      <c r="Y1036" s="957"/>
      <c r="Z1036" s="957"/>
      <c r="AA1036" s="957"/>
      <c r="AB1036" s="957"/>
      <c r="AC1036" s="957"/>
      <c r="AD1036" s="957"/>
    </row>
    <row r="1037" ht="15.75" customHeight="1">
      <c r="A1037" s="518"/>
      <c r="B1037" s="517"/>
      <c r="C1037" s="518"/>
      <c r="D1037" s="992"/>
      <c r="E1037" s="989"/>
      <c r="F1037" s="989"/>
      <c r="G1037" s="993"/>
      <c r="H1037" s="993"/>
      <c r="I1037" s="986"/>
      <c r="J1037" s="523"/>
      <c r="K1037" s="994"/>
      <c r="L1037" s="995"/>
      <c r="M1037" s="704"/>
      <c r="N1037" s="704"/>
      <c r="O1037" s="704"/>
      <c r="P1037" s="957"/>
      <c r="Q1037" s="957"/>
      <c r="R1037" s="957"/>
      <c r="S1037" s="957"/>
      <c r="T1037" s="957"/>
      <c r="U1037" s="957"/>
      <c r="V1037" s="957"/>
      <c r="W1037" s="957"/>
      <c r="X1037" s="957"/>
      <c r="Y1037" s="957"/>
      <c r="Z1037" s="957"/>
      <c r="AA1037" s="957"/>
      <c r="AB1037" s="957"/>
      <c r="AC1037" s="957"/>
      <c r="AD1037" s="957"/>
    </row>
    <row r="1038" ht="15.75" customHeight="1">
      <c r="A1038" s="518"/>
      <c r="B1038" s="517"/>
      <c r="C1038" s="518"/>
      <c r="D1038" s="992"/>
      <c r="E1038" s="989"/>
      <c r="F1038" s="989"/>
      <c r="G1038" s="993"/>
      <c r="H1038" s="993"/>
      <c r="I1038" s="986"/>
      <c r="J1038" s="523"/>
      <c r="K1038" s="994"/>
      <c r="L1038" s="995"/>
      <c r="M1038" s="704"/>
      <c r="N1038" s="704"/>
      <c r="O1038" s="704"/>
      <c r="P1038" s="957"/>
      <c r="Q1038" s="957"/>
      <c r="R1038" s="957"/>
      <c r="S1038" s="957"/>
      <c r="T1038" s="957"/>
      <c r="U1038" s="957"/>
      <c r="V1038" s="957"/>
      <c r="W1038" s="957"/>
      <c r="X1038" s="957"/>
      <c r="Y1038" s="957"/>
      <c r="Z1038" s="957"/>
      <c r="AA1038" s="957"/>
      <c r="AB1038" s="957"/>
      <c r="AC1038" s="957"/>
      <c r="AD1038" s="957"/>
    </row>
    <row r="1039" ht="15.75" customHeight="1">
      <c r="A1039" s="518"/>
      <c r="B1039" s="517"/>
      <c r="C1039" s="518"/>
      <c r="D1039" s="992"/>
      <c r="E1039" s="989"/>
      <c r="F1039" s="989"/>
      <c r="G1039" s="993"/>
      <c r="H1039" s="993"/>
      <c r="I1039" s="986"/>
      <c r="J1039" s="523"/>
      <c r="K1039" s="994"/>
      <c r="L1039" s="995"/>
      <c r="M1039" s="704"/>
      <c r="N1039" s="704"/>
      <c r="O1039" s="704"/>
      <c r="P1039" s="957"/>
      <c r="Q1039" s="957"/>
      <c r="R1039" s="957"/>
      <c r="S1039" s="957"/>
      <c r="T1039" s="957"/>
      <c r="U1039" s="957"/>
      <c r="V1039" s="957"/>
      <c r="W1039" s="957"/>
      <c r="X1039" s="957"/>
      <c r="Y1039" s="957"/>
      <c r="Z1039" s="957"/>
      <c r="AA1039" s="957"/>
      <c r="AB1039" s="957"/>
      <c r="AC1039" s="957"/>
      <c r="AD1039" s="957"/>
    </row>
    <row r="1040" ht="15.75" customHeight="1">
      <c r="A1040" s="518"/>
      <c r="B1040" s="517"/>
      <c r="C1040" s="518"/>
      <c r="D1040" s="992"/>
      <c r="E1040" s="989"/>
      <c r="F1040" s="989"/>
      <c r="G1040" s="993"/>
      <c r="H1040" s="993"/>
      <c r="I1040" s="986"/>
      <c r="J1040" s="523"/>
      <c r="K1040" s="994"/>
      <c r="L1040" s="995"/>
      <c r="M1040" s="704"/>
      <c r="N1040" s="704"/>
      <c r="O1040" s="704"/>
      <c r="P1040" s="957"/>
      <c r="Q1040" s="957"/>
      <c r="R1040" s="957"/>
      <c r="S1040" s="957"/>
      <c r="T1040" s="957"/>
      <c r="U1040" s="957"/>
      <c r="V1040" s="957"/>
      <c r="W1040" s="957"/>
      <c r="X1040" s="957"/>
      <c r="Y1040" s="957"/>
      <c r="Z1040" s="957"/>
      <c r="AA1040" s="957"/>
      <c r="AB1040" s="957"/>
      <c r="AC1040" s="957"/>
      <c r="AD1040" s="957"/>
    </row>
    <row r="1041" ht="15.75" customHeight="1">
      <c r="A1041" s="518"/>
      <c r="B1041" s="517"/>
      <c r="C1041" s="518"/>
      <c r="D1041" s="992"/>
      <c r="E1041" s="989"/>
      <c r="F1041" s="989"/>
      <c r="G1041" s="993"/>
      <c r="H1041" s="993"/>
      <c r="I1041" s="986"/>
      <c r="J1041" s="523"/>
      <c r="K1041" s="994"/>
      <c r="L1041" s="995"/>
      <c r="M1041" s="704"/>
      <c r="N1041" s="704"/>
      <c r="O1041" s="704"/>
      <c r="P1041" s="957"/>
      <c r="Q1041" s="957"/>
      <c r="R1041" s="957"/>
      <c r="S1041" s="957"/>
      <c r="T1041" s="957"/>
      <c r="U1041" s="957"/>
      <c r="V1041" s="957"/>
      <c r="W1041" s="957"/>
      <c r="X1041" s="957"/>
      <c r="Y1041" s="957"/>
      <c r="Z1041" s="957"/>
      <c r="AA1041" s="957"/>
      <c r="AB1041" s="957"/>
      <c r="AC1041" s="957"/>
      <c r="AD1041" s="957"/>
    </row>
    <row r="1042" ht="15.75" customHeight="1">
      <c r="A1042" s="518"/>
      <c r="B1042" s="517"/>
      <c r="C1042" s="518"/>
      <c r="D1042" s="992"/>
      <c r="E1042" s="989"/>
      <c r="F1042" s="989"/>
      <c r="G1042" s="993"/>
      <c r="H1042" s="993"/>
      <c r="I1042" s="986"/>
      <c r="J1042" s="523"/>
      <c r="K1042" s="994"/>
      <c r="L1042" s="995"/>
      <c r="M1042" s="704"/>
      <c r="N1042" s="704"/>
      <c r="O1042" s="704"/>
      <c r="P1042" s="957"/>
      <c r="Q1042" s="957"/>
      <c r="R1042" s="957"/>
      <c r="S1042" s="957"/>
      <c r="T1042" s="957"/>
      <c r="U1042" s="957"/>
      <c r="V1042" s="957"/>
      <c r="W1042" s="957"/>
      <c r="X1042" s="957"/>
      <c r="Y1042" s="957"/>
      <c r="Z1042" s="957"/>
      <c r="AA1042" s="957"/>
      <c r="AB1042" s="957"/>
      <c r="AC1042" s="957"/>
      <c r="AD1042" s="957"/>
    </row>
    <row r="1043" ht="15.75" customHeight="1">
      <c r="A1043" s="518"/>
      <c r="B1043" s="517"/>
      <c r="C1043" s="518"/>
      <c r="D1043" s="992"/>
      <c r="E1043" s="989"/>
      <c r="F1043" s="989"/>
      <c r="G1043" s="993"/>
      <c r="H1043" s="993"/>
      <c r="I1043" s="986"/>
      <c r="J1043" s="523"/>
      <c r="K1043" s="994"/>
      <c r="L1043" s="995"/>
      <c r="M1043" s="704"/>
      <c r="N1043" s="704"/>
      <c r="O1043" s="704"/>
      <c r="P1043" s="957"/>
      <c r="Q1043" s="957"/>
      <c r="R1043" s="957"/>
      <c r="S1043" s="957"/>
      <c r="T1043" s="957"/>
      <c r="U1043" s="957"/>
      <c r="V1043" s="957"/>
      <c r="W1043" s="957"/>
      <c r="X1043" s="957"/>
      <c r="Y1043" s="957"/>
      <c r="Z1043" s="957"/>
      <c r="AA1043" s="957"/>
      <c r="AB1043" s="957"/>
      <c r="AC1043" s="957"/>
      <c r="AD1043" s="957"/>
    </row>
    <row r="1044" ht="15.75" customHeight="1">
      <c r="A1044" s="518"/>
      <c r="B1044" s="517"/>
      <c r="C1044" s="518"/>
      <c r="D1044" s="992"/>
      <c r="E1044" s="989"/>
      <c r="F1044" s="989"/>
      <c r="G1044" s="993"/>
      <c r="H1044" s="993"/>
      <c r="I1044" s="986"/>
      <c r="J1044" s="523"/>
      <c r="K1044" s="994"/>
      <c r="L1044" s="995"/>
      <c r="M1044" s="704"/>
      <c r="N1044" s="704"/>
      <c r="O1044" s="704"/>
      <c r="P1044" s="957"/>
      <c r="Q1044" s="957"/>
      <c r="R1044" s="957"/>
      <c r="S1044" s="957"/>
      <c r="T1044" s="957"/>
      <c r="U1044" s="957"/>
      <c r="V1044" s="957"/>
      <c r="W1044" s="957"/>
      <c r="X1044" s="957"/>
      <c r="Y1044" s="957"/>
      <c r="Z1044" s="957"/>
      <c r="AA1044" s="957"/>
      <c r="AB1044" s="957"/>
      <c r="AC1044" s="957"/>
      <c r="AD1044" s="957"/>
    </row>
    <row r="1045" ht="15.75" customHeight="1">
      <c r="A1045" s="518"/>
      <c r="B1045" s="517"/>
      <c r="C1045" s="518"/>
      <c r="D1045" s="992"/>
      <c r="E1045" s="989"/>
      <c r="F1045" s="989"/>
      <c r="G1045" s="993"/>
      <c r="H1045" s="993"/>
      <c r="I1045" s="986"/>
      <c r="J1045" s="523"/>
      <c r="K1045" s="994"/>
      <c r="L1045" s="995"/>
      <c r="M1045" s="704"/>
      <c r="N1045" s="704"/>
      <c r="O1045" s="704"/>
      <c r="P1045" s="957"/>
      <c r="Q1045" s="957"/>
      <c r="R1045" s="957"/>
      <c r="S1045" s="957"/>
      <c r="T1045" s="957"/>
      <c r="U1045" s="957"/>
      <c r="V1045" s="957"/>
      <c r="W1045" s="957"/>
      <c r="X1045" s="957"/>
      <c r="Y1045" s="957"/>
      <c r="Z1045" s="957"/>
      <c r="AA1045" s="957"/>
      <c r="AB1045" s="957"/>
      <c r="AC1045" s="957"/>
      <c r="AD1045" s="957"/>
    </row>
    <row r="1046" ht="15.75" customHeight="1">
      <c r="A1046" s="518"/>
      <c r="B1046" s="517"/>
      <c r="C1046" s="518"/>
      <c r="D1046" s="992"/>
      <c r="E1046" s="989"/>
      <c r="F1046" s="989"/>
      <c r="G1046" s="993"/>
      <c r="H1046" s="993"/>
      <c r="I1046" s="986"/>
      <c r="J1046" s="523"/>
      <c r="K1046" s="994"/>
      <c r="L1046" s="995"/>
      <c r="M1046" s="704"/>
      <c r="N1046" s="704"/>
      <c r="O1046" s="704"/>
      <c r="P1046" s="957"/>
      <c r="Q1046" s="957"/>
      <c r="R1046" s="957"/>
      <c r="S1046" s="957"/>
      <c r="T1046" s="957"/>
      <c r="U1046" s="957"/>
      <c r="V1046" s="957"/>
      <c r="W1046" s="957"/>
      <c r="X1046" s="957"/>
      <c r="Y1046" s="957"/>
      <c r="Z1046" s="957"/>
      <c r="AA1046" s="957"/>
      <c r="AB1046" s="957"/>
      <c r="AC1046" s="957"/>
      <c r="AD1046" s="957"/>
    </row>
    <row r="1047" ht="15.75" customHeight="1">
      <c r="A1047" s="518"/>
      <c r="B1047" s="517"/>
      <c r="C1047" s="518"/>
      <c r="D1047" s="992"/>
      <c r="E1047" s="989"/>
      <c r="F1047" s="989"/>
      <c r="G1047" s="993"/>
      <c r="H1047" s="993"/>
      <c r="I1047" s="986"/>
      <c r="J1047" s="523"/>
      <c r="K1047" s="994"/>
      <c r="L1047" s="995"/>
      <c r="M1047" s="704"/>
      <c r="N1047" s="704"/>
      <c r="O1047" s="704"/>
      <c r="P1047" s="957"/>
      <c r="Q1047" s="957"/>
      <c r="R1047" s="957"/>
      <c r="S1047" s="957"/>
      <c r="T1047" s="957"/>
      <c r="U1047" s="957"/>
      <c r="V1047" s="957"/>
      <c r="W1047" s="957"/>
      <c r="X1047" s="957"/>
      <c r="Y1047" s="957"/>
      <c r="Z1047" s="957"/>
      <c r="AA1047" s="957"/>
      <c r="AB1047" s="957"/>
      <c r="AC1047" s="957"/>
      <c r="AD1047" s="957"/>
    </row>
    <row r="1048" ht="15.75" customHeight="1">
      <c r="A1048" s="518"/>
      <c r="B1048" s="517"/>
      <c r="C1048" s="518"/>
      <c r="D1048" s="992"/>
      <c r="E1048" s="989"/>
      <c r="F1048" s="989"/>
      <c r="G1048" s="993"/>
      <c r="H1048" s="993"/>
      <c r="I1048" s="986"/>
      <c r="J1048" s="523"/>
      <c r="K1048" s="994"/>
      <c r="L1048" s="995"/>
      <c r="M1048" s="704"/>
      <c r="N1048" s="704"/>
      <c r="O1048" s="704"/>
      <c r="P1048" s="957"/>
      <c r="Q1048" s="957"/>
      <c r="R1048" s="957"/>
      <c r="S1048" s="957"/>
      <c r="T1048" s="957"/>
      <c r="U1048" s="957"/>
      <c r="V1048" s="957"/>
      <c r="W1048" s="957"/>
      <c r="X1048" s="957"/>
      <c r="Y1048" s="957"/>
      <c r="Z1048" s="957"/>
      <c r="AA1048" s="957"/>
      <c r="AB1048" s="957"/>
      <c r="AC1048" s="957"/>
      <c r="AD1048" s="957"/>
    </row>
    <row r="1049" ht="15.75" customHeight="1">
      <c r="A1049" s="518"/>
      <c r="B1049" s="517"/>
      <c r="C1049" s="518"/>
      <c r="D1049" s="992"/>
      <c r="E1049" s="989"/>
      <c r="F1049" s="989"/>
      <c r="G1049" s="993"/>
      <c r="H1049" s="993"/>
      <c r="I1049" s="986"/>
      <c r="J1049" s="523"/>
      <c r="K1049" s="994"/>
      <c r="L1049" s="995"/>
      <c r="M1049" s="704"/>
      <c r="N1049" s="704"/>
      <c r="O1049" s="704"/>
      <c r="P1049" s="957"/>
      <c r="Q1049" s="957"/>
      <c r="R1049" s="957"/>
      <c r="S1049" s="957"/>
      <c r="T1049" s="957"/>
      <c r="U1049" s="957"/>
      <c r="V1049" s="957"/>
      <c r="W1049" s="957"/>
      <c r="X1049" s="957"/>
      <c r="Y1049" s="957"/>
      <c r="Z1049" s="957"/>
      <c r="AA1049" s="957"/>
      <c r="AB1049" s="957"/>
      <c r="AC1049" s="957"/>
      <c r="AD1049" s="957"/>
    </row>
    <row r="1050" ht="15.75" customHeight="1">
      <c r="A1050" s="518"/>
      <c r="B1050" s="517"/>
      <c r="C1050" s="518"/>
      <c r="D1050" s="992"/>
      <c r="E1050" s="989"/>
      <c r="F1050" s="989"/>
      <c r="G1050" s="993"/>
      <c r="H1050" s="993"/>
      <c r="I1050" s="986"/>
      <c r="J1050" s="523"/>
      <c r="K1050" s="994"/>
      <c r="L1050" s="995"/>
      <c r="M1050" s="704"/>
      <c r="N1050" s="704"/>
      <c r="O1050" s="704"/>
      <c r="P1050" s="957"/>
      <c r="Q1050" s="957"/>
      <c r="R1050" s="957"/>
      <c r="S1050" s="957"/>
      <c r="T1050" s="957"/>
      <c r="U1050" s="957"/>
      <c r="V1050" s="957"/>
      <c r="W1050" s="957"/>
      <c r="X1050" s="957"/>
      <c r="Y1050" s="957"/>
      <c r="Z1050" s="957"/>
      <c r="AA1050" s="957"/>
      <c r="AB1050" s="957"/>
      <c r="AC1050" s="957"/>
      <c r="AD1050" s="957"/>
    </row>
    <row r="1051" ht="15.75" customHeight="1">
      <c r="A1051" s="518"/>
      <c r="B1051" s="517"/>
      <c r="C1051" s="518"/>
      <c r="D1051" s="992"/>
      <c r="E1051" s="989"/>
      <c r="F1051" s="989"/>
      <c r="G1051" s="993"/>
      <c r="H1051" s="993"/>
      <c r="I1051" s="986"/>
      <c r="J1051" s="523"/>
      <c r="K1051" s="994"/>
      <c r="L1051" s="995"/>
      <c r="M1051" s="704"/>
      <c r="N1051" s="704"/>
      <c r="O1051" s="704"/>
      <c r="P1051" s="957"/>
      <c r="Q1051" s="957"/>
      <c r="R1051" s="957"/>
      <c r="S1051" s="957"/>
      <c r="T1051" s="957"/>
      <c r="U1051" s="957"/>
      <c r="V1051" s="957"/>
      <c r="W1051" s="957"/>
      <c r="X1051" s="957"/>
      <c r="Y1051" s="957"/>
      <c r="Z1051" s="957"/>
      <c r="AA1051" s="957"/>
      <c r="AB1051" s="957"/>
      <c r="AC1051" s="957"/>
      <c r="AD1051" s="957"/>
    </row>
    <row r="1052" ht="15.75" customHeight="1">
      <c r="A1052" s="518"/>
      <c r="B1052" s="517"/>
      <c r="C1052" s="518"/>
      <c r="D1052" s="992"/>
      <c r="E1052" s="989"/>
      <c r="F1052" s="989"/>
      <c r="G1052" s="993"/>
      <c r="H1052" s="993"/>
      <c r="I1052" s="986"/>
      <c r="J1052" s="523"/>
      <c r="K1052" s="994"/>
      <c r="L1052" s="995"/>
      <c r="M1052" s="704"/>
      <c r="N1052" s="704"/>
      <c r="O1052" s="704"/>
      <c r="P1052" s="957"/>
      <c r="Q1052" s="957"/>
      <c r="R1052" s="957"/>
      <c r="S1052" s="957"/>
      <c r="T1052" s="957"/>
      <c r="U1052" s="957"/>
      <c r="V1052" s="957"/>
      <c r="W1052" s="957"/>
      <c r="X1052" s="957"/>
      <c r="Y1052" s="957"/>
      <c r="Z1052" s="957"/>
      <c r="AA1052" s="957"/>
      <c r="AB1052" s="957"/>
      <c r="AC1052" s="957"/>
      <c r="AD1052" s="957"/>
    </row>
    <row r="1053" ht="15.75" customHeight="1">
      <c r="A1053" s="518"/>
      <c r="B1053" s="517"/>
      <c r="C1053" s="518"/>
      <c r="D1053" s="992"/>
      <c r="E1053" s="989"/>
      <c r="F1053" s="989"/>
      <c r="G1053" s="993"/>
      <c r="H1053" s="993"/>
      <c r="I1053" s="986"/>
      <c r="J1053" s="523"/>
      <c r="K1053" s="994"/>
      <c r="L1053" s="995"/>
      <c r="M1053" s="704"/>
      <c r="N1053" s="704"/>
      <c r="O1053" s="704"/>
      <c r="P1053" s="957"/>
      <c r="Q1053" s="957"/>
      <c r="R1053" s="957"/>
      <c r="S1053" s="957"/>
      <c r="T1053" s="957"/>
      <c r="U1053" s="957"/>
      <c r="V1053" s="957"/>
      <c r="W1053" s="957"/>
      <c r="X1053" s="957"/>
      <c r="Y1053" s="957"/>
      <c r="Z1053" s="957"/>
      <c r="AA1053" s="957"/>
      <c r="AB1053" s="957"/>
      <c r="AC1053" s="957"/>
      <c r="AD1053" s="957"/>
    </row>
    <row r="1054" ht="15.75" customHeight="1">
      <c r="A1054" s="518"/>
      <c r="B1054" s="517"/>
      <c r="C1054" s="518"/>
      <c r="D1054" s="992"/>
      <c r="E1054" s="989"/>
      <c r="F1054" s="989"/>
      <c r="G1054" s="993"/>
      <c r="H1054" s="993"/>
      <c r="I1054" s="986"/>
      <c r="J1054" s="523"/>
      <c r="K1054" s="994"/>
      <c r="L1054" s="995"/>
      <c r="M1054" s="704"/>
      <c r="N1054" s="704"/>
      <c r="O1054" s="704"/>
      <c r="P1054" s="957"/>
      <c r="Q1054" s="957"/>
      <c r="R1054" s="957"/>
      <c r="S1054" s="957"/>
      <c r="T1054" s="957"/>
      <c r="U1054" s="957"/>
      <c r="V1054" s="957"/>
      <c r="W1054" s="957"/>
      <c r="X1054" s="957"/>
      <c r="Y1054" s="957"/>
      <c r="Z1054" s="957"/>
      <c r="AA1054" s="957"/>
      <c r="AB1054" s="957"/>
      <c r="AC1054" s="957"/>
      <c r="AD1054" s="957"/>
    </row>
    <row r="1055" ht="15.75" customHeight="1">
      <c r="A1055" s="518"/>
      <c r="B1055" s="517"/>
      <c r="C1055" s="518"/>
      <c r="D1055" s="992"/>
      <c r="E1055" s="989"/>
      <c r="F1055" s="989"/>
      <c r="G1055" s="993"/>
      <c r="H1055" s="993"/>
      <c r="I1055" s="986"/>
      <c r="J1055" s="523"/>
      <c r="K1055" s="994"/>
      <c r="L1055" s="995"/>
      <c r="M1055" s="704"/>
      <c r="N1055" s="704"/>
      <c r="O1055" s="704"/>
      <c r="P1055" s="957"/>
      <c r="Q1055" s="957"/>
      <c r="R1055" s="957"/>
      <c r="S1055" s="957"/>
      <c r="T1055" s="957"/>
      <c r="U1055" s="957"/>
      <c r="V1055" s="957"/>
      <c r="W1055" s="957"/>
      <c r="X1055" s="957"/>
      <c r="Y1055" s="957"/>
      <c r="Z1055" s="957"/>
      <c r="AA1055" s="957"/>
      <c r="AB1055" s="957"/>
      <c r="AC1055" s="957"/>
      <c r="AD1055" s="957"/>
    </row>
    <row r="1056" ht="15.75" customHeight="1">
      <c r="A1056" s="518"/>
      <c r="B1056" s="517"/>
      <c r="C1056" s="518"/>
      <c r="D1056" s="992"/>
      <c r="E1056" s="989"/>
      <c r="F1056" s="989"/>
      <c r="G1056" s="993"/>
      <c r="H1056" s="993"/>
      <c r="I1056" s="986"/>
      <c r="J1056" s="523"/>
      <c r="K1056" s="994"/>
      <c r="L1056" s="995"/>
      <c r="M1056" s="704"/>
      <c r="N1056" s="704"/>
      <c r="O1056" s="704"/>
      <c r="P1056" s="957"/>
      <c r="Q1056" s="957"/>
      <c r="R1056" s="957"/>
      <c r="S1056" s="957"/>
      <c r="T1056" s="957"/>
      <c r="U1056" s="957"/>
      <c r="V1056" s="957"/>
      <c r="W1056" s="957"/>
      <c r="X1056" s="957"/>
      <c r="Y1056" s="957"/>
      <c r="Z1056" s="957"/>
      <c r="AA1056" s="957"/>
      <c r="AB1056" s="957"/>
      <c r="AC1056" s="957"/>
      <c r="AD1056" s="957"/>
    </row>
    <row r="1057" ht="15.75" customHeight="1">
      <c r="A1057" s="518"/>
      <c r="B1057" s="517"/>
      <c r="C1057" s="518"/>
      <c r="D1057" s="992"/>
      <c r="E1057" s="989"/>
      <c r="F1057" s="989"/>
      <c r="G1057" s="993"/>
      <c r="H1057" s="993"/>
      <c r="I1057" s="986"/>
      <c r="J1057" s="523"/>
      <c r="K1057" s="994"/>
      <c r="L1057" s="995"/>
      <c r="M1057" s="704"/>
      <c r="N1057" s="704"/>
      <c r="O1057" s="704"/>
      <c r="P1057" s="957"/>
      <c r="Q1057" s="957"/>
      <c r="R1057" s="957"/>
      <c r="S1057" s="957"/>
      <c r="T1057" s="957"/>
      <c r="U1057" s="957"/>
      <c r="V1057" s="957"/>
      <c r="W1057" s="957"/>
      <c r="X1057" s="957"/>
      <c r="Y1057" s="957"/>
      <c r="Z1057" s="957"/>
      <c r="AA1057" s="957"/>
      <c r="AB1057" s="957"/>
      <c r="AC1057" s="957"/>
      <c r="AD1057" s="957"/>
    </row>
    <row r="1058" ht="15.75" customHeight="1">
      <c r="A1058" s="518"/>
      <c r="B1058" s="517"/>
      <c r="C1058" s="518"/>
      <c r="D1058" s="992"/>
      <c r="E1058" s="989"/>
      <c r="F1058" s="989"/>
      <c r="G1058" s="993"/>
      <c r="H1058" s="993"/>
      <c r="I1058" s="986"/>
      <c r="J1058" s="523"/>
      <c r="K1058" s="994"/>
      <c r="L1058" s="995"/>
      <c r="M1058" s="704"/>
      <c r="N1058" s="704"/>
      <c r="O1058" s="704"/>
      <c r="P1058" s="957"/>
      <c r="Q1058" s="957"/>
      <c r="R1058" s="957"/>
      <c r="S1058" s="957"/>
      <c r="T1058" s="957"/>
      <c r="U1058" s="957"/>
      <c r="V1058" s="957"/>
      <c r="W1058" s="957"/>
      <c r="X1058" s="957"/>
      <c r="Y1058" s="957"/>
      <c r="Z1058" s="957"/>
      <c r="AA1058" s="957"/>
      <c r="AB1058" s="957"/>
      <c r="AC1058" s="957"/>
      <c r="AD1058" s="957"/>
    </row>
    <row r="1059" ht="15.75" customHeight="1">
      <c r="A1059" s="518"/>
      <c r="B1059" s="517"/>
      <c r="C1059" s="518"/>
      <c r="D1059" s="992"/>
      <c r="E1059" s="989"/>
      <c r="F1059" s="989"/>
      <c r="G1059" s="993"/>
      <c r="H1059" s="993"/>
      <c r="I1059" s="986"/>
      <c r="J1059" s="523"/>
      <c r="K1059" s="994"/>
      <c r="L1059" s="995"/>
      <c r="M1059" s="704"/>
      <c r="N1059" s="704"/>
      <c r="O1059" s="704"/>
      <c r="P1059" s="957"/>
      <c r="Q1059" s="957"/>
      <c r="R1059" s="957"/>
      <c r="S1059" s="957"/>
      <c r="T1059" s="957"/>
      <c r="U1059" s="957"/>
      <c r="V1059" s="957"/>
      <c r="W1059" s="957"/>
      <c r="X1059" s="957"/>
      <c r="Y1059" s="957"/>
      <c r="Z1059" s="957"/>
      <c r="AA1059" s="957"/>
      <c r="AB1059" s="957"/>
      <c r="AC1059" s="957"/>
      <c r="AD1059" s="957"/>
    </row>
    <row r="1060" ht="15.75" customHeight="1">
      <c r="A1060" s="518"/>
      <c r="B1060" s="517"/>
      <c r="C1060" s="518"/>
      <c r="D1060" s="992"/>
      <c r="E1060" s="989"/>
      <c r="F1060" s="989"/>
      <c r="G1060" s="993"/>
      <c r="H1060" s="993"/>
      <c r="I1060" s="986"/>
      <c r="J1060" s="523"/>
      <c r="K1060" s="994"/>
      <c r="L1060" s="995"/>
      <c r="M1060" s="704"/>
      <c r="N1060" s="704"/>
      <c r="O1060" s="704"/>
      <c r="P1060" s="957"/>
      <c r="Q1060" s="957"/>
      <c r="R1060" s="957"/>
      <c r="S1060" s="957"/>
      <c r="T1060" s="957"/>
      <c r="U1060" s="957"/>
      <c r="V1060" s="957"/>
      <c r="W1060" s="957"/>
      <c r="X1060" s="957"/>
      <c r="Y1060" s="957"/>
      <c r="Z1060" s="957"/>
      <c r="AA1060" s="957"/>
      <c r="AB1060" s="957"/>
      <c r="AC1060" s="957"/>
      <c r="AD1060" s="957"/>
    </row>
    <row r="1061" ht="15.75" customHeight="1">
      <c r="A1061" s="518"/>
      <c r="B1061" s="517"/>
      <c r="C1061" s="518"/>
      <c r="D1061" s="992"/>
      <c r="E1061" s="989"/>
      <c r="F1061" s="989"/>
      <c r="G1061" s="993"/>
      <c r="H1061" s="993"/>
      <c r="I1061" s="986"/>
      <c r="J1061" s="523"/>
      <c r="K1061" s="994"/>
      <c r="L1061" s="995"/>
      <c r="M1061" s="704"/>
      <c r="N1061" s="704"/>
      <c r="O1061" s="704"/>
      <c r="P1061" s="957"/>
      <c r="Q1061" s="957"/>
      <c r="R1061" s="957"/>
      <c r="S1061" s="957"/>
      <c r="T1061" s="957"/>
      <c r="U1061" s="957"/>
      <c r="V1061" s="957"/>
      <c r="W1061" s="957"/>
      <c r="X1061" s="957"/>
      <c r="Y1061" s="957"/>
      <c r="Z1061" s="957"/>
      <c r="AA1061" s="957"/>
      <c r="AB1061" s="957"/>
      <c r="AC1061" s="957"/>
      <c r="AD1061" s="957"/>
    </row>
    <row r="1062" ht="15.75" customHeight="1">
      <c r="A1062" s="518"/>
      <c r="B1062" s="517"/>
      <c r="C1062" s="518"/>
      <c r="D1062" s="992"/>
      <c r="E1062" s="989"/>
      <c r="F1062" s="989"/>
      <c r="G1062" s="993"/>
      <c r="H1062" s="993"/>
      <c r="I1062" s="986"/>
      <c r="J1062" s="523"/>
      <c r="K1062" s="994"/>
      <c r="L1062" s="995"/>
      <c r="M1062" s="704"/>
      <c r="N1062" s="704"/>
      <c r="O1062" s="704"/>
      <c r="P1062" s="957"/>
      <c r="Q1062" s="957"/>
      <c r="R1062" s="957"/>
      <c r="S1062" s="957"/>
      <c r="T1062" s="957"/>
      <c r="U1062" s="957"/>
      <c r="V1062" s="957"/>
      <c r="W1062" s="957"/>
      <c r="X1062" s="957"/>
      <c r="Y1062" s="957"/>
      <c r="Z1062" s="957"/>
      <c r="AA1062" s="957"/>
      <c r="AB1062" s="957"/>
      <c r="AC1062" s="957"/>
      <c r="AD1062" s="957"/>
    </row>
    <row r="1063" ht="15.75" customHeight="1">
      <c r="A1063" s="518"/>
      <c r="B1063" s="517"/>
      <c r="C1063" s="518"/>
      <c r="D1063" s="992"/>
      <c r="E1063" s="989"/>
      <c r="F1063" s="989"/>
      <c r="G1063" s="993"/>
      <c r="H1063" s="993"/>
      <c r="I1063" s="986"/>
      <c r="J1063" s="523"/>
      <c r="K1063" s="994"/>
      <c r="L1063" s="995"/>
      <c r="M1063" s="704"/>
      <c r="N1063" s="704"/>
      <c r="O1063" s="704"/>
      <c r="P1063" s="957"/>
      <c r="Q1063" s="957"/>
      <c r="R1063" s="957"/>
      <c r="S1063" s="957"/>
      <c r="T1063" s="957"/>
      <c r="U1063" s="957"/>
      <c r="V1063" s="957"/>
      <c r="W1063" s="957"/>
      <c r="X1063" s="957"/>
      <c r="Y1063" s="957"/>
      <c r="Z1063" s="957"/>
      <c r="AA1063" s="957"/>
      <c r="AB1063" s="957"/>
      <c r="AC1063" s="957"/>
      <c r="AD1063" s="957"/>
    </row>
    <row r="1064" ht="15.75" customHeight="1">
      <c r="A1064" s="518"/>
      <c r="B1064" s="517"/>
      <c r="C1064" s="518"/>
      <c r="D1064" s="992"/>
      <c r="E1064" s="989"/>
      <c r="F1064" s="989"/>
      <c r="G1064" s="993"/>
      <c r="H1064" s="993"/>
      <c r="I1064" s="986"/>
      <c r="J1064" s="523"/>
      <c r="K1064" s="994"/>
      <c r="L1064" s="995"/>
      <c r="M1064" s="704"/>
      <c r="N1064" s="704"/>
      <c r="O1064" s="704"/>
      <c r="P1064" s="957"/>
      <c r="Q1064" s="957"/>
      <c r="R1064" s="957"/>
      <c r="S1064" s="957"/>
      <c r="T1064" s="957"/>
      <c r="U1064" s="957"/>
      <c r="V1064" s="957"/>
      <c r="W1064" s="957"/>
      <c r="X1064" s="957"/>
      <c r="Y1064" s="957"/>
      <c r="Z1064" s="957"/>
      <c r="AA1064" s="957"/>
      <c r="AB1064" s="957"/>
      <c r="AC1064" s="957"/>
      <c r="AD1064" s="957"/>
    </row>
    <row r="1065" ht="15.75" customHeight="1">
      <c r="A1065" s="518"/>
      <c r="B1065" s="517"/>
      <c r="C1065" s="518"/>
      <c r="D1065" s="992"/>
      <c r="E1065" s="989"/>
      <c r="F1065" s="989"/>
      <c r="G1065" s="993"/>
      <c r="H1065" s="993"/>
      <c r="I1065" s="986"/>
      <c r="J1065" s="523"/>
      <c r="K1065" s="994"/>
      <c r="L1065" s="995"/>
      <c r="M1065" s="704"/>
      <c r="N1065" s="704"/>
      <c r="O1065" s="704"/>
      <c r="P1065" s="957"/>
      <c r="Q1065" s="957"/>
      <c r="R1065" s="957"/>
      <c r="S1065" s="957"/>
      <c r="T1065" s="957"/>
      <c r="U1065" s="957"/>
      <c r="V1065" s="957"/>
      <c r="W1065" s="957"/>
      <c r="X1065" s="957"/>
      <c r="Y1065" s="957"/>
      <c r="Z1065" s="957"/>
      <c r="AA1065" s="957"/>
      <c r="AB1065" s="957"/>
      <c r="AC1065" s="957"/>
      <c r="AD1065" s="957"/>
    </row>
    <row r="1066" ht="15.75" customHeight="1">
      <c r="A1066" s="518"/>
      <c r="B1066" s="517"/>
      <c r="C1066" s="518"/>
      <c r="D1066" s="992"/>
      <c r="E1066" s="989"/>
      <c r="F1066" s="989"/>
      <c r="G1066" s="993"/>
      <c r="H1066" s="993"/>
      <c r="I1066" s="986"/>
      <c r="J1066" s="523"/>
      <c r="K1066" s="994"/>
      <c r="L1066" s="995"/>
      <c r="M1066" s="704"/>
      <c r="N1066" s="704"/>
      <c r="O1066" s="704"/>
      <c r="P1066" s="957"/>
      <c r="Q1066" s="957"/>
      <c r="R1066" s="957"/>
      <c r="S1066" s="957"/>
      <c r="T1066" s="957"/>
      <c r="U1066" s="957"/>
      <c r="V1066" s="957"/>
      <c r="W1066" s="957"/>
      <c r="X1066" s="957"/>
      <c r="Y1066" s="957"/>
      <c r="Z1066" s="957"/>
      <c r="AA1066" s="957"/>
      <c r="AB1066" s="957"/>
      <c r="AC1066" s="957"/>
      <c r="AD1066" s="957"/>
    </row>
    <row r="1067" ht="15.75" customHeight="1">
      <c r="A1067" s="518"/>
      <c r="B1067" s="517"/>
      <c r="C1067" s="518"/>
      <c r="D1067" s="992"/>
      <c r="E1067" s="989"/>
      <c r="F1067" s="989"/>
      <c r="G1067" s="993"/>
      <c r="H1067" s="993"/>
      <c r="I1067" s="986"/>
      <c r="J1067" s="523"/>
      <c r="K1067" s="994"/>
      <c r="L1067" s="995"/>
      <c r="M1067" s="704"/>
      <c r="N1067" s="704"/>
      <c r="O1067" s="704"/>
      <c r="P1067" s="957"/>
      <c r="Q1067" s="957"/>
      <c r="R1067" s="957"/>
      <c r="S1067" s="957"/>
      <c r="T1067" s="957"/>
      <c r="U1067" s="957"/>
      <c r="V1067" s="957"/>
      <c r="W1067" s="957"/>
      <c r="X1067" s="957"/>
      <c r="Y1067" s="957"/>
      <c r="Z1067" s="957"/>
      <c r="AA1067" s="957"/>
      <c r="AB1067" s="957"/>
      <c r="AC1067" s="957"/>
      <c r="AD1067" s="957"/>
    </row>
    <row r="1068" ht="15.75" customHeight="1">
      <c r="A1068" s="518"/>
      <c r="B1068" s="517"/>
      <c r="C1068" s="518"/>
      <c r="D1068" s="992"/>
      <c r="E1068" s="989"/>
      <c r="F1068" s="989"/>
      <c r="G1068" s="993"/>
      <c r="H1068" s="993"/>
      <c r="I1068" s="986"/>
      <c r="J1068" s="523"/>
      <c r="K1068" s="994"/>
      <c r="L1068" s="995"/>
      <c r="M1068" s="704"/>
      <c r="N1068" s="704"/>
      <c r="O1068" s="704"/>
      <c r="P1068" s="957"/>
      <c r="Q1068" s="957"/>
      <c r="R1068" s="957"/>
      <c r="S1068" s="957"/>
      <c r="T1068" s="957"/>
      <c r="U1068" s="957"/>
      <c r="V1068" s="957"/>
      <c r="W1068" s="957"/>
      <c r="X1068" s="957"/>
      <c r="Y1068" s="957"/>
      <c r="Z1068" s="957"/>
      <c r="AA1068" s="957"/>
      <c r="AB1068" s="957"/>
      <c r="AC1068" s="957"/>
      <c r="AD1068" s="957"/>
    </row>
    <row r="1069" ht="15.75" customHeight="1">
      <c r="A1069" s="518"/>
      <c r="B1069" s="517"/>
      <c r="C1069" s="518"/>
      <c r="D1069" s="992"/>
      <c r="E1069" s="989"/>
      <c r="F1069" s="989"/>
      <c r="G1069" s="993"/>
      <c r="H1069" s="993"/>
      <c r="I1069" s="986"/>
      <c r="J1069" s="523"/>
      <c r="K1069" s="994"/>
      <c r="L1069" s="995"/>
      <c r="M1069" s="704"/>
      <c r="N1069" s="704"/>
      <c r="O1069" s="704"/>
      <c r="P1069" s="957"/>
      <c r="Q1069" s="957"/>
      <c r="R1069" s="957"/>
      <c r="S1069" s="957"/>
      <c r="T1069" s="957"/>
      <c r="U1069" s="957"/>
      <c r="V1069" s="957"/>
      <c r="W1069" s="957"/>
      <c r="X1069" s="957"/>
      <c r="Y1069" s="957"/>
      <c r="Z1069" s="957"/>
      <c r="AA1069" s="957"/>
      <c r="AB1069" s="957"/>
      <c r="AC1069" s="957"/>
      <c r="AD1069" s="957"/>
    </row>
    <row r="1070" ht="15.75" customHeight="1">
      <c r="A1070" s="518"/>
      <c r="B1070" s="517"/>
      <c r="C1070" s="518"/>
      <c r="D1070" s="992"/>
      <c r="E1070" s="989"/>
      <c r="F1070" s="989"/>
      <c r="G1070" s="993"/>
      <c r="H1070" s="993"/>
      <c r="I1070" s="986"/>
      <c r="J1070" s="523"/>
      <c r="K1070" s="994"/>
      <c r="L1070" s="995"/>
      <c r="M1070" s="704"/>
      <c r="N1070" s="704"/>
      <c r="O1070" s="704"/>
      <c r="P1070" s="957"/>
      <c r="Q1070" s="957"/>
      <c r="R1070" s="957"/>
      <c r="S1070" s="957"/>
      <c r="T1070" s="957"/>
      <c r="U1070" s="957"/>
      <c r="V1070" s="957"/>
      <c r="W1070" s="957"/>
      <c r="X1070" s="957"/>
      <c r="Y1070" s="957"/>
      <c r="Z1070" s="957"/>
      <c r="AA1070" s="957"/>
      <c r="AB1070" s="957"/>
      <c r="AC1070" s="957"/>
      <c r="AD1070" s="957"/>
    </row>
    <row r="1071" ht="15.75" customHeight="1">
      <c r="A1071" s="518"/>
      <c r="B1071" s="517"/>
      <c r="C1071" s="518"/>
      <c r="D1071" s="992"/>
      <c r="E1071" s="989"/>
      <c r="F1071" s="989"/>
      <c r="G1071" s="993"/>
      <c r="H1071" s="993"/>
      <c r="I1071" s="986"/>
      <c r="J1071" s="523"/>
      <c r="K1071" s="994"/>
      <c r="L1071" s="995"/>
      <c r="M1071" s="704"/>
      <c r="N1071" s="704"/>
      <c r="O1071" s="704"/>
      <c r="P1071" s="957"/>
      <c r="Q1071" s="957"/>
      <c r="R1071" s="957"/>
      <c r="S1071" s="957"/>
      <c r="T1071" s="957"/>
      <c r="U1071" s="957"/>
      <c r="V1071" s="957"/>
      <c r="W1071" s="957"/>
      <c r="X1071" s="957"/>
      <c r="Y1071" s="957"/>
      <c r="Z1071" s="957"/>
      <c r="AA1071" s="957"/>
      <c r="AB1071" s="957"/>
      <c r="AC1071" s="957"/>
      <c r="AD1071" s="957"/>
    </row>
    <row r="1072" ht="15.75" customHeight="1">
      <c r="A1072" s="518"/>
      <c r="B1072" s="517"/>
      <c r="C1072" s="518"/>
      <c r="D1072" s="992"/>
      <c r="E1072" s="989"/>
      <c r="F1072" s="989"/>
      <c r="G1072" s="993"/>
      <c r="H1072" s="993"/>
      <c r="I1072" s="986"/>
      <c r="J1072" s="523"/>
      <c r="K1072" s="994"/>
      <c r="L1072" s="995"/>
      <c r="M1072" s="704"/>
      <c r="N1072" s="704"/>
      <c r="O1072" s="704"/>
      <c r="P1072" s="957"/>
      <c r="Q1072" s="957"/>
      <c r="R1072" s="957"/>
      <c r="S1072" s="957"/>
      <c r="T1072" s="957"/>
      <c r="U1072" s="957"/>
      <c r="V1072" s="957"/>
      <c r="W1072" s="957"/>
      <c r="X1072" s="957"/>
      <c r="Y1072" s="957"/>
      <c r="Z1072" s="957"/>
      <c r="AA1072" s="957"/>
      <c r="AB1072" s="957"/>
      <c r="AC1072" s="957"/>
      <c r="AD1072" s="957"/>
    </row>
    <row r="1073" ht="15.75" customHeight="1">
      <c r="A1073" s="518"/>
      <c r="B1073" s="517"/>
      <c r="C1073" s="518"/>
      <c r="D1073" s="992"/>
      <c r="E1073" s="989"/>
      <c r="F1073" s="989"/>
      <c r="G1073" s="993"/>
      <c r="H1073" s="993"/>
      <c r="I1073" s="986"/>
      <c r="J1073" s="523"/>
      <c r="K1073" s="994"/>
      <c r="L1073" s="995"/>
      <c r="M1073" s="704"/>
      <c r="N1073" s="704"/>
      <c r="O1073" s="704"/>
      <c r="P1073" s="957"/>
      <c r="Q1073" s="957"/>
      <c r="R1073" s="957"/>
      <c r="S1073" s="957"/>
      <c r="T1073" s="957"/>
      <c r="U1073" s="957"/>
      <c r="V1073" s="957"/>
      <c r="W1073" s="957"/>
      <c r="X1073" s="957"/>
      <c r="Y1073" s="957"/>
      <c r="Z1073" s="957"/>
      <c r="AA1073" s="957"/>
      <c r="AB1073" s="957"/>
      <c r="AC1073" s="957"/>
      <c r="AD1073" s="957"/>
    </row>
    <row r="1074" ht="15.75" customHeight="1">
      <c r="A1074" s="518"/>
      <c r="B1074" s="517"/>
      <c r="C1074" s="518"/>
      <c r="D1074" s="992"/>
      <c r="E1074" s="989"/>
      <c r="F1074" s="989"/>
      <c r="G1074" s="993"/>
      <c r="H1074" s="993"/>
      <c r="I1074" s="986"/>
      <c r="J1074" s="523"/>
      <c r="K1074" s="994"/>
      <c r="L1074" s="995"/>
      <c r="M1074" s="704"/>
      <c r="N1074" s="704"/>
      <c r="O1074" s="704"/>
      <c r="P1074" s="957"/>
      <c r="Q1074" s="957"/>
      <c r="R1074" s="957"/>
      <c r="S1074" s="957"/>
      <c r="T1074" s="957"/>
      <c r="U1074" s="957"/>
      <c r="V1074" s="957"/>
      <c r="W1074" s="957"/>
      <c r="X1074" s="957"/>
      <c r="Y1074" s="957"/>
      <c r="Z1074" s="957"/>
      <c r="AA1074" s="957"/>
      <c r="AB1074" s="957"/>
      <c r="AC1074" s="957"/>
      <c r="AD1074" s="957"/>
    </row>
    <row r="1075" ht="15.75" customHeight="1">
      <c r="A1075" s="518"/>
      <c r="B1075" s="517"/>
      <c r="C1075" s="518"/>
      <c r="D1075" s="992"/>
      <c r="E1075" s="989"/>
      <c r="F1075" s="989"/>
      <c r="G1075" s="993"/>
      <c r="H1075" s="993"/>
      <c r="I1075" s="986"/>
      <c r="J1075" s="523"/>
      <c r="K1075" s="994"/>
      <c r="L1075" s="995"/>
      <c r="M1075" s="704"/>
      <c r="N1075" s="704"/>
      <c r="O1075" s="704"/>
      <c r="P1075" s="957"/>
      <c r="Q1075" s="957"/>
      <c r="R1075" s="957"/>
      <c r="S1075" s="957"/>
      <c r="T1075" s="957"/>
      <c r="U1075" s="957"/>
      <c r="V1075" s="957"/>
      <c r="W1075" s="957"/>
      <c r="X1075" s="957"/>
      <c r="Y1075" s="957"/>
      <c r="Z1075" s="957"/>
      <c r="AA1075" s="957"/>
      <c r="AB1075" s="957"/>
      <c r="AC1075" s="957"/>
      <c r="AD1075" s="957"/>
    </row>
    <row r="1076" ht="15.75" customHeight="1">
      <c r="A1076" s="518"/>
      <c r="B1076" s="517"/>
      <c r="C1076" s="518"/>
      <c r="D1076" s="992"/>
      <c r="E1076" s="989"/>
      <c r="F1076" s="989"/>
      <c r="G1076" s="993"/>
      <c r="H1076" s="993"/>
      <c r="I1076" s="986"/>
      <c r="J1076" s="523"/>
      <c r="K1076" s="994"/>
      <c r="L1076" s="995"/>
      <c r="M1076" s="704"/>
      <c r="N1076" s="704"/>
      <c r="O1076" s="704"/>
      <c r="P1076" s="957"/>
      <c r="Q1076" s="957"/>
      <c r="R1076" s="957"/>
      <c r="S1076" s="957"/>
      <c r="T1076" s="957"/>
      <c r="U1076" s="957"/>
      <c r="V1076" s="957"/>
      <c r="W1076" s="957"/>
      <c r="X1076" s="957"/>
      <c r="Y1076" s="957"/>
      <c r="Z1076" s="957"/>
      <c r="AA1076" s="957"/>
      <c r="AB1076" s="957"/>
      <c r="AC1076" s="957"/>
      <c r="AD1076" s="957"/>
    </row>
    <row r="1077" ht="15.75" customHeight="1">
      <c r="A1077" s="518"/>
      <c r="B1077" s="517"/>
      <c r="C1077" s="518"/>
      <c r="D1077" s="992"/>
      <c r="E1077" s="989"/>
      <c r="F1077" s="989"/>
      <c r="G1077" s="993"/>
      <c r="H1077" s="993"/>
      <c r="I1077" s="986"/>
      <c r="J1077" s="523"/>
      <c r="K1077" s="994"/>
      <c r="L1077" s="995"/>
      <c r="M1077" s="704"/>
      <c r="N1077" s="704"/>
      <c r="O1077" s="704"/>
      <c r="P1077" s="957"/>
      <c r="Q1077" s="957"/>
      <c r="R1077" s="957"/>
      <c r="S1077" s="957"/>
      <c r="T1077" s="957"/>
      <c r="U1077" s="957"/>
      <c r="V1077" s="957"/>
      <c r="W1077" s="957"/>
      <c r="X1077" s="957"/>
      <c r="Y1077" s="957"/>
      <c r="Z1077" s="957"/>
      <c r="AA1077" s="957"/>
      <c r="AB1077" s="957"/>
      <c r="AC1077" s="957"/>
      <c r="AD1077" s="957"/>
    </row>
    <row r="1078" ht="15.75" customHeight="1">
      <c r="A1078" s="518"/>
      <c r="B1078" s="517"/>
      <c r="C1078" s="518"/>
      <c r="D1078" s="992"/>
      <c r="E1078" s="989"/>
      <c r="F1078" s="989"/>
      <c r="G1078" s="993"/>
      <c r="H1078" s="993"/>
      <c r="I1078" s="986"/>
      <c r="J1078" s="523"/>
      <c r="K1078" s="994"/>
      <c r="L1078" s="995"/>
      <c r="M1078" s="704"/>
      <c r="N1078" s="704"/>
      <c r="O1078" s="704"/>
      <c r="P1078" s="957"/>
      <c r="Q1078" s="957"/>
      <c r="R1078" s="957"/>
      <c r="S1078" s="957"/>
      <c r="T1078" s="957"/>
      <c r="U1078" s="957"/>
      <c r="V1078" s="957"/>
      <c r="W1078" s="957"/>
      <c r="X1078" s="957"/>
      <c r="Y1078" s="957"/>
      <c r="Z1078" s="957"/>
      <c r="AA1078" s="957"/>
      <c r="AB1078" s="957"/>
      <c r="AC1078" s="957"/>
      <c r="AD1078" s="957"/>
    </row>
    <row r="1079" ht="15.75" customHeight="1">
      <c r="A1079" s="518"/>
      <c r="B1079" s="517"/>
      <c r="C1079" s="518"/>
      <c r="D1079" s="992"/>
      <c r="E1079" s="989"/>
      <c r="F1079" s="989"/>
      <c r="G1079" s="993"/>
      <c r="H1079" s="993"/>
      <c r="I1079" s="986"/>
      <c r="J1079" s="523"/>
      <c r="K1079" s="994"/>
      <c r="L1079" s="995"/>
      <c r="M1079" s="704"/>
      <c r="N1079" s="704"/>
      <c r="O1079" s="704"/>
      <c r="P1079" s="957"/>
      <c r="Q1079" s="957"/>
      <c r="R1079" s="957"/>
      <c r="S1079" s="957"/>
      <c r="T1079" s="957"/>
      <c r="U1079" s="957"/>
      <c r="V1079" s="957"/>
      <c r="W1079" s="957"/>
      <c r="X1079" s="957"/>
      <c r="Y1079" s="957"/>
      <c r="Z1079" s="957"/>
      <c r="AA1079" s="957"/>
      <c r="AB1079" s="957"/>
      <c r="AC1079" s="957"/>
      <c r="AD1079" s="957"/>
    </row>
    <row r="1080" ht="15.75" customHeight="1">
      <c r="A1080" s="518"/>
      <c r="B1080" s="517"/>
      <c r="C1080" s="518"/>
      <c r="D1080" s="992"/>
      <c r="E1080" s="989"/>
      <c r="F1080" s="989"/>
      <c r="G1080" s="993"/>
      <c r="H1080" s="993"/>
      <c r="I1080" s="986"/>
      <c r="J1080" s="523"/>
      <c r="K1080" s="994"/>
      <c r="L1080" s="995"/>
      <c r="M1080" s="704"/>
      <c r="N1080" s="704"/>
      <c r="O1080" s="704"/>
      <c r="P1080" s="957"/>
      <c r="Q1080" s="957"/>
      <c r="R1080" s="957"/>
      <c r="S1080" s="957"/>
      <c r="T1080" s="957"/>
      <c r="U1080" s="957"/>
      <c r="V1080" s="957"/>
      <c r="W1080" s="957"/>
      <c r="X1080" s="957"/>
      <c r="Y1080" s="957"/>
      <c r="Z1080" s="957"/>
      <c r="AA1080" s="957"/>
      <c r="AB1080" s="957"/>
      <c r="AC1080" s="957"/>
      <c r="AD1080" s="957"/>
    </row>
    <row r="1081" ht="15.75" customHeight="1">
      <c r="A1081" s="518"/>
      <c r="B1081" s="517"/>
      <c r="C1081" s="518"/>
      <c r="D1081" s="992"/>
      <c r="E1081" s="989"/>
      <c r="F1081" s="989"/>
      <c r="G1081" s="993"/>
      <c r="H1081" s="993"/>
      <c r="I1081" s="986"/>
      <c r="J1081" s="523"/>
      <c r="K1081" s="994"/>
      <c r="L1081" s="995"/>
      <c r="M1081" s="704"/>
      <c r="N1081" s="704"/>
      <c r="O1081" s="704"/>
      <c r="P1081" s="957"/>
      <c r="Q1081" s="957"/>
      <c r="R1081" s="957"/>
      <c r="S1081" s="957"/>
      <c r="T1081" s="957"/>
      <c r="U1081" s="957"/>
      <c r="V1081" s="957"/>
      <c r="W1081" s="957"/>
      <c r="X1081" s="957"/>
      <c r="Y1081" s="957"/>
      <c r="Z1081" s="957"/>
      <c r="AA1081" s="957"/>
      <c r="AB1081" s="957"/>
      <c r="AC1081" s="957"/>
      <c r="AD1081" s="957"/>
    </row>
    <row r="1082" ht="15.75" customHeight="1">
      <c r="A1082" s="518"/>
      <c r="B1082" s="517"/>
      <c r="C1082" s="518"/>
      <c r="D1082" s="992"/>
      <c r="E1082" s="989"/>
      <c r="F1082" s="989"/>
      <c r="G1082" s="993"/>
      <c r="H1082" s="993"/>
      <c r="I1082" s="986"/>
      <c r="J1082" s="523"/>
      <c r="K1082" s="994"/>
      <c r="L1082" s="995"/>
      <c r="M1082" s="704"/>
      <c r="N1082" s="704"/>
      <c r="O1082" s="704"/>
      <c r="P1082" s="957"/>
      <c r="Q1082" s="957"/>
      <c r="R1082" s="957"/>
      <c r="S1082" s="957"/>
      <c r="T1082" s="957"/>
      <c r="U1082" s="957"/>
      <c r="V1082" s="957"/>
      <c r="W1082" s="957"/>
      <c r="X1082" s="957"/>
      <c r="Y1082" s="957"/>
      <c r="Z1082" s="957"/>
      <c r="AA1082" s="957"/>
      <c r="AB1082" s="957"/>
      <c r="AC1082" s="957"/>
      <c r="AD1082" s="957"/>
    </row>
    <row r="1083" ht="15.75" customHeight="1">
      <c r="A1083" s="518"/>
      <c r="B1083" s="517"/>
      <c r="C1083" s="518"/>
      <c r="D1083" s="992"/>
      <c r="E1083" s="989"/>
      <c r="F1083" s="989"/>
      <c r="G1083" s="993"/>
      <c r="H1083" s="993"/>
      <c r="I1083" s="986"/>
      <c r="J1083" s="523"/>
      <c r="K1083" s="994"/>
      <c r="L1083" s="995"/>
      <c r="M1083" s="704"/>
      <c r="N1083" s="704"/>
      <c r="O1083" s="704"/>
      <c r="P1083" s="957"/>
      <c r="Q1083" s="957"/>
      <c r="R1083" s="957"/>
      <c r="S1083" s="957"/>
      <c r="T1083" s="957"/>
      <c r="U1083" s="957"/>
      <c r="V1083" s="957"/>
      <c r="W1083" s="957"/>
      <c r="X1083" s="957"/>
      <c r="Y1083" s="957"/>
      <c r="Z1083" s="957"/>
      <c r="AA1083" s="957"/>
      <c r="AB1083" s="957"/>
      <c r="AC1083" s="957"/>
      <c r="AD1083" s="957"/>
    </row>
    <row r="1084" ht="15.75" customHeight="1">
      <c r="A1084" s="518"/>
      <c r="B1084" s="517"/>
      <c r="C1084" s="518"/>
      <c r="D1084" s="992"/>
      <c r="E1084" s="989"/>
      <c r="F1084" s="989"/>
      <c r="G1084" s="993"/>
      <c r="H1084" s="993"/>
      <c r="I1084" s="986"/>
      <c r="J1084" s="523"/>
      <c r="K1084" s="994"/>
      <c r="L1084" s="995"/>
      <c r="M1084" s="704"/>
      <c r="N1084" s="704"/>
      <c r="O1084" s="704"/>
      <c r="P1084" s="957"/>
      <c r="Q1084" s="957"/>
      <c r="R1084" s="957"/>
      <c r="S1084" s="957"/>
      <c r="T1084" s="957"/>
      <c r="U1084" s="957"/>
      <c r="V1084" s="957"/>
      <c r="W1084" s="957"/>
      <c r="X1084" s="957"/>
      <c r="Y1084" s="957"/>
      <c r="Z1084" s="957"/>
      <c r="AA1084" s="957"/>
      <c r="AB1084" s="957"/>
      <c r="AC1084" s="957"/>
      <c r="AD1084" s="957"/>
    </row>
    <row r="1085" ht="15.75" customHeight="1">
      <c r="A1085" s="518"/>
      <c r="B1085" s="517"/>
      <c r="C1085" s="518"/>
      <c r="D1085" s="992"/>
      <c r="E1085" s="989"/>
      <c r="F1085" s="989"/>
      <c r="G1085" s="993"/>
      <c r="H1085" s="993"/>
      <c r="I1085" s="986"/>
      <c r="J1085" s="523"/>
      <c r="K1085" s="994"/>
      <c r="L1085" s="995"/>
      <c r="M1085" s="704"/>
      <c r="N1085" s="704"/>
      <c r="O1085" s="704"/>
      <c r="P1085" s="957"/>
      <c r="Q1085" s="957"/>
      <c r="R1085" s="957"/>
      <c r="S1085" s="957"/>
      <c r="T1085" s="957"/>
      <c r="U1085" s="957"/>
      <c r="V1085" s="957"/>
      <c r="W1085" s="957"/>
      <c r="X1085" s="957"/>
      <c r="Y1085" s="957"/>
      <c r="Z1085" s="957"/>
      <c r="AA1085" s="957"/>
      <c r="AB1085" s="957"/>
      <c r="AC1085" s="957"/>
      <c r="AD1085" s="957"/>
    </row>
    <row r="1086" ht="15.75" customHeight="1">
      <c r="A1086" s="518"/>
      <c r="B1086" s="517"/>
      <c r="C1086" s="518"/>
      <c r="D1086" s="992"/>
      <c r="E1086" s="989"/>
      <c r="F1086" s="989"/>
      <c r="G1086" s="993"/>
      <c r="H1086" s="993"/>
      <c r="I1086" s="986"/>
      <c r="J1086" s="523"/>
      <c r="K1086" s="994"/>
      <c r="L1086" s="995"/>
      <c r="M1086" s="704"/>
      <c r="N1086" s="704"/>
      <c r="O1086" s="704"/>
      <c r="P1086" s="957"/>
      <c r="Q1086" s="957"/>
      <c r="R1086" s="957"/>
      <c r="S1086" s="957"/>
      <c r="T1086" s="957"/>
      <c r="U1086" s="957"/>
      <c r="V1086" s="957"/>
      <c r="W1086" s="957"/>
      <c r="X1086" s="957"/>
      <c r="Y1086" s="957"/>
      <c r="Z1086" s="957"/>
      <c r="AA1086" s="957"/>
      <c r="AB1086" s="957"/>
      <c r="AC1086" s="957"/>
      <c r="AD1086" s="957"/>
    </row>
    <row r="1087" ht="15.75" customHeight="1">
      <c r="A1087" s="518"/>
      <c r="B1087" s="517"/>
      <c r="C1087" s="518"/>
      <c r="D1087" s="992"/>
      <c r="E1087" s="989"/>
      <c r="F1087" s="989"/>
      <c r="G1087" s="993"/>
      <c r="H1087" s="993"/>
      <c r="I1087" s="986"/>
      <c r="J1087" s="523"/>
      <c r="K1087" s="994"/>
      <c r="L1087" s="995"/>
      <c r="M1087" s="704"/>
      <c r="N1087" s="704"/>
      <c r="O1087" s="704"/>
      <c r="P1087" s="957"/>
      <c r="Q1087" s="957"/>
      <c r="R1087" s="957"/>
      <c r="S1087" s="957"/>
      <c r="T1087" s="957"/>
      <c r="U1087" s="957"/>
      <c r="V1087" s="957"/>
      <c r="W1087" s="957"/>
      <c r="X1087" s="957"/>
      <c r="Y1087" s="957"/>
      <c r="Z1087" s="957"/>
      <c r="AA1087" s="957"/>
      <c r="AB1087" s="957"/>
      <c r="AC1087" s="957"/>
      <c r="AD1087" s="957"/>
    </row>
    <row r="1088" ht="15.75" customHeight="1">
      <c r="A1088" s="518"/>
      <c r="B1088" s="517"/>
      <c r="C1088" s="518"/>
      <c r="D1088" s="992"/>
      <c r="E1088" s="989"/>
      <c r="F1088" s="989"/>
      <c r="G1088" s="993"/>
      <c r="H1088" s="993"/>
      <c r="I1088" s="986"/>
      <c r="J1088" s="523"/>
      <c r="K1088" s="994"/>
      <c r="L1088" s="995"/>
      <c r="M1088" s="704"/>
      <c r="N1088" s="704"/>
      <c r="O1088" s="704"/>
      <c r="P1088" s="957"/>
      <c r="Q1088" s="957"/>
      <c r="R1088" s="957"/>
      <c r="S1088" s="957"/>
      <c r="T1088" s="957"/>
      <c r="U1088" s="957"/>
      <c r="V1088" s="957"/>
      <c r="W1088" s="957"/>
      <c r="X1088" s="957"/>
      <c r="Y1088" s="957"/>
      <c r="Z1088" s="957"/>
      <c r="AA1088" s="957"/>
      <c r="AB1088" s="957"/>
      <c r="AC1088" s="957"/>
      <c r="AD1088" s="957"/>
    </row>
    <row r="1089" ht="15.75" customHeight="1">
      <c r="A1089" s="518"/>
      <c r="B1089" s="517"/>
      <c r="C1089" s="518"/>
      <c r="D1089" s="992"/>
      <c r="E1089" s="989"/>
      <c r="F1089" s="989"/>
      <c r="G1089" s="993"/>
      <c r="H1089" s="993"/>
      <c r="I1089" s="986"/>
      <c r="J1089" s="523"/>
      <c r="K1089" s="994"/>
      <c r="L1089" s="995"/>
      <c r="M1089" s="704"/>
      <c r="N1089" s="704"/>
      <c r="O1089" s="704"/>
      <c r="P1089" s="957"/>
      <c r="Q1089" s="957"/>
      <c r="R1089" s="957"/>
      <c r="S1089" s="957"/>
      <c r="T1089" s="957"/>
      <c r="U1089" s="957"/>
      <c r="V1089" s="957"/>
      <c r="W1089" s="957"/>
      <c r="X1089" s="957"/>
      <c r="Y1089" s="957"/>
      <c r="Z1089" s="957"/>
      <c r="AA1089" s="957"/>
      <c r="AB1089" s="957"/>
      <c r="AC1089" s="957"/>
      <c r="AD1089" s="957"/>
    </row>
    <row r="1090" ht="15.75" customHeight="1">
      <c r="A1090" s="518"/>
      <c r="B1090" s="517"/>
      <c r="C1090" s="518"/>
      <c r="D1090" s="992"/>
      <c r="E1090" s="989"/>
      <c r="F1090" s="989"/>
      <c r="G1090" s="993"/>
      <c r="H1090" s="993"/>
      <c r="I1090" s="986"/>
      <c r="J1090" s="523"/>
      <c r="K1090" s="994"/>
      <c r="L1090" s="995"/>
      <c r="M1090" s="704"/>
      <c r="N1090" s="704"/>
      <c r="O1090" s="704"/>
      <c r="P1090" s="957"/>
      <c r="Q1090" s="957"/>
      <c r="R1090" s="957"/>
      <c r="S1090" s="957"/>
      <c r="T1090" s="957"/>
      <c r="U1090" s="957"/>
      <c r="V1090" s="957"/>
      <c r="W1090" s="957"/>
      <c r="X1090" s="957"/>
      <c r="Y1090" s="957"/>
      <c r="Z1090" s="957"/>
      <c r="AA1090" s="957"/>
      <c r="AB1090" s="957"/>
      <c r="AC1090" s="957"/>
      <c r="AD1090" s="957"/>
    </row>
    <row r="1091" ht="15.75" customHeight="1">
      <c r="A1091" s="518"/>
      <c r="B1091" s="517"/>
      <c r="C1091" s="518"/>
      <c r="D1091" s="992"/>
      <c r="E1091" s="989"/>
      <c r="F1091" s="989"/>
      <c r="G1091" s="993"/>
      <c r="H1091" s="993"/>
      <c r="I1091" s="986"/>
      <c r="J1091" s="523"/>
      <c r="K1091" s="994"/>
      <c r="L1091" s="995"/>
      <c r="M1091" s="704"/>
      <c r="N1091" s="704"/>
      <c r="O1091" s="704"/>
      <c r="P1091" s="957"/>
      <c r="Q1091" s="957"/>
      <c r="R1091" s="957"/>
      <c r="S1091" s="957"/>
      <c r="T1091" s="957"/>
      <c r="U1091" s="957"/>
      <c r="V1091" s="957"/>
      <c r="W1091" s="957"/>
      <c r="X1091" s="957"/>
      <c r="Y1091" s="957"/>
      <c r="Z1091" s="957"/>
      <c r="AA1091" s="957"/>
      <c r="AB1091" s="957"/>
      <c r="AC1091" s="957"/>
      <c r="AD1091" s="957"/>
    </row>
    <row r="1092" ht="15.75" customHeight="1">
      <c r="A1092" s="518"/>
      <c r="B1092" s="517"/>
      <c r="C1092" s="518"/>
      <c r="D1092" s="992"/>
      <c r="E1092" s="989"/>
      <c r="F1092" s="989"/>
      <c r="G1092" s="993"/>
      <c r="H1092" s="993"/>
      <c r="I1092" s="986"/>
      <c r="J1092" s="523"/>
      <c r="K1092" s="994"/>
      <c r="L1092" s="995"/>
      <c r="M1092" s="704"/>
      <c r="N1092" s="704"/>
      <c r="O1092" s="704"/>
      <c r="P1092" s="957"/>
      <c r="Q1092" s="957"/>
      <c r="R1092" s="957"/>
      <c r="S1092" s="957"/>
      <c r="T1092" s="957"/>
      <c r="U1092" s="957"/>
      <c r="V1092" s="957"/>
      <c r="W1092" s="957"/>
      <c r="X1092" s="957"/>
      <c r="Y1092" s="957"/>
      <c r="Z1092" s="957"/>
      <c r="AA1092" s="957"/>
      <c r="AB1092" s="957"/>
      <c r="AC1092" s="957"/>
      <c r="AD1092" s="957"/>
    </row>
    <row r="1093" ht="15.75" customHeight="1">
      <c r="A1093" s="518"/>
      <c r="B1093" s="517"/>
      <c r="C1093" s="518"/>
      <c r="D1093" s="992"/>
      <c r="E1093" s="989"/>
      <c r="F1093" s="989"/>
      <c r="G1093" s="993"/>
      <c r="H1093" s="993"/>
      <c r="I1093" s="986"/>
      <c r="J1093" s="523"/>
      <c r="K1093" s="994"/>
      <c r="L1093" s="995"/>
      <c r="M1093" s="704"/>
      <c r="N1093" s="704"/>
      <c r="O1093" s="704"/>
      <c r="P1093" s="957"/>
      <c r="Q1093" s="957"/>
      <c r="R1093" s="957"/>
      <c r="S1093" s="957"/>
      <c r="T1093" s="957"/>
      <c r="U1093" s="957"/>
      <c r="V1093" s="957"/>
      <c r="W1093" s="957"/>
      <c r="X1093" s="957"/>
      <c r="Y1093" s="957"/>
      <c r="Z1093" s="957"/>
      <c r="AA1093" s="957"/>
      <c r="AB1093" s="957"/>
      <c r="AC1093" s="957"/>
      <c r="AD1093" s="957"/>
    </row>
    <row r="1094" ht="15.75" customHeight="1">
      <c r="A1094" s="518"/>
      <c r="B1094" s="517"/>
      <c r="C1094" s="518"/>
      <c r="D1094" s="992"/>
      <c r="E1094" s="989"/>
      <c r="F1094" s="989"/>
      <c r="G1094" s="993"/>
      <c r="H1094" s="993"/>
      <c r="I1094" s="986"/>
      <c r="J1094" s="523"/>
      <c r="K1094" s="994"/>
      <c r="L1094" s="995"/>
      <c r="M1094" s="704"/>
      <c r="N1094" s="704"/>
      <c r="O1094" s="704"/>
      <c r="P1094" s="957"/>
      <c r="Q1094" s="957"/>
      <c r="R1094" s="957"/>
      <c r="S1094" s="957"/>
      <c r="T1094" s="957"/>
      <c r="U1094" s="957"/>
      <c r="V1094" s="957"/>
      <c r="W1094" s="957"/>
      <c r="X1094" s="957"/>
      <c r="Y1094" s="957"/>
      <c r="Z1094" s="957"/>
      <c r="AA1094" s="957"/>
      <c r="AB1094" s="957"/>
      <c r="AC1094" s="957"/>
      <c r="AD1094" s="957"/>
    </row>
    <row r="1095" ht="15.75" customHeight="1">
      <c r="A1095" s="518"/>
      <c r="B1095" s="517"/>
      <c r="C1095" s="518"/>
      <c r="D1095" s="992"/>
      <c r="E1095" s="989"/>
      <c r="F1095" s="989"/>
      <c r="G1095" s="993"/>
      <c r="H1095" s="993"/>
      <c r="I1095" s="986"/>
      <c r="J1095" s="523"/>
      <c r="K1095" s="994"/>
      <c r="L1095" s="995"/>
      <c r="M1095" s="704"/>
      <c r="N1095" s="704"/>
      <c r="O1095" s="704"/>
      <c r="P1095" s="957"/>
      <c r="Q1095" s="957"/>
      <c r="R1095" s="957"/>
      <c r="S1095" s="957"/>
      <c r="T1095" s="957"/>
      <c r="U1095" s="957"/>
      <c r="V1095" s="957"/>
      <c r="W1095" s="957"/>
      <c r="X1095" s="957"/>
      <c r="Y1095" s="957"/>
      <c r="Z1095" s="957"/>
      <c r="AA1095" s="957"/>
      <c r="AB1095" s="957"/>
      <c r="AC1095" s="957"/>
      <c r="AD1095" s="957"/>
    </row>
    <row r="1096" ht="15.75" customHeight="1">
      <c r="A1096" s="518"/>
      <c r="B1096" s="517"/>
      <c r="C1096" s="518"/>
      <c r="D1096" s="992"/>
      <c r="E1096" s="989"/>
      <c r="F1096" s="989"/>
      <c r="G1096" s="993"/>
      <c r="H1096" s="993"/>
      <c r="I1096" s="986"/>
      <c r="J1096" s="523"/>
      <c r="K1096" s="994"/>
      <c r="L1096" s="995"/>
      <c r="M1096" s="704"/>
      <c r="N1096" s="704"/>
      <c r="O1096" s="704"/>
      <c r="P1096" s="957"/>
      <c r="Q1096" s="957"/>
      <c r="R1096" s="957"/>
      <c r="S1096" s="957"/>
      <c r="T1096" s="957"/>
      <c r="U1096" s="957"/>
      <c r="V1096" s="957"/>
      <c r="W1096" s="957"/>
      <c r="X1096" s="957"/>
      <c r="Y1096" s="957"/>
      <c r="Z1096" s="957"/>
      <c r="AA1096" s="957"/>
      <c r="AB1096" s="957"/>
      <c r="AC1096" s="957"/>
      <c r="AD1096" s="957"/>
    </row>
    <row r="1097" ht="15.75" customHeight="1">
      <c r="A1097" s="518"/>
      <c r="B1097" s="517"/>
      <c r="C1097" s="518"/>
      <c r="D1097" s="992"/>
      <c r="E1097" s="989"/>
      <c r="F1097" s="989"/>
      <c r="G1097" s="993"/>
      <c r="H1097" s="993"/>
      <c r="I1097" s="986"/>
      <c r="J1097" s="523"/>
      <c r="K1097" s="994"/>
      <c r="L1097" s="995"/>
      <c r="M1097" s="704"/>
      <c r="N1097" s="704"/>
      <c r="O1097" s="704"/>
      <c r="P1097" s="957"/>
      <c r="Q1097" s="957"/>
      <c r="R1097" s="957"/>
      <c r="S1097" s="957"/>
      <c r="T1097" s="957"/>
      <c r="U1097" s="957"/>
      <c r="V1097" s="957"/>
      <c r="W1097" s="957"/>
      <c r="X1097" s="957"/>
      <c r="Y1097" s="957"/>
      <c r="Z1097" s="957"/>
      <c r="AA1097" s="957"/>
      <c r="AB1097" s="957"/>
      <c r="AC1097" s="957"/>
      <c r="AD1097" s="957"/>
    </row>
    <row r="1098" ht="15.75" customHeight="1">
      <c r="A1098" s="518"/>
      <c r="B1098" s="517"/>
      <c r="C1098" s="518"/>
      <c r="D1098" s="992"/>
      <c r="E1098" s="989"/>
      <c r="F1098" s="989"/>
      <c r="G1098" s="993"/>
      <c r="H1098" s="993"/>
      <c r="I1098" s="986"/>
      <c r="J1098" s="523"/>
      <c r="K1098" s="994"/>
      <c r="L1098" s="995"/>
      <c r="M1098" s="704"/>
      <c r="N1098" s="704"/>
      <c r="O1098" s="704"/>
      <c r="P1098" s="957"/>
      <c r="Q1098" s="957"/>
      <c r="R1098" s="957"/>
      <c r="S1098" s="957"/>
      <c r="T1098" s="957"/>
      <c r="U1098" s="957"/>
      <c r="V1098" s="957"/>
      <c r="W1098" s="957"/>
      <c r="X1098" s="957"/>
      <c r="Y1098" s="957"/>
      <c r="Z1098" s="957"/>
      <c r="AA1098" s="957"/>
      <c r="AB1098" s="957"/>
      <c r="AC1098" s="957"/>
      <c r="AD1098" s="957"/>
    </row>
    <row r="1099" ht="15.75" customHeight="1">
      <c r="A1099" s="518"/>
      <c r="B1099" s="517"/>
      <c r="C1099" s="518"/>
      <c r="D1099" s="992"/>
      <c r="E1099" s="989"/>
      <c r="F1099" s="989"/>
      <c r="G1099" s="993"/>
      <c r="H1099" s="993"/>
      <c r="I1099" s="986"/>
      <c r="J1099" s="523"/>
      <c r="K1099" s="994"/>
      <c r="L1099" s="995"/>
      <c r="M1099" s="704"/>
      <c r="N1099" s="704"/>
      <c r="O1099" s="704"/>
      <c r="P1099" s="957"/>
      <c r="Q1099" s="957"/>
      <c r="R1099" s="957"/>
      <c r="S1099" s="957"/>
      <c r="T1099" s="957"/>
      <c r="U1099" s="957"/>
      <c r="V1099" s="957"/>
      <c r="W1099" s="957"/>
      <c r="X1099" s="957"/>
      <c r="Y1099" s="957"/>
      <c r="Z1099" s="957"/>
      <c r="AA1099" s="957"/>
      <c r="AB1099" s="957"/>
      <c r="AC1099" s="957"/>
      <c r="AD1099" s="957"/>
    </row>
    <row r="1100" ht="15.75" customHeight="1">
      <c r="A1100" s="518"/>
      <c r="B1100" s="517"/>
      <c r="C1100" s="518"/>
      <c r="D1100" s="992"/>
      <c r="E1100" s="989"/>
      <c r="F1100" s="989"/>
      <c r="G1100" s="993"/>
      <c r="H1100" s="993"/>
      <c r="I1100" s="986"/>
      <c r="J1100" s="523"/>
      <c r="K1100" s="994"/>
      <c r="L1100" s="995"/>
      <c r="M1100" s="704"/>
      <c r="N1100" s="704"/>
      <c r="O1100" s="704"/>
      <c r="P1100" s="957"/>
      <c r="Q1100" s="957"/>
      <c r="R1100" s="957"/>
      <c r="S1100" s="957"/>
      <c r="T1100" s="957"/>
      <c r="U1100" s="957"/>
      <c r="V1100" s="957"/>
      <c r="W1100" s="957"/>
      <c r="X1100" s="957"/>
      <c r="Y1100" s="957"/>
      <c r="Z1100" s="957"/>
      <c r="AA1100" s="957"/>
      <c r="AB1100" s="957"/>
      <c r="AC1100" s="957"/>
      <c r="AD1100" s="957"/>
    </row>
    <row r="1101" ht="15.75" customHeight="1">
      <c r="A1101" s="518"/>
      <c r="B1101" s="517"/>
      <c r="C1101" s="518"/>
      <c r="D1101" s="992"/>
      <c r="E1101" s="989"/>
      <c r="F1101" s="989"/>
      <c r="G1101" s="993"/>
      <c r="H1101" s="993"/>
      <c r="I1101" s="986"/>
      <c r="J1101" s="523"/>
      <c r="K1101" s="994"/>
      <c r="L1101" s="995"/>
      <c r="M1101" s="704"/>
      <c r="N1101" s="704"/>
      <c r="O1101" s="704"/>
      <c r="P1101" s="957"/>
      <c r="Q1101" s="957"/>
      <c r="R1101" s="957"/>
      <c r="S1101" s="957"/>
      <c r="T1101" s="957"/>
      <c r="U1101" s="957"/>
      <c r="V1101" s="957"/>
      <c r="W1101" s="957"/>
      <c r="X1101" s="957"/>
      <c r="Y1101" s="957"/>
      <c r="Z1101" s="957"/>
      <c r="AA1101" s="957"/>
      <c r="AB1101" s="957"/>
      <c r="AC1101" s="957"/>
      <c r="AD1101" s="957"/>
    </row>
    <row r="1102" ht="15.75" customHeight="1">
      <c r="A1102" s="518"/>
      <c r="B1102" s="517"/>
      <c r="C1102" s="518"/>
      <c r="D1102" s="992"/>
      <c r="E1102" s="989"/>
      <c r="F1102" s="989"/>
      <c r="G1102" s="993"/>
      <c r="H1102" s="993"/>
      <c r="I1102" s="986"/>
      <c r="J1102" s="523"/>
      <c r="K1102" s="994"/>
      <c r="L1102" s="995"/>
      <c r="M1102" s="704"/>
      <c r="N1102" s="704"/>
      <c r="O1102" s="704"/>
      <c r="P1102" s="957"/>
      <c r="Q1102" s="957"/>
      <c r="R1102" s="957"/>
      <c r="S1102" s="957"/>
      <c r="T1102" s="957"/>
      <c r="U1102" s="957"/>
      <c r="V1102" s="957"/>
      <c r="W1102" s="957"/>
      <c r="X1102" s="957"/>
      <c r="Y1102" s="957"/>
      <c r="Z1102" s="957"/>
      <c r="AA1102" s="957"/>
      <c r="AB1102" s="957"/>
      <c r="AC1102" s="957"/>
      <c r="AD1102" s="957"/>
    </row>
    <row r="1103" ht="15.75" customHeight="1">
      <c r="A1103" s="518"/>
      <c r="B1103" s="517"/>
      <c r="C1103" s="518"/>
      <c r="D1103" s="992"/>
      <c r="E1103" s="989"/>
      <c r="F1103" s="989"/>
      <c r="G1103" s="993"/>
      <c r="H1103" s="993"/>
      <c r="I1103" s="986"/>
      <c r="J1103" s="523"/>
      <c r="K1103" s="994"/>
      <c r="L1103" s="995"/>
      <c r="M1103" s="704"/>
      <c r="N1103" s="704"/>
      <c r="O1103" s="704"/>
      <c r="P1103" s="957"/>
      <c r="Q1103" s="957"/>
      <c r="R1103" s="957"/>
      <c r="S1103" s="957"/>
      <c r="T1103" s="957"/>
      <c r="U1103" s="957"/>
      <c r="V1103" s="957"/>
      <c r="W1103" s="957"/>
      <c r="X1103" s="957"/>
      <c r="Y1103" s="957"/>
      <c r="Z1103" s="957"/>
      <c r="AA1103" s="957"/>
      <c r="AB1103" s="957"/>
      <c r="AC1103" s="957"/>
      <c r="AD1103" s="957"/>
    </row>
    <row r="1104" ht="15.75" customHeight="1">
      <c r="A1104" s="518"/>
      <c r="B1104" s="517"/>
      <c r="C1104" s="518"/>
      <c r="D1104" s="992"/>
      <c r="E1104" s="989"/>
      <c r="F1104" s="989"/>
      <c r="G1104" s="993"/>
      <c r="H1104" s="993"/>
      <c r="I1104" s="986"/>
      <c r="J1104" s="523"/>
      <c r="K1104" s="994"/>
      <c r="L1104" s="995"/>
      <c r="M1104" s="704"/>
      <c r="N1104" s="704"/>
      <c r="O1104" s="704"/>
      <c r="P1104" s="957"/>
      <c r="Q1104" s="957"/>
      <c r="R1104" s="957"/>
      <c r="S1104" s="957"/>
      <c r="T1104" s="957"/>
      <c r="U1104" s="957"/>
      <c r="V1104" s="957"/>
      <c r="W1104" s="957"/>
      <c r="X1104" s="957"/>
      <c r="Y1104" s="957"/>
      <c r="Z1104" s="957"/>
      <c r="AA1104" s="957"/>
      <c r="AB1104" s="957"/>
      <c r="AC1104" s="957"/>
      <c r="AD1104" s="957"/>
    </row>
    <row r="1105" ht="15.75" customHeight="1">
      <c r="A1105" s="518"/>
      <c r="B1105" s="517"/>
      <c r="C1105" s="518"/>
      <c r="D1105" s="992"/>
      <c r="E1105" s="989"/>
      <c r="F1105" s="989"/>
      <c r="G1105" s="993"/>
      <c r="H1105" s="993"/>
      <c r="I1105" s="986"/>
      <c r="J1105" s="523"/>
      <c r="K1105" s="994"/>
      <c r="L1105" s="995"/>
      <c r="M1105" s="704"/>
      <c r="N1105" s="704"/>
      <c r="O1105" s="704"/>
      <c r="P1105" s="957"/>
      <c r="Q1105" s="957"/>
      <c r="R1105" s="957"/>
      <c r="S1105" s="957"/>
      <c r="T1105" s="957"/>
      <c r="U1105" s="957"/>
      <c r="V1105" s="957"/>
      <c r="W1105" s="957"/>
      <c r="X1105" s="957"/>
      <c r="Y1105" s="957"/>
      <c r="Z1105" s="957"/>
      <c r="AA1105" s="957"/>
      <c r="AB1105" s="957"/>
      <c r="AC1105" s="957"/>
      <c r="AD1105" s="957"/>
    </row>
    <row r="1106" ht="15.75" customHeight="1">
      <c r="A1106" s="518"/>
      <c r="B1106" s="517"/>
      <c r="C1106" s="518"/>
      <c r="D1106" s="992"/>
      <c r="E1106" s="989"/>
      <c r="F1106" s="989"/>
      <c r="G1106" s="993"/>
      <c r="H1106" s="993"/>
      <c r="I1106" s="986"/>
      <c r="J1106" s="523"/>
      <c r="K1106" s="994"/>
      <c r="L1106" s="995"/>
      <c r="M1106" s="704"/>
      <c r="N1106" s="704"/>
      <c r="O1106" s="704"/>
      <c r="P1106" s="957"/>
      <c r="Q1106" s="957"/>
      <c r="R1106" s="957"/>
      <c r="S1106" s="957"/>
      <c r="T1106" s="957"/>
      <c r="U1106" s="957"/>
      <c r="V1106" s="957"/>
      <c r="W1106" s="957"/>
      <c r="X1106" s="957"/>
      <c r="Y1106" s="957"/>
      <c r="Z1106" s="957"/>
      <c r="AA1106" s="957"/>
      <c r="AB1106" s="957"/>
      <c r="AC1106" s="957"/>
      <c r="AD1106" s="957"/>
    </row>
    <row r="1107" ht="15.75" customHeight="1">
      <c r="A1107" s="518"/>
      <c r="B1107" s="517"/>
      <c r="C1107" s="518"/>
      <c r="D1107" s="992"/>
      <c r="E1107" s="989"/>
      <c r="F1107" s="989"/>
      <c r="G1107" s="993"/>
      <c r="H1107" s="993"/>
      <c r="I1107" s="986"/>
      <c r="J1107" s="523"/>
      <c r="K1107" s="994"/>
      <c r="L1107" s="995"/>
      <c r="M1107" s="704"/>
      <c r="N1107" s="704"/>
      <c r="O1107" s="704"/>
      <c r="P1107" s="957"/>
      <c r="Q1107" s="957"/>
      <c r="R1107" s="957"/>
      <c r="S1107" s="957"/>
      <c r="T1107" s="957"/>
      <c r="U1107" s="957"/>
      <c r="V1107" s="957"/>
      <c r="W1107" s="957"/>
      <c r="X1107" s="957"/>
      <c r="Y1107" s="957"/>
      <c r="Z1107" s="957"/>
      <c r="AA1107" s="957"/>
      <c r="AB1107" s="957"/>
      <c r="AC1107" s="957"/>
      <c r="AD1107" s="957"/>
    </row>
    <row r="1108" ht="15.75" customHeight="1">
      <c r="A1108" s="518"/>
      <c r="B1108" s="517"/>
      <c r="C1108" s="518"/>
      <c r="D1108" s="992"/>
      <c r="E1108" s="989"/>
      <c r="F1108" s="989"/>
      <c r="G1108" s="993"/>
      <c r="H1108" s="993"/>
      <c r="I1108" s="986"/>
      <c r="J1108" s="523"/>
      <c r="K1108" s="994"/>
      <c r="L1108" s="995"/>
      <c r="M1108" s="704"/>
      <c r="N1108" s="704"/>
      <c r="O1108" s="704"/>
      <c r="P1108" s="957"/>
      <c r="Q1108" s="957"/>
      <c r="R1108" s="957"/>
      <c r="S1108" s="957"/>
      <c r="T1108" s="957"/>
      <c r="U1108" s="957"/>
      <c r="V1108" s="957"/>
      <c r="W1108" s="957"/>
      <c r="X1108" s="957"/>
      <c r="Y1108" s="957"/>
      <c r="Z1108" s="957"/>
      <c r="AA1108" s="957"/>
      <c r="AB1108" s="957"/>
      <c r="AC1108" s="957"/>
      <c r="AD1108" s="957"/>
    </row>
    <row r="1109" ht="15.75" customHeight="1">
      <c r="A1109" s="518"/>
      <c r="B1109" s="517"/>
      <c r="C1109" s="518"/>
      <c r="D1109" s="992"/>
      <c r="E1109" s="989"/>
      <c r="F1109" s="989"/>
      <c r="G1109" s="993"/>
      <c r="H1109" s="993"/>
      <c r="I1109" s="986"/>
      <c r="J1109" s="523"/>
      <c r="K1109" s="994"/>
      <c r="L1109" s="995"/>
      <c r="M1109" s="704"/>
      <c r="N1109" s="704"/>
      <c r="O1109" s="704"/>
      <c r="P1109" s="957"/>
      <c r="Q1109" s="957"/>
      <c r="R1109" s="957"/>
      <c r="S1109" s="957"/>
      <c r="T1109" s="957"/>
      <c r="U1109" s="957"/>
      <c r="V1109" s="957"/>
      <c r="W1109" s="957"/>
      <c r="X1109" s="957"/>
      <c r="Y1109" s="957"/>
      <c r="Z1109" s="957"/>
      <c r="AA1109" s="957"/>
      <c r="AB1109" s="957"/>
      <c r="AC1109" s="957"/>
      <c r="AD1109" s="957"/>
    </row>
    <row r="1110" ht="15.75" customHeight="1">
      <c r="A1110" s="518"/>
      <c r="B1110" s="517"/>
      <c r="C1110" s="518"/>
      <c r="D1110" s="992"/>
      <c r="E1110" s="989"/>
      <c r="F1110" s="989"/>
      <c r="G1110" s="993"/>
      <c r="H1110" s="993"/>
      <c r="I1110" s="986"/>
      <c r="J1110" s="523"/>
      <c r="K1110" s="994"/>
      <c r="L1110" s="995"/>
      <c r="M1110" s="704"/>
      <c r="N1110" s="704"/>
      <c r="O1110" s="704"/>
      <c r="P1110" s="957"/>
      <c r="Q1110" s="957"/>
      <c r="R1110" s="957"/>
      <c r="S1110" s="957"/>
      <c r="T1110" s="957"/>
      <c r="U1110" s="957"/>
      <c r="V1110" s="957"/>
      <c r="W1110" s="957"/>
      <c r="X1110" s="957"/>
      <c r="Y1110" s="957"/>
      <c r="Z1110" s="957"/>
      <c r="AA1110" s="957"/>
      <c r="AB1110" s="957"/>
      <c r="AC1110" s="957"/>
      <c r="AD1110" s="957"/>
    </row>
    <row r="1111" ht="15.75" customHeight="1">
      <c r="A1111" s="518"/>
      <c r="B1111" s="517"/>
      <c r="C1111" s="518"/>
      <c r="D1111" s="992"/>
      <c r="E1111" s="989"/>
      <c r="F1111" s="989"/>
      <c r="G1111" s="993"/>
      <c r="H1111" s="993"/>
      <c r="I1111" s="986"/>
      <c r="J1111" s="523"/>
      <c r="K1111" s="994"/>
      <c r="L1111" s="995"/>
      <c r="M1111" s="704"/>
      <c r="N1111" s="704"/>
      <c r="O1111" s="704"/>
      <c r="P1111" s="957"/>
      <c r="Q1111" s="957"/>
      <c r="R1111" s="957"/>
      <c r="S1111" s="957"/>
      <c r="T1111" s="957"/>
      <c r="U1111" s="957"/>
      <c r="V1111" s="957"/>
      <c r="W1111" s="957"/>
      <c r="X1111" s="957"/>
      <c r="Y1111" s="957"/>
      <c r="Z1111" s="957"/>
      <c r="AA1111" s="957"/>
      <c r="AB1111" s="957"/>
      <c r="AC1111" s="957"/>
      <c r="AD1111" s="957"/>
    </row>
    <row r="1112" ht="15.75" customHeight="1">
      <c r="A1112" s="518"/>
      <c r="B1112" s="517"/>
      <c r="C1112" s="518"/>
      <c r="D1112" s="992"/>
      <c r="E1112" s="989"/>
      <c r="F1112" s="989"/>
      <c r="G1112" s="993"/>
      <c r="H1112" s="993"/>
      <c r="I1112" s="986"/>
      <c r="J1112" s="523"/>
      <c r="K1112" s="994"/>
      <c r="L1112" s="995"/>
      <c r="M1112" s="704"/>
      <c r="N1112" s="704"/>
      <c r="O1112" s="704"/>
      <c r="P1112" s="957"/>
      <c r="Q1112" s="957"/>
      <c r="R1112" s="957"/>
      <c r="S1112" s="957"/>
      <c r="T1112" s="957"/>
      <c r="U1112" s="957"/>
      <c r="V1112" s="957"/>
      <c r="W1112" s="957"/>
      <c r="X1112" s="957"/>
      <c r="Y1112" s="957"/>
      <c r="Z1112" s="957"/>
      <c r="AA1112" s="957"/>
      <c r="AB1112" s="957"/>
      <c r="AC1112" s="957"/>
      <c r="AD1112" s="957"/>
    </row>
    <row r="1113" ht="15.75" customHeight="1">
      <c r="A1113" s="518"/>
      <c r="B1113" s="517"/>
      <c r="C1113" s="518"/>
      <c r="D1113" s="992"/>
      <c r="E1113" s="989"/>
      <c r="F1113" s="989"/>
      <c r="G1113" s="993"/>
      <c r="H1113" s="993"/>
      <c r="I1113" s="986"/>
      <c r="J1113" s="523"/>
      <c r="K1113" s="994"/>
      <c r="L1113" s="995"/>
      <c r="M1113" s="704"/>
      <c r="N1113" s="704"/>
      <c r="O1113" s="704"/>
      <c r="P1113" s="957"/>
      <c r="Q1113" s="957"/>
      <c r="R1113" s="957"/>
      <c r="S1113" s="957"/>
      <c r="T1113" s="957"/>
      <c r="U1113" s="957"/>
      <c r="V1113" s="957"/>
      <c r="W1113" s="957"/>
      <c r="X1113" s="957"/>
      <c r="Y1113" s="957"/>
      <c r="Z1113" s="957"/>
      <c r="AA1113" s="957"/>
      <c r="AB1113" s="957"/>
      <c r="AC1113" s="957"/>
      <c r="AD1113" s="957"/>
    </row>
    <row r="1114" ht="15.75" customHeight="1">
      <c r="A1114" s="518"/>
      <c r="B1114" s="517"/>
      <c r="C1114" s="518"/>
      <c r="D1114" s="992"/>
      <c r="E1114" s="989"/>
      <c r="F1114" s="989"/>
      <c r="G1114" s="993"/>
      <c r="H1114" s="993"/>
      <c r="I1114" s="986"/>
      <c r="J1114" s="523"/>
      <c r="K1114" s="994"/>
      <c r="L1114" s="995"/>
      <c r="M1114" s="704"/>
      <c r="N1114" s="704"/>
      <c r="O1114" s="704"/>
      <c r="P1114" s="957"/>
      <c r="Q1114" s="957"/>
      <c r="R1114" s="957"/>
      <c r="S1114" s="957"/>
      <c r="T1114" s="957"/>
      <c r="U1114" s="957"/>
      <c r="V1114" s="957"/>
      <c r="W1114" s="957"/>
      <c r="X1114" s="957"/>
      <c r="Y1114" s="957"/>
      <c r="Z1114" s="957"/>
      <c r="AA1114" s="957"/>
      <c r="AB1114" s="957"/>
      <c r="AC1114" s="957"/>
      <c r="AD1114" s="957"/>
    </row>
    <row r="1115" ht="15.75" customHeight="1">
      <c r="A1115" s="518"/>
      <c r="B1115" s="517"/>
      <c r="C1115" s="518"/>
      <c r="D1115" s="992"/>
      <c r="E1115" s="989"/>
      <c r="F1115" s="989"/>
      <c r="G1115" s="993"/>
      <c r="H1115" s="993"/>
      <c r="I1115" s="986"/>
      <c r="J1115" s="523"/>
      <c r="K1115" s="994"/>
      <c r="L1115" s="995"/>
      <c r="M1115" s="704"/>
      <c r="N1115" s="704"/>
      <c r="O1115" s="704"/>
      <c r="P1115" s="957"/>
      <c r="Q1115" s="957"/>
      <c r="R1115" s="957"/>
      <c r="S1115" s="957"/>
      <c r="T1115" s="957"/>
      <c r="U1115" s="957"/>
      <c r="V1115" s="957"/>
      <c r="W1115" s="957"/>
      <c r="X1115" s="957"/>
      <c r="Y1115" s="957"/>
      <c r="Z1115" s="957"/>
      <c r="AA1115" s="957"/>
      <c r="AB1115" s="957"/>
      <c r="AC1115" s="957"/>
      <c r="AD1115" s="957"/>
    </row>
    <row r="1116" ht="15.75" customHeight="1">
      <c r="A1116" s="518"/>
      <c r="B1116" s="517"/>
      <c r="C1116" s="518"/>
      <c r="D1116" s="992"/>
      <c r="E1116" s="989"/>
      <c r="F1116" s="989"/>
      <c r="G1116" s="993"/>
      <c r="H1116" s="993"/>
      <c r="I1116" s="986"/>
      <c r="J1116" s="523"/>
      <c r="K1116" s="994"/>
      <c r="L1116" s="995"/>
      <c r="M1116" s="704"/>
      <c r="N1116" s="704"/>
      <c r="O1116" s="704"/>
      <c r="P1116" s="957"/>
      <c r="Q1116" s="957"/>
      <c r="R1116" s="957"/>
      <c r="S1116" s="957"/>
      <c r="T1116" s="957"/>
      <c r="U1116" s="957"/>
      <c r="V1116" s="957"/>
      <c r="W1116" s="957"/>
      <c r="X1116" s="957"/>
      <c r="Y1116" s="957"/>
      <c r="Z1116" s="957"/>
      <c r="AA1116" s="957"/>
      <c r="AB1116" s="957"/>
      <c r="AC1116" s="957"/>
      <c r="AD1116" s="957"/>
    </row>
    <row r="1117" ht="15.75" customHeight="1">
      <c r="A1117" s="518"/>
      <c r="B1117" s="517"/>
      <c r="C1117" s="518"/>
      <c r="D1117" s="992"/>
      <c r="E1117" s="989"/>
      <c r="F1117" s="989"/>
      <c r="G1117" s="993"/>
      <c r="H1117" s="993"/>
      <c r="I1117" s="986"/>
      <c r="J1117" s="523"/>
      <c r="K1117" s="994"/>
      <c r="L1117" s="995"/>
      <c r="M1117" s="704"/>
      <c r="N1117" s="704"/>
      <c r="O1117" s="704"/>
      <c r="P1117" s="957"/>
      <c r="Q1117" s="957"/>
      <c r="R1117" s="957"/>
      <c r="S1117" s="957"/>
      <c r="T1117" s="957"/>
      <c r="U1117" s="957"/>
      <c r="V1117" s="957"/>
      <c r="W1117" s="957"/>
      <c r="X1117" s="957"/>
      <c r="Y1117" s="957"/>
      <c r="Z1117" s="957"/>
      <c r="AA1117" s="957"/>
      <c r="AB1117" s="957"/>
      <c r="AC1117" s="957"/>
      <c r="AD1117" s="957"/>
    </row>
    <row r="1118" ht="15.75" customHeight="1">
      <c r="A1118" s="518"/>
      <c r="B1118" s="517"/>
      <c r="C1118" s="518"/>
      <c r="D1118" s="992"/>
      <c r="E1118" s="989"/>
      <c r="F1118" s="989"/>
      <c r="G1118" s="993"/>
      <c r="H1118" s="993"/>
      <c r="I1118" s="986"/>
      <c r="J1118" s="523"/>
      <c r="K1118" s="994"/>
      <c r="L1118" s="995"/>
      <c r="M1118" s="704"/>
      <c r="N1118" s="704"/>
      <c r="O1118" s="704"/>
      <c r="P1118" s="957"/>
      <c r="Q1118" s="957"/>
      <c r="R1118" s="957"/>
      <c r="S1118" s="957"/>
      <c r="T1118" s="957"/>
      <c r="U1118" s="957"/>
      <c r="V1118" s="957"/>
      <c r="W1118" s="957"/>
      <c r="X1118" s="957"/>
      <c r="Y1118" s="957"/>
      <c r="Z1118" s="957"/>
      <c r="AA1118" s="957"/>
      <c r="AB1118" s="957"/>
      <c r="AC1118" s="957"/>
      <c r="AD1118" s="957"/>
    </row>
    <row r="1119" ht="15.75" customHeight="1">
      <c r="A1119" s="518"/>
      <c r="B1119" s="517"/>
      <c r="C1119" s="518"/>
      <c r="D1119" s="992"/>
      <c r="E1119" s="989"/>
      <c r="F1119" s="989"/>
      <c r="G1119" s="993"/>
      <c r="H1119" s="993"/>
      <c r="I1119" s="986"/>
      <c r="J1119" s="523"/>
      <c r="K1119" s="994"/>
      <c r="L1119" s="995"/>
      <c r="M1119" s="704"/>
      <c r="N1119" s="704"/>
      <c r="O1119" s="704"/>
      <c r="P1119" s="957"/>
      <c r="Q1119" s="957"/>
      <c r="R1119" s="957"/>
      <c r="S1119" s="957"/>
      <c r="T1119" s="957"/>
      <c r="U1119" s="957"/>
      <c r="V1119" s="957"/>
      <c r="W1119" s="957"/>
      <c r="X1119" s="957"/>
      <c r="Y1119" s="957"/>
      <c r="Z1119" s="957"/>
      <c r="AA1119" s="957"/>
      <c r="AB1119" s="957"/>
      <c r="AC1119" s="957"/>
      <c r="AD1119" s="957"/>
    </row>
    <row r="1120" ht="15.75" customHeight="1">
      <c r="A1120" s="518"/>
      <c r="B1120" s="517"/>
      <c r="C1120" s="518"/>
      <c r="D1120" s="992"/>
      <c r="E1120" s="989"/>
      <c r="F1120" s="989"/>
      <c r="G1120" s="993"/>
      <c r="H1120" s="993"/>
      <c r="I1120" s="986"/>
      <c r="J1120" s="523"/>
      <c r="K1120" s="994"/>
      <c r="L1120" s="995"/>
      <c r="M1120" s="704"/>
      <c r="N1120" s="704"/>
      <c r="O1120" s="704"/>
      <c r="P1120" s="957"/>
      <c r="Q1120" s="957"/>
      <c r="R1120" s="957"/>
      <c r="S1120" s="957"/>
      <c r="T1120" s="957"/>
      <c r="U1120" s="957"/>
      <c r="V1120" s="957"/>
      <c r="W1120" s="957"/>
      <c r="X1120" s="957"/>
      <c r="Y1120" s="957"/>
      <c r="Z1120" s="957"/>
      <c r="AA1120" s="957"/>
      <c r="AB1120" s="957"/>
      <c r="AC1120" s="957"/>
      <c r="AD1120" s="957"/>
    </row>
    <row r="1121" ht="15.75" customHeight="1">
      <c r="A1121" s="518"/>
      <c r="B1121" s="517"/>
      <c r="C1121" s="518"/>
      <c r="D1121" s="992"/>
      <c r="E1121" s="989"/>
      <c r="F1121" s="989"/>
      <c r="G1121" s="993"/>
      <c r="H1121" s="993"/>
      <c r="I1121" s="986"/>
      <c r="J1121" s="523"/>
      <c r="K1121" s="994"/>
      <c r="L1121" s="995"/>
      <c r="M1121" s="704"/>
      <c r="N1121" s="704"/>
      <c r="O1121" s="704"/>
      <c r="P1121" s="957"/>
      <c r="Q1121" s="957"/>
      <c r="R1121" s="957"/>
      <c r="S1121" s="957"/>
      <c r="T1121" s="957"/>
      <c r="U1121" s="957"/>
      <c r="V1121" s="957"/>
      <c r="W1121" s="957"/>
      <c r="X1121" s="957"/>
      <c r="Y1121" s="957"/>
      <c r="Z1121" s="957"/>
      <c r="AA1121" s="957"/>
      <c r="AB1121" s="957"/>
      <c r="AC1121" s="957"/>
      <c r="AD1121" s="957"/>
    </row>
    <row r="1122" ht="15.75" customHeight="1">
      <c r="A1122" s="518"/>
      <c r="B1122" s="517"/>
      <c r="C1122" s="518"/>
      <c r="D1122" s="992"/>
      <c r="E1122" s="989"/>
      <c r="F1122" s="989"/>
      <c r="G1122" s="993"/>
      <c r="H1122" s="993"/>
      <c r="I1122" s="986"/>
      <c r="J1122" s="523"/>
      <c r="K1122" s="994"/>
      <c r="L1122" s="995"/>
      <c r="M1122" s="704"/>
      <c r="N1122" s="704"/>
      <c r="O1122" s="704"/>
      <c r="P1122" s="957"/>
      <c r="Q1122" s="957"/>
      <c r="R1122" s="957"/>
      <c r="S1122" s="957"/>
      <c r="T1122" s="957"/>
      <c r="U1122" s="957"/>
      <c r="V1122" s="957"/>
      <c r="W1122" s="957"/>
      <c r="X1122" s="957"/>
      <c r="Y1122" s="957"/>
      <c r="Z1122" s="957"/>
      <c r="AA1122" s="957"/>
      <c r="AB1122" s="957"/>
      <c r="AC1122" s="957"/>
      <c r="AD1122" s="957"/>
    </row>
    <row r="1123" ht="15.75" customHeight="1">
      <c r="A1123" s="518"/>
      <c r="B1123" s="517"/>
      <c r="C1123" s="518"/>
      <c r="D1123" s="992"/>
      <c r="E1123" s="989"/>
      <c r="F1123" s="989"/>
      <c r="G1123" s="993"/>
      <c r="H1123" s="993"/>
      <c r="I1123" s="986"/>
      <c r="J1123" s="523"/>
      <c r="K1123" s="994"/>
      <c r="L1123" s="995"/>
      <c r="M1123" s="704"/>
      <c r="N1123" s="704"/>
      <c r="O1123" s="704"/>
      <c r="P1123" s="957"/>
      <c r="Q1123" s="957"/>
      <c r="R1123" s="957"/>
      <c r="S1123" s="957"/>
      <c r="T1123" s="957"/>
      <c r="U1123" s="957"/>
      <c r="V1123" s="957"/>
      <c r="W1123" s="957"/>
      <c r="X1123" s="957"/>
      <c r="Y1123" s="957"/>
      <c r="Z1123" s="957"/>
      <c r="AA1123" s="957"/>
      <c r="AB1123" s="957"/>
      <c r="AC1123" s="957"/>
      <c r="AD1123" s="957"/>
    </row>
    <row r="1124" ht="15.75" customHeight="1">
      <c r="A1124" s="518"/>
      <c r="B1124" s="517"/>
      <c r="C1124" s="518"/>
      <c r="D1124" s="992"/>
      <c r="E1124" s="989"/>
      <c r="F1124" s="989"/>
      <c r="G1124" s="993"/>
      <c r="H1124" s="993"/>
      <c r="I1124" s="986"/>
      <c r="J1124" s="523"/>
      <c r="K1124" s="994"/>
      <c r="L1124" s="995"/>
      <c r="M1124" s="704"/>
      <c r="N1124" s="704"/>
      <c r="O1124" s="704"/>
      <c r="P1124" s="957"/>
      <c r="Q1124" s="957"/>
      <c r="R1124" s="957"/>
      <c r="S1124" s="957"/>
      <c r="T1124" s="957"/>
      <c r="U1124" s="957"/>
      <c r="V1124" s="957"/>
      <c r="W1124" s="957"/>
      <c r="X1124" s="957"/>
      <c r="Y1124" s="957"/>
      <c r="Z1124" s="957"/>
      <c r="AA1124" s="957"/>
      <c r="AB1124" s="957"/>
      <c r="AC1124" s="957"/>
      <c r="AD1124" s="957"/>
    </row>
    <row r="1125" ht="15.75" customHeight="1">
      <c r="A1125" s="518"/>
      <c r="B1125" s="517"/>
      <c r="C1125" s="518"/>
      <c r="D1125" s="992"/>
      <c r="E1125" s="989"/>
      <c r="F1125" s="989"/>
      <c r="G1125" s="993"/>
      <c r="H1125" s="993"/>
      <c r="I1125" s="986"/>
      <c r="J1125" s="523"/>
      <c r="K1125" s="994"/>
      <c r="L1125" s="995"/>
      <c r="M1125" s="704"/>
      <c r="N1125" s="704"/>
      <c r="O1125" s="704"/>
      <c r="P1125" s="957"/>
      <c r="Q1125" s="957"/>
      <c r="R1125" s="957"/>
      <c r="S1125" s="957"/>
      <c r="T1125" s="957"/>
      <c r="U1125" s="957"/>
      <c r="V1125" s="957"/>
      <c r="W1125" s="957"/>
      <c r="X1125" s="957"/>
      <c r="Y1125" s="957"/>
      <c r="Z1125" s="957"/>
      <c r="AA1125" s="957"/>
      <c r="AB1125" s="957"/>
      <c r="AC1125" s="957"/>
      <c r="AD1125" s="957"/>
    </row>
    <row r="1126" ht="15.75" customHeight="1">
      <c r="A1126" s="518"/>
      <c r="B1126" s="517"/>
      <c r="C1126" s="518"/>
      <c r="D1126" s="992"/>
      <c r="E1126" s="989"/>
      <c r="F1126" s="989"/>
      <c r="G1126" s="993"/>
      <c r="H1126" s="993"/>
      <c r="I1126" s="986"/>
      <c r="J1126" s="523"/>
      <c r="K1126" s="994"/>
      <c r="L1126" s="995"/>
      <c r="M1126" s="704"/>
      <c r="N1126" s="704"/>
      <c r="O1126" s="704"/>
      <c r="P1126" s="957"/>
      <c r="Q1126" s="957"/>
      <c r="R1126" s="957"/>
      <c r="S1126" s="957"/>
      <c r="T1126" s="957"/>
      <c r="U1126" s="957"/>
      <c r="V1126" s="957"/>
      <c r="W1126" s="957"/>
      <c r="X1126" s="957"/>
      <c r="Y1126" s="957"/>
      <c r="Z1126" s="957"/>
      <c r="AA1126" s="957"/>
      <c r="AB1126" s="957"/>
      <c r="AC1126" s="957"/>
      <c r="AD1126" s="957"/>
    </row>
    <row r="1127" ht="15.75" customHeight="1">
      <c r="A1127" s="518"/>
      <c r="B1127" s="517"/>
      <c r="C1127" s="518"/>
      <c r="D1127" s="992"/>
      <c r="E1127" s="989"/>
      <c r="F1127" s="989"/>
      <c r="G1127" s="993"/>
      <c r="H1127" s="993"/>
      <c r="I1127" s="986"/>
      <c r="J1127" s="523"/>
      <c r="K1127" s="994"/>
      <c r="L1127" s="995"/>
      <c r="M1127" s="704"/>
      <c r="N1127" s="704"/>
      <c r="O1127" s="704"/>
      <c r="P1127" s="957"/>
      <c r="Q1127" s="957"/>
      <c r="R1127" s="957"/>
      <c r="S1127" s="957"/>
      <c r="T1127" s="957"/>
      <c r="U1127" s="957"/>
      <c r="V1127" s="957"/>
      <c r="W1127" s="957"/>
      <c r="X1127" s="957"/>
      <c r="Y1127" s="957"/>
      <c r="Z1127" s="957"/>
      <c r="AA1127" s="957"/>
      <c r="AB1127" s="957"/>
      <c r="AC1127" s="957"/>
      <c r="AD1127" s="957"/>
    </row>
    <row r="1128" ht="15.75" customHeight="1">
      <c r="A1128" s="518"/>
      <c r="B1128" s="517"/>
      <c r="C1128" s="518"/>
      <c r="D1128" s="992"/>
      <c r="E1128" s="989"/>
      <c r="F1128" s="989"/>
      <c r="G1128" s="993"/>
      <c r="H1128" s="993"/>
      <c r="I1128" s="986"/>
      <c r="J1128" s="523"/>
      <c r="K1128" s="994"/>
      <c r="L1128" s="995"/>
      <c r="M1128" s="704"/>
      <c r="N1128" s="704"/>
      <c r="O1128" s="704"/>
      <c r="P1128" s="957"/>
      <c r="Q1128" s="957"/>
      <c r="R1128" s="957"/>
      <c r="S1128" s="957"/>
      <c r="T1128" s="957"/>
      <c r="U1128" s="957"/>
      <c r="V1128" s="957"/>
      <c r="W1128" s="957"/>
      <c r="X1128" s="957"/>
      <c r="Y1128" s="957"/>
      <c r="Z1128" s="957"/>
      <c r="AA1128" s="957"/>
      <c r="AB1128" s="957"/>
      <c r="AC1128" s="957"/>
      <c r="AD1128" s="957"/>
    </row>
    <row r="1129" ht="15.75" customHeight="1">
      <c r="A1129" s="518"/>
      <c r="B1129" s="517"/>
      <c r="C1129" s="518"/>
      <c r="D1129" s="992"/>
      <c r="E1129" s="989"/>
      <c r="F1129" s="989"/>
      <c r="G1129" s="993"/>
      <c r="H1129" s="993"/>
      <c r="I1129" s="986"/>
      <c r="J1129" s="523"/>
      <c r="K1129" s="994"/>
      <c r="L1129" s="995"/>
      <c r="M1129" s="704"/>
      <c r="N1129" s="704"/>
      <c r="O1129" s="704"/>
      <c r="P1129" s="957"/>
      <c r="Q1129" s="957"/>
      <c r="R1129" s="957"/>
      <c r="S1129" s="957"/>
      <c r="T1129" s="957"/>
      <c r="U1129" s="957"/>
      <c r="V1129" s="957"/>
      <c r="W1129" s="957"/>
      <c r="X1129" s="957"/>
      <c r="Y1129" s="957"/>
      <c r="Z1129" s="957"/>
      <c r="AA1129" s="957"/>
      <c r="AB1129" s="957"/>
      <c r="AC1129" s="957"/>
      <c r="AD1129" s="957"/>
    </row>
    <row r="1130" ht="15.75" customHeight="1">
      <c r="A1130" s="518"/>
      <c r="B1130" s="517"/>
      <c r="C1130" s="518"/>
      <c r="D1130" s="992"/>
      <c r="E1130" s="989"/>
      <c r="F1130" s="989"/>
      <c r="G1130" s="993"/>
      <c r="H1130" s="993"/>
      <c r="I1130" s="986"/>
      <c r="J1130" s="523"/>
      <c r="K1130" s="994"/>
      <c r="L1130" s="995"/>
      <c r="M1130" s="704"/>
      <c r="N1130" s="704"/>
      <c r="O1130" s="704"/>
      <c r="P1130" s="957"/>
      <c r="Q1130" s="957"/>
      <c r="R1130" s="957"/>
      <c r="S1130" s="957"/>
      <c r="T1130" s="957"/>
      <c r="U1130" s="957"/>
      <c r="V1130" s="957"/>
      <c r="W1130" s="957"/>
      <c r="X1130" s="957"/>
      <c r="Y1130" s="957"/>
      <c r="Z1130" s="957"/>
      <c r="AA1130" s="957"/>
      <c r="AB1130" s="957"/>
      <c r="AC1130" s="957"/>
      <c r="AD1130" s="957"/>
    </row>
    <row r="1131" ht="15.75" customHeight="1">
      <c r="A1131" s="518"/>
      <c r="B1131" s="517"/>
      <c r="C1131" s="518"/>
      <c r="D1131" s="992"/>
      <c r="E1131" s="989"/>
      <c r="F1131" s="989"/>
      <c r="G1131" s="993"/>
      <c r="H1131" s="993"/>
      <c r="I1131" s="986"/>
      <c r="J1131" s="523"/>
      <c r="K1131" s="994"/>
      <c r="L1131" s="995"/>
      <c r="M1131" s="704"/>
      <c r="N1131" s="704"/>
      <c r="O1131" s="704"/>
      <c r="P1131" s="957"/>
      <c r="Q1131" s="957"/>
      <c r="R1131" s="957"/>
      <c r="S1131" s="957"/>
      <c r="T1131" s="957"/>
      <c r="U1131" s="957"/>
      <c r="V1131" s="957"/>
      <c r="W1131" s="957"/>
      <c r="X1131" s="957"/>
      <c r="Y1131" s="957"/>
      <c r="Z1131" s="957"/>
      <c r="AA1131" s="957"/>
      <c r="AB1131" s="957"/>
      <c r="AC1131" s="957"/>
      <c r="AD1131" s="957"/>
    </row>
    <row r="1132" ht="15.75" customHeight="1">
      <c r="A1132" s="518"/>
      <c r="B1132" s="517"/>
      <c r="C1132" s="518"/>
      <c r="D1132" s="992"/>
      <c r="E1132" s="989"/>
      <c r="F1132" s="989"/>
      <c r="G1132" s="993"/>
      <c r="H1132" s="993"/>
      <c r="I1132" s="986"/>
      <c r="J1132" s="523"/>
      <c r="K1132" s="994"/>
      <c r="L1132" s="995"/>
      <c r="M1132" s="704"/>
      <c r="N1132" s="704"/>
      <c r="O1132" s="704"/>
      <c r="P1132" s="957"/>
      <c r="Q1132" s="957"/>
      <c r="R1132" s="957"/>
      <c r="S1132" s="957"/>
      <c r="T1132" s="957"/>
      <c r="U1132" s="957"/>
      <c r="V1132" s="957"/>
      <c r="W1132" s="957"/>
      <c r="X1132" s="957"/>
      <c r="Y1132" s="957"/>
      <c r="Z1132" s="957"/>
      <c r="AA1132" s="957"/>
      <c r="AB1132" s="957"/>
      <c r="AC1132" s="957"/>
      <c r="AD1132" s="957"/>
    </row>
    <row r="1133" ht="15.75" customHeight="1">
      <c r="A1133" s="518"/>
      <c r="B1133" s="517"/>
      <c r="C1133" s="518"/>
      <c r="D1133" s="992"/>
      <c r="E1133" s="989"/>
      <c r="F1133" s="989"/>
      <c r="G1133" s="993"/>
      <c r="H1133" s="993"/>
      <c r="I1133" s="986"/>
      <c r="J1133" s="523"/>
      <c r="K1133" s="994"/>
      <c r="L1133" s="995"/>
      <c r="M1133" s="704"/>
      <c r="N1133" s="704"/>
      <c r="O1133" s="704"/>
      <c r="P1133" s="957"/>
      <c r="Q1133" s="957"/>
      <c r="R1133" s="957"/>
      <c r="S1133" s="957"/>
      <c r="T1133" s="957"/>
      <c r="U1133" s="957"/>
      <c r="V1133" s="957"/>
      <c r="W1133" s="957"/>
      <c r="X1133" s="957"/>
      <c r="Y1133" s="957"/>
      <c r="Z1133" s="957"/>
      <c r="AA1133" s="957"/>
      <c r="AB1133" s="957"/>
      <c r="AC1133" s="957"/>
      <c r="AD1133" s="957"/>
    </row>
    <row r="1134" ht="15.75" customHeight="1">
      <c r="A1134" s="518"/>
      <c r="B1134" s="517"/>
      <c r="C1134" s="518"/>
      <c r="D1134" s="992"/>
      <c r="E1134" s="989"/>
      <c r="F1134" s="989"/>
      <c r="G1134" s="993"/>
      <c r="H1134" s="993"/>
      <c r="I1134" s="986"/>
      <c r="J1134" s="523"/>
      <c r="K1134" s="994"/>
      <c r="L1134" s="995"/>
      <c r="M1134" s="704"/>
      <c r="N1134" s="704"/>
      <c r="O1134" s="704"/>
      <c r="P1134" s="957"/>
      <c r="Q1134" s="957"/>
      <c r="R1134" s="957"/>
      <c r="S1134" s="957"/>
      <c r="T1134" s="957"/>
      <c r="U1134" s="957"/>
      <c r="V1134" s="957"/>
      <c r="W1134" s="957"/>
      <c r="X1134" s="957"/>
      <c r="Y1134" s="957"/>
      <c r="Z1134" s="957"/>
      <c r="AA1134" s="957"/>
      <c r="AB1134" s="957"/>
      <c r="AC1134" s="957"/>
      <c r="AD1134" s="957"/>
    </row>
    <row r="1135" ht="15.75" customHeight="1">
      <c r="A1135" s="518"/>
      <c r="B1135" s="517"/>
      <c r="C1135" s="518"/>
      <c r="D1135" s="992"/>
      <c r="E1135" s="989"/>
      <c r="F1135" s="989"/>
      <c r="G1135" s="993"/>
      <c r="H1135" s="993"/>
      <c r="I1135" s="986"/>
      <c r="J1135" s="523"/>
      <c r="K1135" s="994"/>
      <c r="L1135" s="995"/>
      <c r="M1135" s="704"/>
      <c r="N1135" s="704"/>
      <c r="O1135" s="704"/>
      <c r="P1135" s="957"/>
      <c r="Q1135" s="957"/>
      <c r="R1135" s="957"/>
      <c r="S1135" s="957"/>
      <c r="T1135" s="957"/>
      <c r="U1135" s="957"/>
      <c r="V1135" s="957"/>
      <c r="W1135" s="957"/>
      <c r="X1135" s="957"/>
      <c r="Y1135" s="957"/>
      <c r="Z1135" s="957"/>
      <c r="AA1135" s="957"/>
      <c r="AB1135" s="957"/>
      <c r="AC1135" s="957"/>
      <c r="AD1135" s="957"/>
    </row>
    <row r="1136" ht="15.75" customHeight="1">
      <c r="A1136" s="518"/>
      <c r="B1136" s="517"/>
      <c r="C1136" s="518"/>
      <c r="D1136" s="992"/>
      <c r="E1136" s="989"/>
      <c r="F1136" s="989"/>
      <c r="G1136" s="993"/>
      <c r="H1136" s="993"/>
      <c r="I1136" s="986"/>
      <c r="J1136" s="523"/>
      <c r="K1136" s="994"/>
      <c r="L1136" s="995"/>
      <c r="M1136" s="704"/>
      <c r="N1136" s="704"/>
      <c r="O1136" s="704"/>
      <c r="P1136" s="957"/>
      <c r="Q1136" s="957"/>
      <c r="R1136" s="957"/>
      <c r="S1136" s="957"/>
      <c r="T1136" s="957"/>
      <c r="U1136" s="957"/>
      <c r="V1136" s="957"/>
      <c r="W1136" s="957"/>
      <c r="X1136" s="957"/>
      <c r="Y1136" s="957"/>
      <c r="Z1136" s="957"/>
      <c r="AA1136" s="957"/>
      <c r="AB1136" s="957"/>
      <c r="AC1136" s="957"/>
      <c r="AD1136" s="957"/>
    </row>
    <row r="1137" ht="15.75" customHeight="1">
      <c r="A1137" s="518"/>
      <c r="B1137" s="517"/>
      <c r="C1137" s="518"/>
      <c r="D1137" s="992"/>
      <c r="E1137" s="989"/>
      <c r="F1137" s="989"/>
      <c r="G1137" s="993"/>
      <c r="H1137" s="993"/>
      <c r="I1137" s="986"/>
      <c r="J1137" s="523"/>
      <c r="K1137" s="994"/>
      <c r="L1137" s="995"/>
      <c r="M1137" s="704"/>
      <c r="N1137" s="704"/>
      <c r="O1137" s="704"/>
      <c r="P1137" s="957"/>
      <c r="Q1137" s="957"/>
      <c r="R1137" s="957"/>
      <c r="S1137" s="957"/>
      <c r="T1137" s="957"/>
      <c r="U1137" s="957"/>
      <c r="V1137" s="957"/>
      <c r="W1137" s="957"/>
      <c r="X1137" s="957"/>
      <c r="Y1137" s="957"/>
      <c r="Z1137" s="957"/>
      <c r="AA1137" s="957"/>
      <c r="AB1137" s="957"/>
      <c r="AC1137" s="957"/>
      <c r="AD1137" s="957"/>
    </row>
    <row r="1138" ht="15.75" customHeight="1">
      <c r="A1138" s="518"/>
      <c r="B1138" s="517"/>
      <c r="C1138" s="518"/>
      <c r="D1138" s="992"/>
      <c r="E1138" s="989"/>
      <c r="F1138" s="989"/>
      <c r="G1138" s="993"/>
      <c r="H1138" s="993"/>
      <c r="I1138" s="986"/>
      <c r="J1138" s="523"/>
      <c r="K1138" s="994"/>
      <c r="L1138" s="995"/>
      <c r="M1138" s="704"/>
      <c r="N1138" s="704"/>
      <c r="O1138" s="704"/>
      <c r="P1138" s="957"/>
      <c r="Q1138" s="957"/>
      <c r="R1138" s="957"/>
      <c r="S1138" s="957"/>
      <c r="T1138" s="957"/>
      <c r="U1138" s="957"/>
      <c r="V1138" s="957"/>
      <c r="W1138" s="957"/>
      <c r="X1138" s="957"/>
      <c r="Y1138" s="957"/>
      <c r="Z1138" s="957"/>
      <c r="AA1138" s="957"/>
      <c r="AB1138" s="957"/>
      <c r="AC1138" s="957"/>
      <c r="AD1138" s="957"/>
    </row>
    <row r="1139" ht="15.75" customHeight="1">
      <c r="A1139" s="518"/>
      <c r="B1139" s="517"/>
      <c r="C1139" s="518"/>
      <c r="D1139" s="992"/>
      <c r="E1139" s="989"/>
      <c r="F1139" s="989"/>
      <c r="G1139" s="993"/>
      <c r="H1139" s="993"/>
      <c r="I1139" s="986"/>
      <c r="J1139" s="523"/>
      <c r="K1139" s="994"/>
      <c r="L1139" s="995"/>
      <c r="M1139" s="704"/>
      <c r="N1139" s="704"/>
      <c r="O1139" s="704"/>
      <c r="P1139" s="957"/>
      <c r="Q1139" s="957"/>
      <c r="R1139" s="957"/>
      <c r="S1139" s="957"/>
      <c r="T1139" s="957"/>
      <c r="U1139" s="957"/>
      <c r="V1139" s="957"/>
      <c r="W1139" s="957"/>
      <c r="X1139" s="957"/>
      <c r="Y1139" s="957"/>
      <c r="Z1139" s="957"/>
      <c r="AA1139" s="957"/>
      <c r="AB1139" s="957"/>
      <c r="AC1139" s="957"/>
      <c r="AD1139" s="957"/>
    </row>
    <row r="1140" ht="15.75" customHeight="1">
      <c r="A1140" s="518"/>
      <c r="B1140" s="517"/>
      <c r="C1140" s="518"/>
      <c r="D1140" s="992"/>
      <c r="E1140" s="989"/>
      <c r="F1140" s="989"/>
      <c r="G1140" s="993"/>
      <c r="H1140" s="993"/>
      <c r="I1140" s="986"/>
      <c r="J1140" s="523"/>
      <c r="K1140" s="994"/>
      <c r="L1140" s="995"/>
      <c r="M1140" s="704"/>
      <c r="N1140" s="704"/>
      <c r="O1140" s="704"/>
      <c r="P1140" s="957"/>
      <c r="Q1140" s="957"/>
      <c r="R1140" s="957"/>
      <c r="S1140" s="957"/>
      <c r="T1140" s="957"/>
      <c r="U1140" s="957"/>
      <c r="V1140" s="957"/>
      <c r="W1140" s="957"/>
      <c r="X1140" s="957"/>
      <c r="Y1140" s="957"/>
      <c r="Z1140" s="957"/>
      <c r="AA1140" s="957"/>
      <c r="AB1140" s="957"/>
      <c r="AC1140" s="957"/>
      <c r="AD1140" s="957"/>
    </row>
    <row r="1141" ht="15.75" customHeight="1">
      <c r="A1141" s="518"/>
      <c r="B1141" s="517"/>
      <c r="C1141" s="518"/>
      <c r="D1141" s="992"/>
      <c r="E1141" s="989"/>
      <c r="F1141" s="989"/>
      <c r="G1141" s="993"/>
      <c r="H1141" s="993"/>
      <c r="I1141" s="986"/>
      <c r="J1141" s="523"/>
      <c r="K1141" s="994"/>
      <c r="L1141" s="995"/>
      <c r="M1141" s="704"/>
      <c r="N1141" s="704"/>
      <c r="O1141" s="704"/>
      <c r="P1141" s="957"/>
      <c r="Q1141" s="957"/>
      <c r="R1141" s="957"/>
      <c r="S1141" s="957"/>
      <c r="T1141" s="957"/>
      <c r="U1141" s="957"/>
      <c r="V1141" s="957"/>
      <c r="W1141" s="957"/>
      <c r="X1141" s="957"/>
      <c r="Y1141" s="957"/>
      <c r="Z1141" s="957"/>
      <c r="AA1141" s="957"/>
      <c r="AB1141" s="957"/>
      <c r="AC1141" s="957"/>
      <c r="AD1141" s="957"/>
    </row>
    <row r="1142" ht="15.75" customHeight="1">
      <c r="A1142" s="518"/>
      <c r="B1142" s="517"/>
      <c r="C1142" s="518"/>
      <c r="D1142" s="992"/>
      <c r="E1142" s="989"/>
      <c r="F1142" s="989"/>
      <c r="G1142" s="993"/>
      <c r="H1142" s="993"/>
      <c r="I1142" s="986"/>
      <c r="J1142" s="523"/>
      <c r="K1142" s="994"/>
      <c r="L1142" s="995"/>
      <c r="M1142" s="704"/>
      <c r="N1142" s="704"/>
      <c r="O1142" s="704"/>
      <c r="P1142" s="957"/>
      <c r="Q1142" s="957"/>
      <c r="R1142" s="957"/>
      <c r="S1142" s="957"/>
      <c r="T1142" s="957"/>
      <c r="U1142" s="957"/>
      <c r="V1142" s="957"/>
      <c r="W1142" s="957"/>
      <c r="X1142" s="957"/>
      <c r="Y1142" s="957"/>
      <c r="Z1142" s="957"/>
      <c r="AA1142" s="957"/>
      <c r="AB1142" s="957"/>
      <c r="AC1142" s="957"/>
      <c r="AD1142" s="957"/>
    </row>
    <row r="1143" ht="15.75" customHeight="1">
      <c r="A1143" s="518"/>
      <c r="B1143" s="517"/>
      <c r="C1143" s="518"/>
      <c r="D1143" s="992"/>
      <c r="E1143" s="989"/>
      <c r="F1143" s="989"/>
      <c r="G1143" s="993"/>
      <c r="H1143" s="993"/>
      <c r="I1143" s="986"/>
      <c r="J1143" s="523"/>
      <c r="K1143" s="994"/>
      <c r="L1143" s="995"/>
      <c r="M1143" s="704"/>
      <c r="N1143" s="704"/>
      <c r="O1143" s="704"/>
      <c r="P1143" s="957"/>
      <c r="Q1143" s="957"/>
      <c r="R1143" s="957"/>
      <c r="S1143" s="957"/>
      <c r="T1143" s="957"/>
      <c r="U1143" s="957"/>
      <c r="V1143" s="957"/>
      <c r="W1143" s="957"/>
      <c r="X1143" s="957"/>
      <c r="Y1143" s="957"/>
      <c r="Z1143" s="957"/>
      <c r="AA1143" s="957"/>
      <c r="AB1143" s="957"/>
      <c r="AC1143" s="957"/>
      <c r="AD1143" s="957"/>
    </row>
    <row r="1144" ht="15.75" customHeight="1">
      <c r="A1144" s="518"/>
      <c r="B1144" s="517"/>
      <c r="C1144" s="518"/>
      <c r="D1144" s="992"/>
      <c r="E1144" s="989"/>
      <c r="F1144" s="989"/>
      <c r="G1144" s="993"/>
      <c r="H1144" s="993"/>
      <c r="I1144" s="986"/>
      <c r="J1144" s="523"/>
      <c r="K1144" s="994"/>
      <c r="L1144" s="995"/>
      <c r="M1144" s="704"/>
      <c r="N1144" s="704"/>
      <c r="O1144" s="704"/>
      <c r="P1144" s="957"/>
      <c r="Q1144" s="957"/>
      <c r="R1144" s="957"/>
      <c r="S1144" s="957"/>
      <c r="T1144" s="957"/>
      <c r="U1144" s="957"/>
      <c r="V1144" s="957"/>
      <c r="W1144" s="957"/>
      <c r="X1144" s="957"/>
      <c r="Y1144" s="957"/>
      <c r="Z1144" s="957"/>
      <c r="AA1144" s="957"/>
      <c r="AB1144" s="957"/>
      <c r="AC1144" s="957"/>
      <c r="AD1144" s="957"/>
    </row>
    <row r="1145" ht="15.75" customHeight="1">
      <c r="A1145" s="518"/>
      <c r="B1145" s="517"/>
      <c r="C1145" s="518"/>
      <c r="D1145" s="992"/>
      <c r="E1145" s="989"/>
      <c r="F1145" s="989"/>
      <c r="G1145" s="993"/>
      <c r="H1145" s="993"/>
      <c r="I1145" s="986"/>
      <c r="J1145" s="523"/>
      <c r="K1145" s="994"/>
      <c r="L1145" s="995"/>
      <c r="M1145" s="704"/>
      <c r="N1145" s="704"/>
      <c r="O1145" s="704"/>
      <c r="P1145" s="957"/>
      <c r="Q1145" s="957"/>
      <c r="R1145" s="957"/>
      <c r="S1145" s="957"/>
      <c r="T1145" s="957"/>
      <c r="U1145" s="957"/>
      <c r="V1145" s="957"/>
      <c r="W1145" s="957"/>
      <c r="X1145" s="957"/>
      <c r="Y1145" s="957"/>
      <c r="Z1145" s="957"/>
      <c r="AA1145" s="957"/>
      <c r="AB1145" s="957"/>
      <c r="AC1145" s="957"/>
      <c r="AD1145" s="957"/>
    </row>
    <row r="1146" ht="15.75" customHeight="1">
      <c r="A1146" s="518"/>
      <c r="B1146" s="517"/>
      <c r="C1146" s="518"/>
      <c r="D1146" s="992"/>
      <c r="E1146" s="989"/>
      <c r="F1146" s="989"/>
      <c r="G1146" s="993"/>
      <c r="H1146" s="993"/>
      <c r="I1146" s="986"/>
      <c r="J1146" s="523"/>
      <c r="K1146" s="994"/>
      <c r="L1146" s="995"/>
      <c r="M1146" s="704"/>
      <c r="N1146" s="704"/>
      <c r="O1146" s="704"/>
      <c r="P1146" s="957"/>
      <c r="Q1146" s="957"/>
      <c r="R1146" s="957"/>
      <c r="S1146" s="957"/>
      <c r="T1146" s="957"/>
      <c r="U1146" s="957"/>
      <c r="V1146" s="957"/>
      <c r="W1146" s="957"/>
      <c r="X1146" s="957"/>
      <c r="Y1146" s="957"/>
      <c r="Z1146" s="957"/>
      <c r="AA1146" s="957"/>
      <c r="AB1146" s="957"/>
      <c r="AC1146" s="957"/>
      <c r="AD1146" s="957"/>
    </row>
    <row r="1147" ht="15.75" customHeight="1">
      <c r="A1147" s="518"/>
      <c r="B1147" s="517"/>
      <c r="C1147" s="518"/>
      <c r="D1147" s="992"/>
      <c r="E1147" s="989"/>
      <c r="F1147" s="989"/>
      <c r="G1147" s="993"/>
      <c r="H1147" s="993"/>
      <c r="I1147" s="986"/>
      <c r="J1147" s="523"/>
      <c r="K1147" s="994"/>
      <c r="L1147" s="995"/>
      <c r="M1147" s="704"/>
      <c r="N1147" s="704"/>
      <c r="O1147" s="704"/>
      <c r="P1147" s="957"/>
      <c r="Q1147" s="957"/>
      <c r="R1147" s="957"/>
      <c r="S1147" s="957"/>
      <c r="T1147" s="957"/>
      <c r="U1147" s="957"/>
      <c r="V1147" s="957"/>
      <c r="W1147" s="957"/>
      <c r="X1147" s="957"/>
      <c r="Y1147" s="957"/>
      <c r="Z1147" s="957"/>
      <c r="AA1147" s="957"/>
      <c r="AB1147" s="957"/>
      <c r="AC1147" s="957"/>
      <c r="AD1147" s="957"/>
    </row>
    <row r="1148" ht="15.75" customHeight="1">
      <c r="A1148" s="518"/>
      <c r="B1148" s="517"/>
      <c r="C1148" s="518"/>
      <c r="D1148" s="992"/>
      <c r="E1148" s="989"/>
      <c r="F1148" s="989"/>
      <c r="G1148" s="993"/>
      <c r="H1148" s="993"/>
      <c r="I1148" s="986"/>
      <c r="J1148" s="523"/>
      <c r="K1148" s="994"/>
      <c r="L1148" s="995"/>
      <c r="M1148" s="704"/>
      <c r="N1148" s="704"/>
      <c r="O1148" s="704"/>
      <c r="P1148" s="957"/>
      <c r="Q1148" s="957"/>
      <c r="R1148" s="957"/>
      <c r="S1148" s="957"/>
      <c r="T1148" s="957"/>
      <c r="U1148" s="957"/>
      <c r="V1148" s="957"/>
      <c r="W1148" s="957"/>
      <c r="X1148" s="957"/>
      <c r="Y1148" s="957"/>
      <c r="Z1148" s="957"/>
      <c r="AA1148" s="957"/>
      <c r="AB1148" s="957"/>
      <c r="AC1148" s="957"/>
      <c r="AD1148" s="957"/>
    </row>
    <row r="1149" ht="15.75" customHeight="1">
      <c r="A1149" s="518"/>
      <c r="B1149" s="517"/>
      <c r="C1149" s="518"/>
      <c r="D1149" s="992"/>
      <c r="E1149" s="989"/>
      <c r="F1149" s="989"/>
      <c r="G1149" s="993"/>
      <c r="H1149" s="993"/>
      <c r="I1149" s="986"/>
      <c r="J1149" s="523"/>
      <c r="K1149" s="994"/>
      <c r="L1149" s="995"/>
      <c r="M1149" s="704"/>
      <c r="N1149" s="704"/>
      <c r="O1149" s="704"/>
      <c r="P1149" s="957"/>
      <c r="Q1149" s="957"/>
      <c r="R1149" s="957"/>
      <c r="S1149" s="957"/>
      <c r="T1149" s="957"/>
      <c r="U1149" s="957"/>
      <c r="V1149" s="957"/>
      <c r="W1149" s="957"/>
      <c r="X1149" s="957"/>
      <c r="Y1149" s="957"/>
      <c r="Z1149" s="957"/>
      <c r="AA1149" s="957"/>
      <c r="AB1149" s="957"/>
      <c r="AC1149" s="957"/>
      <c r="AD1149" s="957"/>
    </row>
    <row r="1150" ht="15.75" customHeight="1">
      <c r="A1150" s="518"/>
      <c r="B1150" s="517"/>
      <c r="C1150" s="518"/>
      <c r="D1150" s="992"/>
      <c r="E1150" s="989"/>
      <c r="F1150" s="989"/>
      <c r="G1150" s="993"/>
      <c r="H1150" s="993"/>
      <c r="I1150" s="986"/>
      <c r="J1150" s="523"/>
      <c r="K1150" s="994"/>
      <c r="L1150" s="995"/>
      <c r="M1150" s="704"/>
      <c r="N1150" s="704"/>
      <c r="O1150" s="704"/>
      <c r="P1150" s="957"/>
      <c r="Q1150" s="957"/>
      <c r="R1150" s="957"/>
      <c r="S1150" s="957"/>
      <c r="T1150" s="957"/>
      <c r="U1150" s="957"/>
      <c r="V1150" s="957"/>
      <c r="W1150" s="957"/>
      <c r="X1150" s="957"/>
      <c r="Y1150" s="957"/>
      <c r="Z1150" s="957"/>
      <c r="AA1150" s="957"/>
      <c r="AB1150" s="957"/>
      <c r="AC1150" s="957"/>
      <c r="AD1150" s="957"/>
    </row>
    <row r="1151" ht="15.75" customHeight="1">
      <c r="A1151" s="518"/>
      <c r="B1151" s="517"/>
      <c r="C1151" s="518"/>
      <c r="D1151" s="992"/>
      <c r="E1151" s="989"/>
      <c r="F1151" s="989"/>
      <c r="G1151" s="993"/>
      <c r="H1151" s="993"/>
      <c r="I1151" s="986"/>
      <c r="J1151" s="523"/>
      <c r="K1151" s="994"/>
      <c r="L1151" s="995"/>
      <c r="M1151" s="704"/>
      <c r="N1151" s="704"/>
      <c r="O1151" s="704"/>
      <c r="P1151" s="957"/>
      <c r="Q1151" s="957"/>
      <c r="R1151" s="957"/>
      <c r="S1151" s="957"/>
      <c r="T1151" s="957"/>
      <c r="U1151" s="957"/>
      <c r="V1151" s="957"/>
      <c r="W1151" s="957"/>
      <c r="X1151" s="957"/>
      <c r="Y1151" s="957"/>
      <c r="Z1151" s="957"/>
      <c r="AA1151" s="957"/>
      <c r="AB1151" s="957"/>
      <c r="AC1151" s="957"/>
      <c r="AD1151" s="957"/>
    </row>
    <row r="1152" ht="15.75" customHeight="1">
      <c r="A1152" s="518"/>
      <c r="B1152" s="517"/>
      <c r="C1152" s="518"/>
      <c r="D1152" s="992"/>
      <c r="E1152" s="989"/>
      <c r="F1152" s="989"/>
      <c r="G1152" s="993"/>
      <c r="H1152" s="993"/>
      <c r="I1152" s="986"/>
      <c r="J1152" s="523"/>
      <c r="K1152" s="994"/>
      <c r="L1152" s="995"/>
      <c r="M1152" s="704"/>
      <c r="N1152" s="704"/>
      <c r="O1152" s="704"/>
      <c r="P1152" s="957"/>
      <c r="Q1152" s="957"/>
      <c r="R1152" s="957"/>
      <c r="S1152" s="957"/>
      <c r="T1152" s="957"/>
      <c r="U1152" s="957"/>
      <c r="V1152" s="957"/>
      <c r="W1152" s="957"/>
      <c r="X1152" s="957"/>
      <c r="Y1152" s="957"/>
      <c r="Z1152" s="957"/>
      <c r="AA1152" s="957"/>
      <c r="AB1152" s="957"/>
      <c r="AC1152" s="957"/>
      <c r="AD1152" s="957"/>
    </row>
    <row r="1153" ht="15.75" customHeight="1">
      <c r="A1153" s="518"/>
      <c r="B1153" s="517"/>
      <c r="C1153" s="518"/>
      <c r="D1153" s="992"/>
      <c r="E1153" s="989"/>
      <c r="F1153" s="989"/>
      <c r="G1153" s="993"/>
      <c r="H1153" s="993"/>
      <c r="I1153" s="986"/>
      <c r="J1153" s="523"/>
      <c r="K1153" s="994"/>
      <c r="L1153" s="995"/>
      <c r="M1153" s="704"/>
      <c r="N1153" s="704"/>
      <c r="O1153" s="704"/>
      <c r="P1153" s="957"/>
      <c r="Q1153" s="957"/>
      <c r="R1153" s="957"/>
      <c r="S1153" s="957"/>
      <c r="T1153" s="957"/>
      <c r="U1153" s="957"/>
      <c r="V1153" s="957"/>
      <c r="W1153" s="957"/>
      <c r="X1153" s="957"/>
      <c r="Y1153" s="957"/>
      <c r="Z1153" s="957"/>
      <c r="AA1153" s="957"/>
      <c r="AB1153" s="957"/>
      <c r="AC1153" s="957"/>
      <c r="AD1153" s="957"/>
    </row>
    <row r="1154" ht="15.75" customHeight="1">
      <c r="A1154" s="518"/>
      <c r="B1154" s="517"/>
      <c r="C1154" s="518"/>
      <c r="D1154" s="992"/>
      <c r="E1154" s="989"/>
      <c r="F1154" s="989"/>
      <c r="G1154" s="993"/>
      <c r="H1154" s="993"/>
      <c r="I1154" s="986"/>
      <c r="J1154" s="523"/>
      <c r="K1154" s="994"/>
      <c r="L1154" s="995"/>
      <c r="M1154" s="704"/>
      <c r="N1154" s="704"/>
      <c r="O1154" s="704"/>
      <c r="P1154" s="957"/>
      <c r="Q1154" s="957"/>
      <c r="R1154" s="957"/>
      <c r="S1154" s="957"/>
      <c r="T1154" s="957"/>
      <c r="U1154" s="957"/>
      <c r="V1154" s="957"/>
      <c r="W1154" s="957"/>
      <c r="X1154" s="957"/>
      <c r="Y1154" s="957"/>
      <c r="Z1154" s="957"/>
      <c r="AA1154" s="957"/>
      <c r="AB1154" s="957"/>
      <c r="AC1154" s="957"/>
      <c r="AD1154" s="957"/>
    </row>
    <row r="1155" ht="15.75" customHeight="1">
      <c r="A1155" s="518"/>
      <c r="B1155" s="517"/>
      <c r="C1155" s="518"/>
      <c r="D1155" s="992"/>
      <c r="E1155" s="989"/>
      <c r="F1155" s="989"/>
      <c r="G1155" s="993"/>
      <c r="H1155" s="993"/>
      <c r="I1155" s="986"/>
      <c r="J1155" s="523"/>
      <c r="K1155" s="994"/>
      <c r="L1155" s="995"/>
      <c r="M1155" s="704"/>
      <c r="N1155" s="704"/>
      <c r="O1155" s="704"/>
      <c r="P1155" s="957"/>
      <c r="Q1155" s="957"/>
      <c r="R1155" s="957"/>
      <c r="S1155" s="957"/>
      <c r="T1155" s="957"/>
      <c r="U1155" s="957"/>
      <c r="V1155" s="957"/>
      <c r="W1155" s="957"/>
      <c r="X1155" s="957"/>
      <c r="Y1155" s="957"/>
      <c r="Z1155" s="957"/>
      <c r="AA1155" s="957"/>
      <c r="AB1155" s="957"/>
      <c r="AC1155" s="957"/>
      <c r="AD1155" s="957"/>
    </row>
    <row r="1156" ht="15.75" customHeight="1">
      <c r="A1156" s="518"/>
      <c r="B1156" s="517"/>
      <c r="C1156" s="518"/>
      <c r="D1156" s="992"/>
      <c r="E1156" s="989"/>
      <c r="F1156" s="989"/>
      <c r="G1156" s="993"/>
      <c r="H1156" s="993"/>
      <c r="I1156" s="986"/>
      <c r="J1156" s="523"/>
      <c r="K1156" s="994"/>
      <c r="L1156" s="995"/>
      <c r="M1156" s="704"/>
      <c r="N1156" s="704"/>
      <c r="O1156" s="704"/>
      <c r="P1156" s="957"/>
      <c r="Q1156" s="957"/>
      <c r="R1156" s="957"/>
      <c r="S1156" s="957"/>
      <c r="T1156" s="957"/>
      <c r="U1156" s="957"/>
      <c r="V1156" s="957"/>
      <c r="W1156" s="957"/>
      <c r="X1156" s="957"/>
      <c r="Y1156" s="957"/>
      <c r="Z1156" s="957"/>
      <c r="AA1156" s="957"/>
      <c r="AB1156" s="957"/>
      <c r="AC1156" s="957"/>
      <c r="AD1156" s="957"/>
    </row>
    <row r="1157" ht="15.75" customHeight="1">
      <c r="A1157" s="518"/>
      <c r="B1157" s="517"/>
      <c r="C1157" s="518"/>
      <c r="D1157" s="992"/>
      <c r="E1157" s="989"/>
      <c r="F1157" s="989"/>
      <c r="G1157" s="993"/>
      <c r="H1157" s="993"/>
      <c r="I1157" s="986"/>
      <c r="J1157" s="523"/>
      <c r="K1157" s="994"/>
      <c r="L1157" s="995"/>
      <c r="M1157" s="704"/>
      <c r="N1157" s="704"/>
      <c r="O1157" s="704"/>
      <c r="P1157" s="957"/>
      <c r="Q1157" s="957"/>
      <c r="R1157" s="957"/>
      <c r="S1157" s="957"/>
      <c r="T1157" s="957"/>
      <c r="U1157" s="957"/>
      <c r="V1157" s="957"/>
      <c r="W1157" s="957"/>
      <c r="X1157" s="957"/>
      <c r="Y1157" s="957"/>
      <c r="Z1157" s="957"/>
      <c r="AA1157" s="957"/>
      <c r="AB1157" s="957"/>
      <c r="AC1157" s="957"/>
      <c r="AD1157" s="957"/>
    </row>
    <row r="1158" ht="15.75" customHeight="1">
      <c r="A1158" s="518"/>
      <c r="B1158" s="517"/>
      <c r="C1158" s="518"/>
      <c r="D1158" s="992"/>
      <c r="E1158" s="989"/>
      <c r="F1158" s="989"/>
      <c r="G1158" s="993"/>
      <c r="H1158" s="993"/>
      <c r="I1158" s="986"/>
      <c r="J1158" s="523"/>
      <c r="K1158" s="994"/>
      <c r="L1158" s="995"/>
      <c r="M1158" s="704"/>
      <c r="N1158" s="704"/>
      <c r="O1158" s="704"/>
      <c r="P1158" s="957"/>
      <c r="Q1158" s="957"/>
      <c r="R1158" s="957"/>
      <c r="S1158" s="957"/>
      <c r="T1158" s="957"/>
      <c r="U1158" s="957"/>
      <c r="V1158" s="957"/>
      <c r="W1158" s="957"/>
      <c r="X1158" s="957"/>
      <c r="Y1158" s="957"/>
      <c r="Z1158" s="957"/>
      <c r="AA1158" s="957"/>
      <c r="AB1158" s="957"/>
      <c r="AC1158" s="957"/>
      <c r="AD1158" s="957"/>
    </row>
    <row r="1159" ht="15.75" customHeight="1">
      <c r="A1159" s="518"/>
      <c r="B1159" s="517"/>
      <c r="C1159" s="518"/>
      <c r="D1159" s="992"/>
      <c r="E1159" s="989"/>
      <c r="F1159" s="989"/>
      <c r="G1159" s="993"/>
      <c r="H1159" s="993"/>
      <c r="I1159" s="986"/>
      <c r="J1159" s="523"/>
      <c r="K1159" s="994"/>
      <c r="L1159" s="995"/>
      <c r="M1159" s="704"/>
      <c r="N1159" s="704"/>
      <c r="O1159" s="704"/>
      <c r="P1159" s="957"/>
      <c r="Q1159" s="957"/>
      <c r="R1159" s="957"/>
      <c r="S1159" s="957"/>
      <c r="T1159" s="957"/>
      <c r="U1159" s="957"/>
      <c r="V1159" s="957"/>
      <c r="W1159" s="957"/>
      <c r="X1159" s="957"/>
      <c r="Y1159" s="957"/>
      <c r="Z1159" s="957"/>
      <c r="AA1159" s="957"/>
      <c r="AB1159" s="957"/>
      <c r="AC1159" s="957"/>
      <c r="AD1159" s="957"/>
    </row>
    <row r="1160" ht="15.75" customHeight="1">
      <c r="A1160" s="518"/>
      <c r="B1160" s="517"/>
      <c r="C1160" s="518"/>
      <c r="D1160" s="992"/>
      <c r="E1160" s="989"/>
      <c r="F1160" s="989"/>
      <c r="G1160" s="993"/>
      <c r="H1160" s="993"/>
      <c r="I1160" s="986"/>
      <c r="J1160" s="523"/>
      <c r="K1160" s="994"/>
      <c r="L1160" s="995"/>
      <c r="M1160" s="704"/>
      <c r="N1160" s="704"/>
      <c r="O1160" s="704"/>
      <c r="P1160" s="957"/>
      <c r="Q1160" s="957"/>
      <c r="R1160" s="957"/>
      <c r="S1160" s="957"/>
      <c r="T1160" s="957"/>
      <c r="U1160" s="957"/>
      <c r="V1160" s="957"/>
      <c r="W1160" s="957"/>
      <c r="X1160" s="957"/>
      <c r="Y1160" s="957"/>
      <c r="Z1160" s="957"/>
      <c r="AA1160" s="957"/>
      <c r="AB1160" s="957"/>
      <c r="AC1160" s="957"/>
      <c r="AD1160" s="957"/>
    </row>
    <row r="1161" ht="15.75" customHeight="1">
      <c r="A1161" s="518"/>
      <c r="B1161" s="517"/>
      <c r="C1161" s="518"/>
      <c r="D1161" s="992"/>
      <c r="E1161" s="989"/>
      <c r="F1161" s="989"/>
      <c r="G1161" s="993"/>
      <c r="H1161" s="993"/>
      <c r="I1161" s="986"/>
      <c r="J1161" s="523"/>
      <c r="K1161" s="994"/>
      <c r="L1161" s="995"/>
      <c r="M1161" s="704"/>
      <c r="N1161" s="704"/>
      <c r="O1161" s="704"/>
      <c r="P1161" s="957"/>
      <c r="Q1161" s="957"/>
      <c r="R1161" s="957"/>
      <c r="S1161" s="957"/>
      <c r="T1161" s="957"/>
      <c r="U1161" s="957"/>
      <c r="V1161" s="957"/>
      <c r="W1161" s="957"/>
      <c r="X1161" s="957"/>
      <c r="Y1161" s="957"/>
      <c r="Z1161" s="957"/>
      <c r="AA1161" s="957"/>
      <c r="AB1161" s="957"/>
      <c r="AC1161" s="957"/>
      <c r="AD1161" s="957"/>
    </row>
    <row r="1162" ht="15.75" customHeight="1">
      <c r="A1162" s="518"/>
      <c r="B1162" s="517"/>
      <c r="C1162" s="518"/>
      <c r="D1162" s="992"/>
      <c r="E1162" s="989"/>
      <c r="F1162" s="989"/>
      <c r="G1162" s="993"/>
      <c r="H1162" s="993"/>
      <c r="I1162" s="986"/>
      <c r="J1162" s="523"/>
      <c r="K1162" s="994"/>
      <c r="L1162" s="995"/>
      <c r="M1162" s="704"/>
      <c r="N1162" s="704"/>
      <c r="O1162" s="704"/>
      <c r="P1162" s="957"/>
      <c r="Q1162" s="957"/>
      <c r="R1162" s="957"/>
      <c r="S1162" s="957"/>
      <c r="T1162" s="957"/>
      <c r="U1162" s="957"/>
      <c r="V1162" s="957"/>
      <c r="W1162" s="957"/>
      <c r="X1162" s="957"/>
      <c r="Y1162" s="957"/>
      <c r="Z1162" s="957"/>
      <c r="AA1162" s="957"/>
      <c r="AB1162" s="957"/>
      <c r="AC1162" s="957"/>
      <c r="AD1162" s="957"/>
    </row>
    <row r="1163" ht="15.75" customHeight="1">
      <c r="A1163" s="518"/>
      <c r="B1163" s="517"/>
      <c r="C1163" s="518"/>
      <c r="D1163" s="992"/>
      <c r="E1163" s="989"/>
      <c r="F1163" s="989"/>
      <c r="G1163" s="993"/>
      <c r="H1163" s="993"/>
      <c r="I1163" s="986"/>
      <c r="J1163" s="523"/>
      <c r="K1163" s="994"/>
      <c r="L1163" s="995"/>
      <c r="M1163" s="704"/>
      <c r="N1163" s="704"/>
      <c r="O1163" s="704"/>
      <c r="P1163" s="957"/>
      <c r="Q1163" s="957"/>
      <c r="R1163" s="957"/>
      <c r="S1163" s="957"/>
      <c r="T1163" s="957"/>
      <c r="U1163" s="957"/>
      <c r="V1163" s="957"/>
      <c r="W1163" s="957"/>
      <c r="X1163" s="957"/>
      <c r="Y1163" s="957"/>
      <c r="Z1163" s="957"/>
      <c r="AA1163" s="957"/>
      <c r="AB1163" s="957"/>
      <c r="AC1163" s="957"/>
      <c r="AD1163" s="957"/>
    </row>
  </sheetData>
  <mergeCells count="20">
    <mergeCell ref="A2:A7"/>
    <mergeCell ref="A8:A15"/>
    <mergeCell ref="A18:A25"/>
    <mergeCell ref="A28:A35"/>
    <mergeCell ref="A38:A45"/>
    <mergeCell ref="A48:A56"/>
    <mergeCell ref="A59:A66"/>
    <mergeCell ref="A135:A142"/>
    <mergeCell ref="A145:A152"/>
    <mergeCell ref="M146:M147"/>
    <mergeCell ref="A155:A162"/>
    <mergeCell ref="A167:A174"/>
    <mergeCell ref="A177:A184"/>
    <mergeCell ref="A69:A76"/>
    <mergeCell ref="A79:A86"/>
    <mergeCell ref="A89:A96"/>
    <mergeCell ref="A98:A105"/>
    <mergeCell ref="A107:A114"/>
    <mergeCell ref="A116:A123"/>
    <mergeCell ref="A126:A133"/>
  </mergeCells>
  <printOptions/>
  <pageMargins bottom="0.75" footer="0.0" header="0.0" left="0.7" right="0.7" top="0.75"/>
  <pageSetup orientation="landscape"/>
  <drawing r:id="rId2"/>
  <legacyDrawing r:id="rId3"/>
  <tableParts count="114">
    <tablePart r:id="rId118"/>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 r:id="rId142"/>
    <tablePart r:id="rId143"/>
    <tablePart r:id="rId144"/>
    <tablePart r:id="rId145"/>
    <tablePart r:id="rId146"/>
    <tablePart r:id="rId147"/>
    <tablePart r:id="rId148"/>
    <tablePart r:id="rId149"/>
    <tablePart r:id="rId150"/>
    <tablePart r:id="rId151"/>
    <tablePart r:id="rId152"/>
    <tablePart r:id="rId153"/>
    <tablePart r:id="rId154"/>
    <tablePart r:id="rId155"/>
    <tablePart r:id="rId156"/>
    <tablePart r:id="rId157"/>
    <tablePart r:id="rId158"/>
    <tablePart r:id="rId159"/>
    <tablePart r:id="rId160"/>
    <tablePart r:id="rId161"/>
    <tablePart r:id="rId162"/>
    <tablePart r:id="rId163"/>
    <tablePart r:id="rId164"/>
    <tablePart r:id="rId165"/>
    <tablePart r:id="rId166"/>
    <tablePart r:id="rId167"/>
    <tablePart r:id="rId168"/>
    <tablePart r:id="rId169"/>
    <tablePart r:id="rId170"/>
    <tablePart r:id="rId171"/>
    <tablePart r:id="rId172"/>
    <tablePart r:id="rId173"/>
    <tablePart r:id="rId174"/>
    <tablePart r:id="rId175"/>
    <tablePart r:id="rId176"/>
    <tablePart r:id="rId177"/>
    <tablePart r:id="rId178"/>
    <tablePart r:id="rId179"/>
    <tablePart r:id="rId180"/>
    <tablePart r:id="rId181"/>
    <tablePart r:id="rId182"/>
    <tablePart r:id="rId183"/>
    <tablePart r:id="rId184"/>
    <tablePart r:id="rId185"/>
    <tablePart r:id="rId186"/>
    <tablePart r:id="rId187"/>
    <tablePart r:id="rId188"/>
    <tablePart r:id="rId189"/>
    <tablePart r:id="rId190"/>
    <tablePart r:id="rId191"/>
    <tablePart r:id="rId192"/>
    <tablePart r:id="rId193"/>
    <tablePart r:id="rId194"/>
    <tablePart r:id="rId195"/>
    <tablePart r:id="rId196"/>
    <tablePart r:id="rId197"/>
    <tablePart r:id="rId198"/>
    <tablePart r:id="rId199"/>
    <tablePart r:id="rId200"/>
    <tablePart r:id="rId201"/>
    <tablePart r:id="rId202"/>
    <tablePart r:id="rId203"/>
    <tablePart r:id="rId204"/>
    <tablePart r:id="rId205"/>
    <tablePart r:id="rId206"/>
    <tablePart r:id="rId207"/>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9AA1F"/>
    <outlinePr summaryBelow="0" summaryRight="0"/>
    <pageSetUpPr/>
  </sheetPr>
  <sheetViews>
    <sheetView workbookViewId="0">
      <pane ySplit="7.0" topLeftCell="A8" activePane="bottomLeft" state="frozen"/>
      <selection activeCell="B9" sqref="B9" pane="bottomLeft"/>
    </sheetView>
  </sheetViews>
  <sheetFormatPr customHeight="1" defaultColWidth="12.63" defaultRowHeight="15.0"/>
  <cols>
    <col customWidth="1" min="1" max="1" width="17.13"/>
    <col customWidth="1" min="2" max="2" width="22.75"/>
    <col customWidth="1" min="3" max="6" width="8.88"/>
    <col customWidth="1" min="7" max="7" width="22.75"/>
    <col customWidth="1" min="8" max="8" width="28.38"/>
    <col customWidth="1" min="9" max="9" width="14.13"/>
    <col customWidth="1" min="10" max="10" width="19.5"/>
    <col customWidth="1" min="11" max="11" width="31.38"/>
    <col customWidth="1" min="12" max="12" width="25.13"/>
    <col customWidth="1" min="13" max="13" width="18.38"/>
    <col customWidth="1" min="14" max="14" width="18.25"/>
    <col customWidth="1" min="15" max="15" width="17.75"/>
    <col customWidth="1" min="16" max="16" width="13.0"/>
    <col customWidth="1" min="17" max="17" width="14.13"/>
    <col customWidth="1" min="18" max="23" width="16.75"/>
  </cols>
  <sheetData>
    <row r="1" ht="15.75" customHeight="1">
      <c r="A1" s="1005" t="s">
        <v>832</v>
      </c>
      <c r="B1" s="730" t="s">
        <v>833</v>
      </c>
      <c r="C1" s="731" t="s">
        <v>834</v>
      </c>
      <c r="D1" s="731" t="s">
        <v>1916</v>
      </c>
      <c r="E1" s="478" t="s">
        <v>836</v>
      </c>
      <c r="F1" s="478" t="s">
        <v>837</v>
      </c>
      <c r="G1" s="730" t="s">
        <v>838</v>
      </c>
      <c r="H1" s="732" t="s">
        <v>724</v>
      </c>
      <c r="I1" s="732" t="s">
        <v>1917</v>
      </c>
      <c r="J1" s="733" t="s">
        <v>839</v>
      </c>
      <c r="K1" s="732" t="s">
        <v>840</v>
      </c>
      <c r="L1" s="732" t="s">
        <v>841</v>
      </c>
      <c r="M1" s="734"/>
      <c r="N1" s="734"/>
      <c r="O1" s="734"/>
      <c r="P1" s="734"/>
      <c r="Q1" s="734"/>
      <c r="R1" s="734"/>
      <c r="S1" s="734"/>
      <c r="T1" s="734"/>
      <c r="U1" s="734"/>
      <c r="V1" s="734"/>
      <c r="W1" s="734"/>
    </row>
    <row r="2" ht="15.75" customHeight="1">
      <c r="A2" s="422"/>
      <c r="B2" s="889"/>
      <c r="C2" s="1006"/>
      <c r="D2" s="1006"/>
      <c r="E2" s="1006"/>
      <c r="F2" s="1006"/>
      <c r="G2" s="1007"/>
      <c r="H2" s="1007"/>
      <c r="I2" s="1008"/>
      <c r="J2" s="1009"/>
      <c r="K2" s="810"/>
      <c r="L2" s="488" t="s">
        <v>843</v>
      </c>
      <c r="M2" s="164"/>
      <c r="N2" s="164"/>
      <c r="O2" s="164"/>
      <c r="P2" s="164"/>
      <c r="Q2" s="164"/>
      <c r="R2" s="164"/>
      <c r="S2" s="164"/>
      <c r="T2" s="164"/>
      <c r="U2" s="164"/>
      <c r="V2" s="164"/>
      <c r="W2" s="164"/>
    </row>
    <row r="3" ht="15.75" customHeight="1">
      <c r="A3" s="422"/>
      <c r="B3" s="889"/>
      <c r="C3" s="1006"/>
      <c r="D3" s="1006"/>
      <c r="E3" s="1006"/>
      <c r="F3" s="1006"/>
      <c r="G3" s="1007"/>
      <c r="H3" s="1007"/>
      <c r="I3" s="1008"/>
      <c r="J3" s="1009"/>
      <c r="K3" s="810"/>
      <c r="L3" s="489" t="s">
        <v>844</v>
      </c>
      <c r="M3" s="164"/>
      <c r="N3" s="164"/>
      <c r="O3" s="164"/>
      <c r="P3" s="164"/>
      <c r="Q3" s="164"/>
      <c r="R3" s="164"/>
      <c r="S3" s="164"/>
      <c r="T3" s="164"/>
      <c r="U3" s="164"/>
      <c r="V3" s="164"/>
      <c r="W3" s="164"/>
    </row>
    <row r="4" ht="15.75" customHeight="1">
      <c r="A4" s="422"/>
      <c r="B4" s="889"/>
      <c r="C4" s="1006"/>
      <c r="D4" s="1006"/>
      <c r="E4" s="1006"/>
      <c r="F4" s="1006"/>
      <c r="G4" s="1007"/>
      <c r="H4" s="1007"/>
      <c r="I4" s="1008"/>
      <c r="J4" s="1009"/>
      <c r="K4" s="810"/>
      <c r="L4" s="490" t="s">
        <v>845</v>
      </c>
      <c r="M4" s="164"/>
      <c r="N4" s="164"/>
      <c r="O4" s="164"/>
      <c r="P4" s="164"/>
      <c r="Q4" s="164"/>
      <c r="R4" s="164"/>
      <c r="S4" s="164"/>
      <c r="T4" s="164"/>
      <c r="U4" s="164"/>
      <c r="V4" s="164"/>
      <c r="W4" s="164"/>
    </row>
    <row r="5" ht="15.75" customHeight="1">
      <c r="A5" s="422"/>
      <c r="B5" s="889"/>
      <c r="C5" s="1006"/>
      <c r="D5" s="1006"/>
      <c r="E5" s="1006"/>
      <c r="F5" s="1006"/>
      <c r="G5" s="1007"/>
      <c r="H5" s="1007"/>
      <c r="I5" s="1008"/>
      <c r="J5" s="1009"/>
      <c r="K5" s="810"/>
      <c r="L5" s="491" t="s">
        <v>846</v>
      </c>
      <c r="M5" s="164"/>
      <c r="N5" s="164"/>
      <c r="O5" s="164"/>
      <c r="P5" s="164"/>
      <c r="Q5" s="164"/>
      <c r="R5" s="164"/>
      <c r="S5" s="164"/>
      <c r="T5" s="164"/>
      <c r="U5" s="164"/>
      <c r="V5" s="164"/>
      <c r="W5" s="164"/>
    </row>
    <row r="6" ht="15.75" customHeight="1">
      <c r="A6" s="422"/>
      <c r="B6" s="889"/>
      <c r="C6" s="1006"/>
      <c r="D6" s="1006"/>
      <c r="E6" s="1006"/>
      <c r="F6" s="1006"/>
      <c r="G6" s="1007"/>
      <c r="H6" s="1007"/>
      <c r="I6" s="1008"/>
      <c r="J6" s="1009"/>
      <c r="K6" s="810"/>
      <c r="L6" s="493" t="s">
        <v>847</v>
      </c>
      <c r="M6" s="164"/>
      <c r="N6" s="164"/>
      <c r="O6" s="164"/>
      <c r="P6" s="164"/>
      <c r="Q6" s="164"/>
      <c r="R6" s="164"/>
      <c r="S6" s="164"/>
      <c r="T6" s="164"/>
      <c r="U6" s="164"/>
      <c r="V6" s="164"/>
      <c r="W6" s="164"/>
    </row>
    <row r="7" ht="15.75" customHeight="1">
      <c r="A7" s="422"/>
      <c r="B7" s="889"/>
      <c r="C7" s="1006"/>
      <c r="D7" s="1006"/>
      <c r="E7" s="1006"/>
      <c r="F7" s="1006"/>
      <c r="G7" s="1007"/>
      <c r="H7" s="1007"/>
      <c r="I7" s="1008"/>
      <c r="J7" s="1009"/>
      <c r="K7" s="810"/>
      <c r="L7" s="1010" t="s">
        <v>848</v>
      </c>
      <c r="M7" s="164"/>
      <c r="N7" s="164"/>
      <c r="O7" s="164"/>
      <c r="P7" s="164"/>
      <c r="Q7" s="164"/>
      <c r="R7" s="164"/>
      <c r="S7" s="164"/>
      <c r="T7" s="164"/>
      <c r="U7" s="164"/>
      <c r="V7" s="164"/>
      <c r="W7" s="164"/>
    </row>
    <row r="8" ht="15.75" customHeight="1">
      <c r="A8" s="774"/>
      <c r="B8" s="774"/>
      <c r="C8" s="774"/>
      <c r="D8" s="774"/>
      <c r="E8" s="774"/>
      <c r="F8" s="774"/>
      <c r="G8" s="774"/>
      <c r="H8" s="774"/>
      <c r="I8" s="774"/>
      <c r="J8" s="774"/>
      <c r="K8" s="774"/>
      <c r="L8" s="774"/>
      <c r="M8" s="350"/>
      <c r="N8" s="164"/>
      <c r="O8" s="164"/>
    </row>
    <row r="9" ht="15.75" customHeight="1">
      <c r="A9" s="164"/>
      <c r="B9" s="774"/>
      <c r="C9" s="1011"/>
      <c r="D9" s="1011"/>
      <c r="E9" s="1011"/>
      <c r="F9" s="1011"/>
      <c r="G9" s="774"/>
      <c r="H9" s="774"/>
      <c r="I9" s="775"/>
      <c r="J9" s="1012"/>
      <c r="K9" s="164"/>
      <c r="L9" s="774"/>
      <c r="M9" s="350"/>
      <c r="N9" s="164"/>
      <c r="O9" s="164"/>
    </row>
    <row r="10" ht="15.75" customHeight="1">
      <c r="A10" s="735" t="s">
        <v>1918</v>
      </c>
      <c r="B10" s="821" t="s">
        <v>63</v>
      </c>
      <c r="C10" s="166" t="s">
        <v>851</v>
      </c>
      <c r="D10" s="889"/>
      <c r="E10" s="1006"/>
      <c r="F10" s="1006"/>
      <c r="G10" s="821" t="s">
        <v>1573</v>
      </c>
      <c r="H10" s="1013" t="s">
        <v>1574</v>
      </c>
      <c r="I10" s="1014" t="s">
        <v>1919</v>
      </c>
      <c r="J10" s="752">
        <v>44564.0</v>
      </c>
      <c r="K10" s="382"/>
      <c r="L10" s="871"/>
      <c r="M10" s="350"/>
      <c r="N10" s="164"/>
      <c r="O10" s="164"/>
    </row>
    <row r="11" ht="15.75" customHeight="1">
      <c r="A11" s="457"/>
      <c r="B11" s="233" t="s">
        <v>81</v>
      </c>
      <c r="C11" s="119" t="s">
        <v>851</v>
      </c>
      <c r="D11" s="34"/>
      <c r="E11" s="309"/>
      <c r="F11" s="309"/>
      <c r="G11" s="46" t="s">
        <v>1920</v>
      </c>
      <c r="H11" s="833" t="s">
        <v>1921</v>
      </c>
      <c r="I11" s="1015" t="s">
        <v>1922</v>
      </c>
      <c r="J11" s="752">
        <v>44201.0</v>
      </c>
      <c r="K11" s="1016" t="s">
        <v>1923</v>
      </c>
      <c r="L11" s="1017"/>
      <c r="M11" s="1002"/>
      <c r="N11" s="164"/>
      <c r="O11" s="164"/>
    </row>
    <row r="12" ht="15.75" customHeight="1">
      <c r="A12" s="457"/>
      <c r="B12" s="208" t="s">
        <v>99</v>
      </c>
      <c r="C12" s="119" t="s">
        <v>851</v>
      </c>
      <c r="D12" s="1018"/>
      <c r="E12" s="1018"/>
      <c r="F12" s="1018"/>
      <c r="G12" s="474" t="s">
        <v>1924</v>
      </c>
      <c r="H12" s="41" t="s">
        <v>1925</v>
      </c>
      <c r="I12" s="1019"/>
      <c r="J12" s="752">
        <v>45523.0</v>
      </c>
      <c r="K12" s="1016"/>
      <c r="L12" s="745" t="s">
        <v>1926</v>
      </c>
      <c r="M12" s="716" t="s">
        <v>1927</v>
      </c>
      <c r="N12" s="164"/>
      <c r="O12" s="164"/>
    </row>
    <row r="13" ht="15.75" customHeight="1">
      <c r="A13" s="457"/>
      <c r="B13" s="208" t="s">
        <v>1928</v>
      </c>
      <c r="C13" s="119" t="s">
        <v>851</v>
      </c>
      <c r="D13" s="1018"/>
      <c r="E13" s="1018"/>
      <c r="F13" s="1018"/>
      <c r="G13" s="510" t="s">
        <v>1929</v>
      </c>
      <c r="H13" s="598" t="s">
        <v>1930</v>
      </c>
      <c r="I13" s="1019"/>
      <c r="J13" s="752">
        <v>45691.0</v>
      </c>
      <c r="K13" s="1016" t="s">
        <v>1931</v>
      </c>
      <c r="L13" s="610"/>
      <c r="M13" s="639"/>
      <c r="N13" s="164"/>
      <c r="O13" s="164"/>
    </row>
    <row r="14" ht="15.75" customHeight="1">
      <c r="A14" s="457"/>
      <c r="B14" s="208"/>
      <c r="C14" s="119"/>
      <c r="D14" s="1018"/>
      <c r="E14" s="1018"/>
      <c r="F14" s="1018"/>
      <c r="G14" s="510"/>
      <c r="H14" s="598"/>
      <c r="I14" s="1019"/>
      <c r="J14" s="752"/>
      <c r="K14" s="1016"/>
      <c r="L14" s="610"/>
      <c r="M14" s="639"/>
      <c r="N14" s="164"/>
      <c r="O14" s="164"/>
    </row>
    <row r="15" ht="15.75" customHeight="1">
      <c r="A15" s="457"/>
      <c r="B15" s="208"/>
      <c r="C15" s="119"/>
      <c r="D15" s="1018"/>
      <c r="E15" s="1018"/>
      <c r="F15" s="1018"/>
      <c r="G15" s="474"/>
      <c r="H15" s="41"/>
      <c r="I15" s="1019"/>
      <c r="J15" s="752"/>
      <c r="K15" s="1016"/>
      <c r="L15" s="610"/>
      <c r="M15" s="639"/>
      <c r="N15" s="164"/>
      <c r="O15" s="164"/>
    </row>
    <row r="16" ht="15.75" customHeight="1">
      <c r="A16" s="457"/>
      <c r="B16" s="208"/>
      <c r="C16" s="119"/>
      <c r="D16" s="1018"/>
      <c r="E16" s="1018"/>
      <c r="F16" s="1018"/>
      <c r="G16" s="474"/>
      <c r="H16" s="41"/>
      <c r="I16" s="1019"/>
      <c r="J16" s="752"/>
      <c r="K16" s="1016"/>
      <c r="L16" s="610"/>
      <c r="M16" s="639"/>
      <c r="N16" s="164"/>
      <c r="O16" s="164"/>
    </row>
    <row r="17" ht="17.25" customHeight="1">
      <c r="A17" s="430"/>
      <c r="B17" s="208"/>
      <c r="C17" s="119"/>
      <c r="D17" s="1018"/>
      <c r="E17" s="1018"/>
      <c r="F17" s="1018"/>
      <c r="G17" s="474"/>
      <c r="H17" s="41"/>
      <c r="I17" s="1019"/>
      <c r="J17" s="752"/>
      <c r="K17" s="1016"/>
      <c r="L17" s="610"/>
      <c r="M17" s="639"/>
      <c r="N17" s="164"/>
      <c r="O17" s="164"/>
    </row>
    <row r="18" ht="15.75" customHeight="1">
      <c r="A18" s="458"/>
      <c r="B18" s="517"/>
      <c r="C18" s="517"/>
      <c r="D18" s="517"/>
      <c r="E18" s="517"/>
      <c r="F18" s="517"/>
      <c r="G18" s="518"/>
      <c r="H18" s="518"/>
      <c r="I18" s="1020"/>
      <c r="J18" s="1021"/>
      <c r="K18" s="381"/>
      <c r="L18" s="774"/>
      <c r="M18" s="1022"/>
      <c r="N18" s="164"/>
      <c r="O18" s="164"/>
    </row>
    <row r="19" ht="15.75" customHeight="1">
      <c r="A19" s="735" t="s">
        <v>1932</v>
      </c>
      <c r="B19" s="247" t="s">
        <v>64</v>
      </c>
      <c r="C19" s="41" t="s">
        <v>851</v>
      </c>
      <c r="D19" s="889"/>
      <c r="E19" s="889"/>
      <c r="F19" s="889"/>
      <c r="G19" s="208" t="s">
        <v>1806</v>
      </c>
      <c r="H19" s="369" t="s">
        <v>1807</v>
      </c>
      <c r="I19" s="807"/>
      <c r="J19" s="737">
        <v>44988.0</v>
      </c>
      <c r="K19" s="766"/>
      <c r="L19" s="1017"/>
      <c r="M19" s="1023"/>
      <c r="N19" s="164"/>
      <c r="O19" s="164"/>
    </row>
    <row r="20" ht="15.75" customHeight="1">
      <c r="A20" s="457"/>
      <c r="B20" s="41" t="s">
        <v>82</v>
      </c>
      <c r="C20" s="41" t="s">
        <v>851</v>
      </c>
      <c r="D20" s="1024"/>
      <c r="E20" s="1024"/>
      <c r="F20" s="1024"/>
      <c r="G20" s="41" t="s">
        <v>1933</v>
      </c>
      <c r="H20" s="41" t="s">
        <v>1934</v>
      </c>
      <c r="I20" s="751"/>
      <c r="J20" s="737">
        <v>45156.0</v>
      </c>
      <c r="K20" s="885"/>
      <c r="L20" s="1017"/>
      <c r="M20" s="350"/>
      <c r="N20" s="164"/>
      <c r="O20" s="164"/>
    </row>
    <row r="21" ht="15.75" customHeight="1">
      <c r="A21" s="457"/>
      <c r="B21" s="23" t="s">
        <v>100</v>
      </c>
      <c r="C21" s="744" t="s">
        <v>851</v>
      </c>
      <c r="D21" s="744"/>
      <c r="E21" s="744"/>
      <c r="F21" s="744"/>
      <c r="G21" s="741" t="s">
        <v>1935</v>
      </c>
      <c r="H21" s="741" t="s">
        <v>1936</v>
      </c>
      <c r="I21" s="751"/>
      <c r="J21" s="737">
        <v>44980.0</v>
      </c>
      <c r="K21" s="744" t="s">
        <v>1937</v>
      </c>
      <c r="L21" s="1017"/>
      <c r="M21" s="704"/>
      <c r="N21" s="164"/>
      <c r="O21" s="164"/>
    </row>
    <row r="22" ht="15.75" customHeight="1">
      <c r="A22" s="457"/>
      <c r="B22" s="41" t="s">
        <v>118</v>
      </c>
      <c r="C22" s="19" t="s">
        <v>851</v>
      </c>
      <c r="D22" s="779"/>
      <c r="E22" s="779"/>
      <c r="F22" s="19"/>
      <c r="G22" s="41" t="s">
        <v>1161</v>
      </c>
      <c r="H22" s="156" t="s">
        <v>1162</v>
      </c>
      <c r="I22" s="751"/>
      <c r="J22" s="761">
        <v>45064.0</v>
      </c>
      <c r="K22" s="306" t="s">
        <v>1938</v>
      </c>
      <c r="L22" s="850" t="s">
        <v>1854</v>
      </c>
      <c r="M22" s="850" t="s">
        <v>1854</v>
      </c>
      <c r="N22" s="164"/>
      <c r="O22" s="164"/>
    </row>
    <row r="23" ht="15.75" customHeight="1">
      <c r="A23" s="457"/>
      <c r="B23" s="232" t="s">
        <v>135</v>
      </c>
      <c r="C23" s="109" t="s">
        <v>851</v>
      </c>
      <c r="D23" s="566"/>
      <c r="E23" s="566"/>
      <c r="F23" s="566"/>
      <c r="G23" s="309" t="s">
        <v>1939</v>
      </c>
      <c r="H23" s="309" t="s">
        <v>1940</v>
      </c>
      <c r="I23" s="1025"/>
      <c r="J23" s="752">
        <v>44629.0</v>
      </c>
      <c r="K23" s="744" t="s">
        <v>1941</v>
      </c>
      <c r="L23" s="1017"/>
      <c r="M23" s="350"/>
      <c r="N23" s="164"/>
      <c r="O23" s="164"/>
    </row>
    <row r="24" ht="15.75" customHeight="1">
      <c r="A24" s="457"/>
      <c r="B24" s="233"/>
      <c r="C24" s="41"/>
      <c r="D24" s="889"/>
      <c r="E24" s="889"/>
      <c r="F24" s="889"/>
      <c r="G24" s="34"/>
      <c r="H24" s="34"/>
      <c r="I24" s="751"/>
      <c r="J24" s="1026"/>
      <c r="K24" s="744"/>
      <c r="L24" s="1017"/>
      <c r="M24" s="350"/>
      <c r="N24" s="164"/>
      <c r="O24" s="164"/>
    </row>
    <row r="25" ht="15.75" customHeight="1">
      <c r="A25" s="457"/>
      <c r="B25" s="233"/>
      <c r="C25" s="41"/>
      <c r="D25" s="889"/>
      <c r="E25" s="889"/>
      <c r="F25" s="889"/>
      <c r="G25" s="34"/>
      <c r="H25" s="34"/>
      <c r="I25" s="751"/>
      <c r="J25" s="1026"/>
      <c r="K25" s="744"/>
      <c r="L25" s="1017"/>
      <c r="M25" s="350"/>
      <c r="N25" s="164"/>
      <c r="O25" s="164"/>
    </row>
    <row r="26" ht="15.75" customHeight="1">
      <c r="A26" s="430"/>
      <c r="B26" s="233"/>
      <c r="C26" s="41"/>
      <c r="D26" s="889"/>
      <c r="E26" s="889"/>
      <c r="F26" s="889"/>
      <c r="G26" s="34"/>
      <c r="H26" s="34"/>
      <c r="I26" s="751"/>
      <c r="J26" s="1026"/>
      <c r="K26" s="744"/>
      <c r="L26" s="1017"/>
      <c r="M26" s="350"/>
      <c r="N26" s="164"/>
      <c r="O26" s="164"/>
    </row>
    <row r="27" ht="15.75" customHeight="1">
      <c r="A27" s="164"/>
      <c r="B27" s="164"/>
      <c r="C27" s="164"/>
      <c r="D27" s="164"/>
      <c r="E27" s="164"/>
      <c r="F27" s="164"/>
      <c r="G27" s="164"/>
      <c r="H27" s="164"/>
      <c r="I27" s="776"/>
      <c r="J27" s="777"/>
      <c r="K27" s="1027"/>
      <c r="L27" s="350"/>
      <c r="M27" s="517"/>
      <c r="N27" s="164"/>
      <c r="O27" s="164"/>
      <c r="P27" s="164"/>
      <c r="Q27" s="164"/>
      <c r="R27" s="991"/>
      <c r="S27" s="991"/>
      <c r="T27" s="991"/>
      <c r="U27" s="991"/>
      <c r="V27" s="991"/>
      <c r="W27" s="991"/>
    </row>
    <row r="28" ht="15.75" customHeight="1">
      <c r="A28" s="675" t="s">
        <v>1942</v>
      </c>
      <c r="B28" s="34" t="s">
        <v>651</v>
      </c>
      <c r="C28" s="369" t="s">
        <v>851</v>
      </c>
      <c r="D28" s="1006"/>
      <c r="E28" s="1006"/>
      <c r="F28" s="1006"/>
      <c r="G28" s="236" t="s">
        <v>766</v>
      </c>
      <c r="H28" s="236" t="s">
        <v>767</v>
      </c>
      <c r="I28" s="1028"/>
      <c r="J28" s="918">
        <v>44202.0</v>
      </c>
      <c r="K28" s="250"/>
      <c r="L28" s="610"/>
      <c r="M28" s="1029"/>
      <c r="N28" s="164"/>
      <c r="O28" s="164"/>
      <c r="P28" s="164"/>
      <c r="Q28" s="164"/>
      <c r="R28" s="991"/>
      <c r="S28" s="991"/>
      <c r="T28" s="991"/>
      <c r="U28" s="991"/>
      <c r="V28" s="991"/>
      <c r="W28" s="991"/>
    </row>
    <row r="29" ht="15.75" customHeight="1">
      <c r="A29" s="457"/>
      <c r="B29" s="23" t="s">
        <v>666</v>
      </c>
      <c r="C29" s="119" t="s">
        <v>851</v>
      </c>
      <c r="D29" s="889"/>
      <c r="E29" s="528"/>
      <c r="F29" s="528"/>
      <c r="G29" s="34" t="s">
        <v>1943</v>
      </c>
      <c r="H29" s="236" t="s">
        <v>1944</v>
      </c>
      <c r="I29" s="1030"/>
      <c r="J29" s="864">
        <v>44474.0</v>
      </c>
      <c r="K29" s="1031"/>
      <c r="L29" s="610"/>
      <c r="M29" s="1029"/>
      <c r="N29" s="164"/>
      <c r="O29" s="164"/>
      <c r="P29" s="164"/>
      <c r="Q29" s="164"/>
      <c r="R29" s="947"/>
      <c r="S29" s="947"/>
      <c r="T29" s="947"/>
      <c r="U29" s="947"/>
      <c r="V29" s="947"/>
      <c r="W29" s="947"/>
    </row>
    <row r="30" ht="15.75" customHeight="1">
      <c r="A30" s="457"/>
      <c r="B30" s="369" t="s">
        <v>658</v>
      </c>
      <c r="C30" s="708" t="s">
        <v>851</v>
      </c>
      <c r="D30" s="1032"/>
      <c r="E30" s="1033"/>
      <c r="F30" s="1033"/>
      <c r="G30" s="1034" t="s">
        <v>1945</v>
      </c>
      <c r="H30" s="1035" t="s">
        <v>1946</v>
      </c>
      <c r="I30" s="1036"/>
      <c r="J30" s="864">
        <v>44993.0</v>
      </c>
      <c r="K30" s="1037"/>
      <c r="L30" s="610"/>
      <c r="M30" s="1038"/>
      <c r="N30" s="164"/>
      <c r="O30" s="164"/>
      <c r="P30" s="164"/>
      <c r="Q30" s="164"/>
      <c r="R30" s="991"/>
      <c r="S30" s="991"/>
      <c r="T30" s="991"/>
      <c r="U30" s="991"/>
      <c r="V30" s="991"/>
      <c r="W30" s="991"/>
    </row>
    <row r="31" ht="15.75" customHeight="1">
      <c r="A31" s="457"/>
      <c r="B31" s="23" t="s">
        <v>1947</v>
      </c>
      <c r="C31" s="744" t="s">
        <v>861</v>
      </c>
      <c r="D31" s="744"/>
      <c r="E31" s="744"/>
      <c r="F31" s="744"/>
      <c r="G31" s="467" t="s">
        <v>1786</v>
      </c>
      <c r="H31" s="668" t="s">
        <v>1787</v>
      </c>
      <c r="I31" s="751"/>
      <c r="J31" s="737">
        <v>45296.0</v>
      </c>
      <c r="K31" s="1039"/>
      <c r="L31" s="1040"/>
      <c r="M31" s="1038"/>
      <c r="N31" s="164"/>
      <c r="O31" s="164"/>
      <c r="P31" s="164"/>
      <c r="Q31" s="164"/>
      <c r="R31" s="991"/>
      <c r="S31" s="991"/>
      <c r="T31" s="991"/>
      <c r="U31" s="991"/>
      <c r="V31" s="991"/>
      <c r="W31" s="991"/>
    </row>
    <row r="32" ht="15.75" customHeight="1">
      <c r="A32" s="457"/>
      <c r="B32" s="233" t="s">
        <v>684</v>
      </c>
      <c r="C32" s="22" t="s">
        <v>851</v>
      </c>
      <c r="D32" s="1041"/>
      <c r="E32" s="1041"/>
      <c r="F32" s="1041"/>
      <c r="G32" s="34" t="s">
        <v>1948</v>
      </c>
      <c r="H32" s="34" t="s">
        <v>1949</v>
      </c>
      <c r="I32" s="751" t="s">
        <v>1950</v>
      </c>
      <c r="J32" s="737">
        <v>44634.0</v>
      </c>
      <c r="K32" s="628" t="s">
        <v>1951</v>
      </c>
      <c r="L32" s="1040"/>
      <c r="M32" s="1038"/>
      <c r="N32" s="164"/>
      <c r="O32" s="164"/>
      <c r="P32" s="164"/>
      <c r="Q32" s="164"/>
      <c r="R32" s="947"/>
      <c r="S32" s="947"/>
      <c r="T32" s="947"/>
      <c r="U32" s="947"/>
      <c r="V32" s="947"/>
      <c r="W32" s="947"/>
    </row>
    <row r="33" ht="15.75" customHeight="1">
      <c r="A33" s="457"/>
      <c r="B33" s="1042" t="s">
        <v>692</v>
      </c>
      <c r="C33" s="744" t="s">
        <v>861</v>
      </c>
      <c r="D33" s="51"/>
      <c r="E33" s="51"/>
      <c r="F33" s="406"/>
      <c r="G33" s="1042" t="s">
        <v>1952</v>
      </c>
      <c r="H33" s="1042" t="s">
        <v>1953</v>
      </c>
      <c r="I33" s="51"/>
      <c r="J33" s="737">
        <v>45518.0</v>
      </c>
      <c r="K33" s="1042" t="s">
        <v>1954</v>
      </c>
      <c r="L33" s="1043" t="s">
        <v>1955</v>
      </c>
      <c r="M33" s="680" t="s">
        <v>1956</v>
      </c>
      <c r="N33" s="164"/>
      <c r="O33" s="164"/>
      <c r="P33" s="164"/>
      <c r="Q33" s="164"/>
      <c r="R33" s="991"/>
      <c r="S33" s="991"/>
      <c r="T33" s="991"/>
      <c r="U33" s="991"/>
      <c r="V33" s="991"/>
      <c r="W33" s="991"/>
    </row>
    <row r="34" ht="15.75" customHeight="1">
      <c r="A34" s="457"/>
      <c r="B34" s="23" t="s">
        <v>700</v>
      </c>
      <c r="C34" s="744" t="s">
        <v>861</v>
      </c>
      <c r="D34" s="744"/>
      <c r="E34" s="744"/>
      <c r="F34" s="744"/>
      <c r="G34" s="1042" t="s">
        <v>1952</v>
      </c>
      <c r="H34" s="697" t="s">
        <v>1953</v>
      </c>
      <c r="I34" s="751"/>
      <c r="J34" s="737">
        <v>45518.0</v>
      </c>
      <c r="K34" s="1042" t="s">
        <v>1954</v>
      </c>
      <c r="L34" s="430"/>
      <c r="M34" s="100"/>
      <c r="N34" s="164"/>
      <c r="O34" s="164"/>
      <c r="P34" s="164"/>
      <c r="Q34" s="164"/>
      <c r="R34" s="991"/>
      <c r="S34" s="991"/>
      <c r="T34" s="991"/>
      <c r="U34" s="991"/>
      <c r="V34" s="991"/>
      <c r="W34" s="991"/>
    </row>
    <row r="35" ht="15.75" customHeight="1">
      <c r="A35" s="430"/>
      <c r="B35" s="406" t="s">
        <v>706</v>
      </c>
      <c r="C35" s="710"/>
      <c r="D35" s="710"/>
      <c r="E35" s="710"/>
      <c r="F35" s="710"/>
      <c r="G35" s="406" t="s">
        <v>1957</v>
      </c>
      <c r="H35" s="406" t="s">
        <v>1958</v>
      </c>
      <c r="I35" s="136"/>
      <c r="J35" s="1044">
        <v>45560.0</v>
      </c>
      <c r="K35" s="1039"/>
      <c r="L35" s="693" t="s">
        <v>1959</v>
      </c>
      <c r="M35" s="639"/>
      <c r="N35" s="164"/>
      <c r="O35" s="164"/>
      <c r="P35" s="164"/>
      <c r="Q35" s="164"/>
      <c r="R35" s="947"/>
      <c r="S35" s="947"/>
      <c r="T35" s="947"/>
      <c r="U35" s="947"/>
      <c r="V35" s="947"/>
      <c r="W35" s="947"/>
    </row>
    <row r="36" ht="15.75" customHeight="1">
      <c r="A36" s="164"/>
      <c r="B36" s="164"/>
      <c r="C36" s="164"/>
      <c r="D36" s="164"/>
      <c r="E36" s="164"/>
      <c r="F36" s="164"/>
      <c r="G36" s="164"/>
      <c r="H36" s="164"/>
      <c r="I36" s="776"/>
      <c r="J36" s="1045"/>
      <c r="K36" s="164"/>
      <c r="L36" s="1038"/>
      <c r="M36" s="1038"/>
      <c r="N36" s="164"/>
      <c r="O36" s="164"/>
      <c r="P36" s="164"/>
      <c r="Q36" s="164"/>
      <c r="R36" s="991"/>
      <c r="S36" s="991"/>
      <c r="T36" s="991"/>
      <c r="U36" s="991"/>
      <c r="V36" s="991"/>
      <c r="W36" s="991"/>
    </row>
    <row r="37" ht="15.75" customHeight="1">
      <c r="A37" s="159" t="s">
        <v>196</v>
      </c>
      <c r="B37" s="164">
        <f>IFERROR(__xludf.DUMMYFUNCTION("COUNTUNIQUE(B8:B35)"),17.0)</f>
        <v>17</v>
      </c>
      <c r="C37" s="164"/>
      <c r="D37" s="164"/>
      <c r="E37" s="164"/>
      <c r="F37" s="164"/>
      <c r="G37" s="164"/>
      <c r="H37" s="164"/>
      <c r="I37" s="776"/>
      <c r="J37" s="1045"/>
      <c r="K37" s="164"/>
      <c r="L37" s="1038"/>
      <c r="M37" s="1038"/>
      <c r="N37" s="164"/>
      <c r="O37" s="164"/>
      <c r="P37" s="164"/>
      <c r="Q37" s="164"/>
      <c r="R37" s="991"/>
      <c r="S37" s="991"/>
      <c r="T37" s="991"/>
      <c r="U37" s="991"/>
      <c r="V37" s="991"/>
      <c r="W37" s="991"/>
    </row>
    <row r="38" ht="15.75" customHeight="1">
      <c r="A38" s="164"/>
      <c r="B38" s="164"/>
      <c r="C38" s="164"/>
      <c r="D38" s="164"/>
      <c r="E38" s="164"/>
      <c r="F38" s="164"/>
      <c r="G38" s="164"/>
      <c r="H38" s="164"/>
      <c r="I38" s="776"/>
      <c r="J38" s="1045"/>
      <c r="K38" s="164"/>
      <c r="L38" s="704"/>
      <c r="M38" s="1038"/>
      <c r="N38" s="164"/>
      <c r="O38" s="164"/>
      <c r="P38" s="164"/>
      <c r="Q38" s="164"/>
      <c r="R38" s="164"/>
      <c r="S38" s="164"/>
      <c r="T38" s="164"/>
      <c r="U38" s="164"/>
      <c r="V38" s="164"/>
      <c r="W38" s="164"/>
    </row>
    <row r="39" ht="15.75" customHeight="1">
      <c r="A39" s="164"/>
      <c r="B39" s="164"/>
      <c r="C39" s="164"/>
      <c r="D39" s="164"/>
      <c r="E39" s="164"/>
      <c r="F39" s="164"/>
      <c r="G39" s="164"/>
      <c r="H39" s="164"/>
      <c r="I39" s="776"/>
      <c r="J39" s="1046"/>
      <c r="K39" s="164"/>
      <c r="L39" s="704"/>
      <c r="M39" s="350"/>
      <c r="N39" s="164"/>
      <c r="O39" s="164"/>
      <c r="P39" s="164"/>
      <c r="Q39" s="164"/>
      <c r="R39" s="164"/>
      <c r="S39" s="164"/>
      <c r="T39" s="164"/>
      <c r="U39" s="164"/>
      <c r="V39" s="164"/>
      <c r="W39" s="164"/>
    </row>
    <row r="40" ht="15.75" customHeight="1">
      <c r="A40" s="164"/>
      <c r="B40" s="164"/>
      <c r="C40" s="164"/>
      <c r="D40" s="164"/>
      <c r="E40" s="164"/>
      <c r="F40" s="164"/>
      <c r="G40" s="164"/>
      <c r="H40" s="164"/>
      <c r="I40" s="776"/>
      <c r="J40" s="1046"/>
      <c r="K40" s="164"/>
      <c r="L40" s="704"/>
      <c r="M40" s="704"/>
      <c r="N40" s="164"/>
      <c r="O40" s="164"/>
      <c r="P40" s="164"/>
      <c r="Q40" s="164"/>
      <c r="R40" s="164"/>
      <c r="S40" s="164"/>
      <c r="T40" s="164"/>
      <c r="U40" s="164"/>
      <c r="V40" s="164"/>
      <c r="W40" s="164"/>
    </row>
    <row r="41" ht="15.75" customHeight="1">
      <c r="A41" s="164"/>
      <c r="B41" s="164"/>
      <c r="C41" s="164"/>
      <c r="D41" s="164"/>
      <c r="E41" s="164"/>
      <c r="F41" s="164"/>
      <c r="G41" s="164"/>
      <c r="H41" s="164"/>
      <c r="I41" s="776"/>
      <c r="J41" s="1046"/>
      <c r="K41" s="164"/>
      <c r="L41" s="704"/>
      <c r="M41" s="704"/>
      <c r="N41" s="164"/>
      <c r="O41" s="164"/>
      <c r="P41" s="164"/>
      <c r="Q41" s="164"/>
      <c r="R41" s="164"/>
      <c r="S41" s="164"/>
      <c r="T41" s="164"/>
      <c r="U41" s="164"/>
      <c r="V41" s="164"/>
      <c r="W41" s="164"/>
    </row>
    <row r="42" ht="15.75" customHeight="1">
      <c r="A42" s="164"/>
      <c r="B42" s="164"/>
      <c r="C42" s="164"/>
      <c r="D42" s="164"/>
      <c r="E42" s="164"/>
      <c r="F42" s="164"/>
      <c r="G42" s="164"/>
      <c r="H42" s="164"/>
      <c r="I42" s="776"/>
      <c r="J42" s="1046"/>
      <c r="K42" s="164"/>
      <c r="L42" s="1047"/>
      <c r="M42" s="704"/>
      <c r="N42" s="164"/>
      <c r="O42" s="164"/>
      <c r="P42" s="164"/>
      <c r="Q42" s="164"/>
      <c r="R42" s="164"/>
      <c r="S42" s="164"/>
      <c r="T42" s="164"/>
      <c r="U42" s="164"/>
      <c r="V42" s="164"/>
      <c r="W42" s="164"/>
    </row>
    <row r="43" ht="15.75" customHeight="1">
      <c r="A43" s="164"/>
      <c r="B43" s="164"/>
      <c r="C43" s="164"/>
      <c r="D43" s="164"/>
      <c r="E43" s="164"/>
      <c r="F43" s="164"/>
      <c r="G43" s="164"/>
      <c r="H43" s="164"/>
      <c r="I43" s="776"/>
      <c r="J43" s="1046"/>
      <c r="K43" s="164"/>
      <c r="L43" s="639"/>
      <c r="M43" s="639"/>
      <c r="N43" s="164"/>
      <c r="O43" s="164"/>
      <c r="P43" s="164"/>
      <c r="Q43" s="164"/>
      <c r="R43" s="164"/>
      <c r="S43" s="164"/>
      <c r="T43" s="164"/>
      <c r="U43" s="164"/>
      <c r="V43" s="164"/>
      <c r="W43" s="164"/>
    </row>
    <row r="44" ht="15.75" customHeight="1">
      <c r="A44" s="164"/>
      <c r="B44" s="164"/>
      <c r="C44" s="164"/>
      <c r="D44" s="164"/>
      <c r="E44" s="164"/>
      <c r="F44" s="164"/>
      <c r="G44" s="164"/>
      <c r="H44" s="164"/>
      <c r="I44" s="776"/>
      <c r="J44" s="1048"/>
      <c r="K44" s="164"/>
      <c r="L44" s="350"/>
      <c r="M44" s="639"/>
      <c r="N44" s="164"/>
      <c r="O44" s="164"/>
      <c r="P44" s="164"/>
      <c r="Q44" s="164"/>
      <c r="R44" s="164"/>
      <c r="S44" s="164"/>
      <c r="T44" s="164"/>
      <c r="U44" s="164"/>
      <c r="V44" s="164"/>
      <c r="W44" s="164"/>
    </row>
    <row r="45" ht="15.75" customHeight="1">
      <c r="A45" s="164"/>
      <c r="B45" s="164"/>
      <c r="C45" s="164"/>
      <c r="D45" s="164"/>
      <c r="E45" s="164"/>
      <c r="F45" s="164"/>
      <c r="G45" s="164"/>
      <c r="H45" s="164"/>
      <c r="I45" s="776"/>
      <c r="J45" s="1048"/>
      <c r="K45" s="164"/>
      <c r="L45" s="350"/>
      <c r="M45" s="350"/>
      <c r="N45" s="164"/>
      <c r="O45" s="164"/>
      <c r="P45" s="164"/>
      <c r="Q45" s="164"/>
      <c r="R45" s="164"/>
      <c r="S45" s="164"/>
      <c r="T45" s="164"/>
      <c r="U45" s="164"/>
      <c r="V45" s="164"/>
      <c r="W45" s="164"/>
    </row>
    <row r="46" ht="15.75" customHeight="1">
      <c r="A46" s="164"/>
      <c r="B46" s="164"/>
      <c r="C46" s="164"/>
      <c r="D46" s="164"/>
      <c r="E46" s="164"/>
      <c r="F46" s="164"/>
      <c r="G46" s="164"/>
      <c r="H46" s="164"/>
      <c r="I46" s="776"/>
      <c r="J46" s="1045"/>
      <c r="K46" s="164"/>
      <c r="L46" s="164"/>
      <c r="M46" s="164"/>
      <c r="N46" s="164"/>
      <c r="O46" s="164"/>
      <c r="P46" s="164"/>
      <c r="Q46" s="164"/>
      <c r="R46" s="164"/>
      <c r="S46" s="164"/>
      <c r="T46" s="164"/>
      <c r="U46" s="164"/>
      <c r="V46" s="164"/>
      <c r="W46" s="164"/>
    </row>
    <row r="47" ht="15.75" customHeight="1">
      <c r="A47" s="164"/>
      <c r="B47" s="164"/>
      <c r="C47" s="164"/>
      <c r="D47" s="164"/>
      <c r="E47" s="164"/>
      <c r="F47" s="164"/>
      <c r="G47" s="164"/>
      <c r="H47" s="164"/>
      <c r="I47" s="776"/>
      <c r="J47" s="1045"/>
      <c r="K47" s="164"/>
      <c r="L47" s="164"/>
      <c r="M47" s="164"/>
      <c r="N47" s="164"/>
      <c r="O47" s="164"/>
      <c r="P47" s="164"/>
      <c r="Q47" s="164"/>
      <c r="R47" s="164"/>
      <c r="S47" s="164"/>
      <c r="T47" s="164"/>
      <c r="U47" s="164"/>
      <c r="V47" s="164"/>
      <c r="W47" s="164"/>
    </row>
    <row r="48" ht="15.75" customHeight="1">
      <c r="A48" s="164"/>
      <c r="B48" s="164"/>
      <c r="C48" s="164"/>
      <c r="D48" s="164"/>
      <c r="E48" s="164"/>
      <c r="F48" s="164"/>
      <c r="G48" s="164"/>
      <c r="H48" s="164"/>
      <c r="I48" s="776"/>
      <c r="J48" s="1045"/>
      <c r="K48" s="164"/>
      <c r="L48" s="164"/>
      <c r="M48" s="164"/>
      <c r="N48" s="164"/>
      <c r="O48" s="164"/>
      <c r="P48" s="164"/>
      <c r="Q48" s="164"/>
      <c r="R48" s="164"/>
      <c r="S48" s="164"/>
      <c r="T48" s="164"/>
      <c r="U48" s="164"/>
      <c r="V48" s="164"/>
      <c r="W48" s="164"/>
    </row>
    <row r="49" ht="15.75" customHeight="1">
      <c r="A49" s="164"/>
      <c r="B49" s="164"/>
      <c r="C49" s="164"/>
      <c r="D49" s="164"/>
      <c r="E49" s="164"/>
      <c r="F49" s="164"/>
      <c r="G49" s="164"/>
      <c r="H49" s="164"/>
      <c r="I49" s="776"/>
      <c r="J49" s="1045"/>
      <c r="K49" s="164"/>
      <c r="L49" s="164"/>
      <c r="M49" s="164"/>
      <c r="N49" s="164"/>
      <c r="O49" s="164"/>
      <c r="P49" s="164"/>
      <c r="Q49" s="164"/>
      <c r="R49" s="164"/>
      <c r="S49" s="164"/>
      <c r="T49" s="164"/>
      <c r="U49" s="164"/>
      <c r="V49" s="164"/>
      <c r="W49" s="164"/>
    </row>
    <row r="50" ht="15.75" customHeight="1">
      <c r="A50" s="164"/>
      <c r="B50" s="164"/>
      <c r="C50" s="164"/>
      <c r="D50" s="164"/>
      <c r="E50" s="164"/>
      <c r="F50" s="164"/>
      <c r="G50" s="164"/>
      <c r="H50" s="164"/>
      <c r="I50" s="776"/>
      <c r="J50" s="1045"/>
      <c r="K50" s="164"/>
      <c r="L50" s="932"/>
      <c r="M50" s="164"/>
      <c r="N50" s="164"/>
      <c r="O50" s="164"/>
      <c r="P50" s="164"/>
      <c r="Q50" s="164"/>
      <c r="R50" s="164"/>
      <c r="S50" s="164"/>
      <c r="T50" s="164"/>
      <c r="U50" s="164"/>
      <c r="V50" s="164"/>
      <c r="W50" s="164"/>
    </row>
    <row r="51" ht="15.75" customHeight="1">
      <c r="A51" s="164"/>
      <c r="B51" s="164"/>
      <c r="C51" s="164"/>
      <c r="D51" s="164"/>
      <c r="E51" s="164"/>
      <c r="F51" s="164"/>
      <c r="G51" s="164"/>
      <c r="H51" s="164"/>
      <c r="I51" s="776"/>
      <c r="J51" s="1045"/>
      <c r="K51" s="164"/>
      <c r="L51" s="776"/>
      <c r="M51" s="164"/>
      <c r="N51" s="164"/>
      <c r="O51" s="164"/>
      <c r="P51" s="164"/>
      <c r="Q51" s="164"/>
      <c r="R51" s="164"/>
      <c r="S51" s="164"/>
      <c r="T51" s="164"/>
      <c r="U51" s="164"/>
      <c r="V51" s="164"/>
      <c r="W51" s="164"/>
    </row>
    <row r="52" ht="15.75" customHeight="1">
      <c r="A52" s="164"/>
      <c r="B52" s="164"/>
      <c r="C52" s="164"/>
      <c r="D52" s="164"/>
      <c r="E52" s="164"/>
      <c r="F52" s="164"/>
      <c r="G52" s="164"/>
      <c r="H52" s="164"/>
      <c r="I52" s="776"/>
      <c r="J52" s="1045"/>
      <c r="K52" s="164"/>
      <c r="L52" s="776"/>
      <c r="M52" s="164"/>
      <c r="N52" s="164"/>
      <c r="O52" s="164"/>
      <c r="P52" s="164"/>
      <c r="Q52" s="164"/>
      <c r="R52" s="164"/>
      <c r="S52" s="164"/>
      <c r="T52" s="164"/>
      <c r="U52" s="164"/>
      <c r="V52" s="164"/>
      <c r="W52" s="164"/>
    </row>
    <row r="53" ht="15.75" customHeight="1">
      <c r="A53" s="164"/>
      <c r="B53" s="164"/>
      <c r="C53" s="164"/>
      <c r="D53" s="164"/>
      <c r="E53" s="164"/>
      <c r="F53" s="164"/>
      <c r="G53" s="164"/>
      <c r="H53" s="164"/>
      <c r="I53" s="776"/>
      <c r="J53" s="1045"/>
      <c r="K53" s="164"/>
      <c r="L53" s="776"/>
      <c r="M53" s="164"/>
      <c r="N53" s="164"/>
      <c r="O53" s="164"/>
      <c r="P53" s="164"/>
      <c r="Q53" s="164"/>
      <c r="R53" s="164"/>
      <c r="S53" s="164"/>
      <c r="T53" s="164"/>
      <c r="U53" s="164"/>
      <c r="V53" s="164"/>
      <c r="W53" s="164"/>
    </row>
    <row r="54" ht="15.75" customHeight="1">
      <c r="A54" s="164"/>
      <c r="B54" s="164"/>
      <c r="C54" s="164"/>
      <c r="D54" s="164"/>
      <c r="E54" s="164"/>
      <c r="F54" s="164"/>
      <c r="G54" s="164"/>
      <c r="H54" s="164"/>
      <c r="I54" s="776"/>
      <c r="J54" s="1048"/>
      <c r="K54" s="164"/>
      <c r="L54" s="776"/>
      <c r="M54" s="164"/>
      <c r="N54" s="164"/>
      <c r="O54" s="164"/>
      <c r="P54" s="164"/>
      <c r="Q54" s="164"/>
      <c r="R54" s="164"/>
      <c r="S54" s="164"/>
      <c r="T54" s="164"/>
      <c r="U54" s="164"/>
      <c r="V54" s="164"/>
      <c r="W54" s="164"/>
    </row>
    <row r="55" ht="15.75" customHeight="1">
      <c r="A55" s="164"/>
      <c r="B55" s="164"/>
      <c r="C55" s="164"/>
      <c r="D55" s="164"/>
      <c r="E55" s="164"/>
      <c r="F55" s="164"/>
      <c r="G55" s="164"/>
      <c r="H55" s="164"/>
      <c r="I55" s="776"/>
      <c r="J55" s="1048"/>
      <c r="K55" s="164"/>
      <c r="L55" s="776"/>
      <c r="M55" s="164"/>
      <c r="N55" s="164"/>
      <c r="O55" s="164"/>
      <c r="P55" s="164"/>
      <c r="Q55" s="164"/>
      <c r="R55" s="164"/>
      <c r="S55" s="164"/>
      <c r="T55" s="164"/>
      <c r="U55" s="164"/>
      <c r="V55" s="164"/>
      <c r="W55" s="164"/>
    </row>
    <row r="56" ht="15.75" customHeight="1">
      <c r="A56" s="164"/>
      <c r="B56" s="164"/>
      <c r="C56" s="164"/>
      <c r="D56" s="164"/>
      <c r="E56" s="164"/>
      <c r="F56" s="164"/>
      <c r="G56" s="164"/>
      <c r="H56" s="164"/>
      <c r="I56" s="776"/>
      <c r="J56" s="1046"/>
      <c r="K56" s="164"/>
      <c r="L56" s="776"/>
      <c r="M56" s="164"/>
      <c r="N56" s="164"/>
      <c r="O56" s="164"/>
      <c r="P56" s="164"/>
      <c r="Q56" s="164"/>
      <c r="R56" s="164"/>
      <c r="S56" s="164"/>
      <c r="T56" s="164"/>
      <c r="U56" s="164"/>
      <c r="V56" s="164"/>
      <c r="W56" s="164"/>
    </row>
    <row r="57" ht="15.75" customHeight="1">
      <c r="A57" s="164"/>
      <c r="B57" s="164"/>
      <c r="C57" s="164"/>
      <c r="D57" s="164"/>
      <c r="E57" s="164"/>
      <c r="F57" s="164"/>
      <c r="G57" s="164"/>
      <c r="H57" s="164"/>
      <c r="I57" s="776"/>
      <c r="J57" s="1045"/>
      <c r="K57" s="164"/>
      <c r="L57" s="776"/>
      <c r="M57" s="164"/>
      <c r="N57" s="164"/>
      <c r="O57" s="164"/>
      <c r="P57" s="164"/>
      <c r="Q57" s="164"/>
      <c r="R57" s="164"/>
      <c r="S57" s="164"/>
      <c r="T57" s="164"/>
      <c r="U57" s="164"/>
      <c r="V57" s="164"/>
      <c r="W57" s="164"/>
    </row>
    <row r="58" ht="15.75" customHeight="1">
      <c r="A58" s="164"/>
      <c r="B58" s="164"/>
      <c r="C58" s="164"/>
      <c r="D58" s="164"/>
      <c r="E58" s="164"/>
      <c r="F58" s="164"/>
      <c r="G58" s="164"/>
      <c r="H58" s="164"/>
      <c r="I58" s="776"/>
      <c r="J58" s="1045"/>
      <c r="K58" s="164"/>
      <c r="L58" s="776"/>
      <c r="M58" s="164"/>
      <c r="N58" s="164"/>
      <c r="O58" s="164"/>
      <c r="P58" s="164"/>
      <c r="Q58" s="164"/>
      <c r="R58" s="164"/>
      <c r="S58" s="164"/>
      <c r="T58" s="164"/>
      <c r="U58" s="164"/>
      <c r="V58" s="164"/>
      <c r="W58" s="164"/>
    </row>
    <row r="59" ht="15.75" customHeight="1">
      <c r="A59" s="164"/>
      <c r="B59" s="164"/>
      <c r="C59" s="164"/>
      <c r="D59" s="164"/>
      <c r="E59" s="164"/>
      <c r="F59" s="164"/>
      <c r="G59" s="164"/>
      <c r="H59" s="164"/>
      <c r="I59" s="776"/>
      <c r="J59" s="1045"/>
      <c r="K59" s="164"/>
      <c r="L59" s="932"/>
      <c r="M59" s="164"/>
      <c r="N59" s="164"/>
      <c r="O59" s="164"/>
      <c r="P59" s="164"/>
      <c r="Q59" s="164"/>
      <c r="R59" s="164"/>
      <c r="S59" s="164"/>
      <c r="T59" s="164"/>
      <c r="U59" s="164"/>
      <c r="V59" s="164"/>
      <c r="W59" s="164"/>
    </row>
    <row r="60" ht="15.75" customHeight="1">
      <c r="A60" s="164"/>
      <c r="B60" s="164"/>
      <c r="C60" s="164"/>
      <c r="D60" s="164"/>
      <c r="E60" s="164"/>
      <c r="F60" s="164"/>
      <c r="G60" s="164"/>
      <c r="H60" s="164"/>
      <c r="I60" s="776"/>
      <c r="J60" s="1045"/>
      <c r="K60" s="164"/>
      <c r="L60" s="932"/>
      <c r="M60" s="164"/>
      <c r="N60" s="164"/>
      <c r="O60" s="164"/>
      <c r="P60" s="164"/>
      <c r="Q60" s="164"/>
      <c r="R60" s="164"/>
      <c r="S60" s="164"/>
      <c r="T60" s="164"/>
      <c r="U60" s="164"/>
      <c r="V60" s="164"/>
      <c r="W60" s="164"/>
    </row>
    <row r="61" ht="15.75" customHeight="1">
      <c r="A61" s="164"/>
      <c r="B61" s="164"/>
      <c r="C61" s="164"/>
      <c r="D61" s="164"/>
      <c r="E61" s="164"/>
      <c r="F61" s="164"/>
      <c r="G61" s="164"/>
      <c r="H61" s="164"/>
      <c r="I61" s="776"/>
      <c r="J61" s="1045"/>
      <c r="K61" s="164"/>
      <c r="L61" s="1049"/>
      <c r="M61" s="164"/>
      <c r="N61" s="164"/>
      <c r="O61" s="164"/>
      <c r="P61" s="164"/>
      <c r="Q61" s="164"/>
      <c r="R61" s="164"/>
      <c r="S61" s="164"/>
      <c r="T61" s="164"/>
      <c r="U61" s="164"/>
      <c r="V61" s="164"/>
      <c r="W61" s="164"/>
    </row>
    <row r="62" ht="15.75" customHeight="1">
      <c r="A62" s="164"/>
      <c r="B62" s="164"/>
      <c r="C62" s="164"/>
      <c r="D62" s="164"/>
      <c r="E62" s="164"/>
      <c r="F62" s="164"/>
      <c r="G62" s="164"/>
      <c r="H62" s="164"/>
      <c r="I62" s="776"/>
      <c r="J62" s="1045"/>
      <c r="K62" s="164"/>
      <c r="L62" s="776"/>
      <c r="M62" s="164"/>
      <c r="N62" s="164"/>
      <c r="O62" s="164"/>
      <c r="P62" s="164"/>
      <c r="Q62" s="164"/>
      <c r="R62" s="164"/>
      <c r="S62" s="164"/>
      <c r="T62" s="164"/>
      <c r="U62" s="164"/>
      <c r="V62" s="164"/>
      <c r="W62" s="164"/>
    </row>
    <row r="63" ht="15.75" customHeight="1">
      <c r="A63" s="164"/>
      <c r="B63" s="164"/>
      <c r="C63" s="164"/>
      <c r="D63" s="164"/>
      <c r="E63" s="164"/>
      <c r="F63" s="164"/>
      <c r="G63" s="164"/>
      <c r="H63" s="164"/>
      <c r="I63" s="776"/>
      <c r="J63" s="1045"/>
      <c r="K63" s="164"/>
      <c r="L63" s="776"/>
      <c r="M63" s="164"/>
      <c r="N63" s="164"/>
      <c r="O63" s="164"/>
      <c r="P63" s="164"/>
      <c r="Q63" s="164"/>
      <c r="R63" s="164"/>
      <c r="S63" s="164"/>
      <c r="T63" s="164"/>
      <c r="U63" s="164"/>
      <c r="V63" s="164"/>
      <c r="W63" s="164"/>
    </row>
    <row r="64" ht="15.75" customHeight="1">
      <c r="A64" s="164"/>
      <c r="B64" s="164"/>
      <c r="C64" s="164"/>
      <c r="D64" s="164"/>
      <c r="E64" s="164"/>
      <c r="F64" s="164"/>
      <c r="G64" s="164"/>
      <c r="H64" s="164"/>
      <c r="I64" s="776"/>
      <c r="J64" s="1048"/>
      <c r="K64" s="164"/>
      <c r="L64" s="776"/>
      <c r="M64" s="164"/>
      <c r="N64" s="164"/>
      <c r="O64" s="164"/>
      <c r="P64" s="164"/>
      <c r="Q64" s="164"/>
      <c r="R64" s="164"/>
      <c r="S64" s="164"/>
      <c r="T64" s="164"/>
      <c r="U64" s="164"/>
      <c r="V64" s="164"/>
      <c r="W64" s="164"/>
    </row>
    <row r="65" ht="15.75" customHeight="1">
      <c r="A65" s="164"/>
      <c r="B65" s="164"/>
      <c r="C65" s="164"/>
      <c r="D65" s="164"/>
      <c r="E65" s="164"/>
      <c r="F65" s="164"/>
      <c r="G65" s="164"/>
      <c r="H65" s="164"/>
      <c r="I65" s="776"/>
      <c r="J65" s="1048"/>
      <c r="K65" s="164"/>
      <c r="L65" s="776"/>
      <c r="M65" s="164"/>
      <c r="O65" s="164"/>
      <c r="P65" s="164"/>
      <c r="Q65" s="164"/>
      <c r="R65" s="164"/>
      <c r="S65" s="164"/>
      <c r="T65" s="164"/>
      <c r="U65" s="164"/>
      <c r="V65" s="164"/>
      <c r="W65" s="164"/>
    </row>
    <row r="66" ht="15.75" customHeight="1">
      <c r="A66" s="164"/>
      <c r="B66" s="164"/>
      <c r="C66" s="164"/>
      <c r="D66" s="164"/>
      <c r="E66" s="164"/>
      <c r="F66" s="164"/>
      <c r="G66" s="164"/>
      <c r="H66" s="164"/>
      <c r="I66" s="776"/>
      <c r="J66" s="1048"/>
      <c r="K66" s="164"/>
      <c r="L66" s="776"/>
      <c r="M66" s="164"/>
      <c r="O66" s="164"/>
      <c r="P66" s="164"/>
      <c r="Q66" s="164"/>
      <c r="R66" s="164"/>
      <c r="S66" s="164"/>
      <c r="T66" s="164"/>
      <c r="U66" s="164"/>
      <c r="V66" s="164"/>
      <c r="W66" s="164"/>
    </row>
    <row r="67" ht="15.75" customHeight="1">
      <c r="A67" s="164"/>
      <c r="B67" s="164"/>
      <c r="C67" s="164"/>
      <c r="D67" s="164"/>
      <c r="E67" s="164"/>
      <c r="F67" s="164"/>
      <c r="G67" s="164"/>
      <c r="H67" s="164"/>
      <c r="I67" s="776"/>
      <c r="J67" s="1048"/>
      <c r="K67" s="164"/>
      <c r="L67" s="776"/>
      <c r="M67" s="164"/>
      <c r="O67" s="164"/>
      <c r="P67" s="164"/>
      <c r="Q67" s="164"/>
      <c r="R67" s="164"/>
      <c r="S67" s="164"/>
      <c r="T67" s="164"/>
      <c r="U67" s="164"/>
      <c r="V67" s="164"/>
      <c r="W67" s="164"/>
    </row>
    <row r="68" ht="15.75" customHeight="1">
      <c r="A68" s="164"/>
      <c r="B68" s="164"/>
      <c r="C68" s="164"/>
      <c r="D68" s="164"/>
      <c r="E68" s="164"/>
      <c r="F68" s="164"/>
      <c r="G68" s="164"/>
      <c r="H68" s="164"/>
      <c r="I68" s="776"/>
      <c r="J68" s="1048"/>
      <c r="K68" s="164"/>
      <c r="L68" s="776"/>
      <c r="M68" s="164"/>
      <c r="O68" s="164"/>
      <c r="P68" s="164"/>
      <c r="Q68" s="164"/>
      <c r="R68" s="164"/>
      <c r="S68" s="164"/>
      <c r="T68" s="164"/>
      <c r="U68" s="164"/>
      <c r="V68" s="164"/>
      <c r="W68" s="164"/>
    </row>
    <row r="69" ht="15.75" customHeight="1">
      <c r="A69" s="164"/>
      <c r="B69" s="164"/>
      <c r="C69" s="164"/>
      <c r="D69" s="164"/>
      <c r="E69" s="164"/>
      <c r="F69" s="164"/>
      <c r="G69" s="164"/>
      <c r="H69" s="164"/>
      <c r="I69" s="776"/>
      <c r="J69" s="1048"/>
      <c r="K69" s="164"/>
      <c r="L69" s="776"/>
      <c r="M69" s="164"/>
      <c r="O69" s="164"/>
      <c r="P69" s="164"/>
      <c r="Q69" s="164"/>
      <c r="R69" s="164"/>
      <c r="S69" s="164"/>
      <c r="T69" s="164"/>
      <c r="U69" s="164"/>
      <c r="V69" s="164"/>
      <c r="W69" s="164"/>
    </row>
    <row r="70" ht="15.75" customHeight="1">
      <c r="A70" s="164"/>
      <c r="B70" s="164"/>
      <c r="C70" s="164"/>
      <c r="D70" s="164"/>
      <c r="E70" s="164"/>
      <c r="F70" s="164"/>
      <c r="G70" s="164"/>
      <c r="H70" s="164"/>
      <c r="I70" s="776"/>
      <c r="J70" s="1048"/>
      <c r="K70" s="164"/>
      <c r="L70" s="776"/>
      <c r="M70" s="164"/>
      <c r="O70" s="164"/>
      <c r="P70" s="164"/>
      <c r="Q70" s="164"/>
      <c r="R70" s="164"/>
      <c r="S70" s="164"/>
      <c r="T70" s="164"/>
      <c r="U70" s="164"/>
      <c r="V70" s="164"/>
      <c r="W70" s="164"/>
    </row>
    <row r="71" ht="15.75" customHeight="1">
      <c r="A71" s="164"/>
      <c r="B71" s="164"/>
      <c r="C71" s="164"/>
      <c r="D71" s="164"/>
      <c r="E71" s="164"/>
      <c r="F71" s="164"/>
      <c r="G71" s="164"/>
      <c r="H71" s="164"/>
      <c r="I71" s="776"/>
      <c r="J71" s="1048"/>
      <c r="K71" s="164"/>
      <c r="L71" s="776"/>
      <c r="M71" s="164"/>
      <c r="O71" s="164"/>
      <c r="P71" s="164"/>
      <c r="Q71" s="164"/>
      <c r="R71" s="164"/>
      <c r="S71" s="164"/>
      <c r="T71" s="164"/>
      <c r="U71" s="164"/>
      <c r="V71" s="164"/>
      <c r="W71" s="164"/>
    </row>
    <row r="72" ht="15.75" customHeight="1">
      <c r="A72" s="164"/>
      <c r="B72" s="164"/>
      <c r="C72" s="164"/>
      <c r="D72" s="164"/>
      <c r="E72" s="164"/>
      <c r="F72" s="164"/>
      <c r="G72" s="164"/>
      <c r="H72" s="164"/>
      <c r="I72" s="776"/>
      <c r="J72" s="1048"/>
      <c r="K72" s="164"/>
      <c r="L72" s="776"/>
      <c r="M72" s="164"/>
      <c r="O72" s="164"/>
      <c r="P72" s="164"/>
      <c r="Q72" s="164"/>
      <c r="R72" s="164"/>
      <c r="S72" s="164"/>
      <c r="T72" s="164"/>
      <c r="U72" s="164"/>
      <c r="V72" s="164"/>
      <c r="W72" s="164"/>
    </row>
    <row r="73" ht="15.75" customHeight="1">
      <c r="A73" s="164"/>
      <c r="B73" s="164"/>
      <c r="C73" s="164"/>
      <c r="D73" s="164"/>
      <c r="E73" s="164"/>
      <c r="F73" s="164"/>
      <c r="G73" s="164"/>
      <c r="H73" s="164"/>
      <c r="I73" s="776"/>
      <c r="J73" s="1048"/>
      <c r="K73" s="164"/>
      <c r="L73" s="776"/>
      <c r="M73" s="164"/>
      <c r="R73" s="164"/>
      <c r="S73" s="164"/>
      <c r="T73" s="164"/>
      <c r="U73" s="164"/>
      <c r="V73" s="164"/>
      <c r="W73" s="164"/>
    </row>
    <row r="74" ht="15.75" customHeight="1">
      <c r="A74" s="164"/>
      <c r="B74" s="164"/>
      <c r="C74" s="164"/>
      <c r="D74" s="164"/>
      <c r="E74" s="164"/>
      <c r="F74" s="164"/>
      <c r="G74" s="164"/>
      <c r="H74" s="164"/>
      <c r="I74" s="776"/>
      <c r="J74" s="1048"/>
      <c r="K74" s="164"/>
      <c r="L74" s="776"/>
      <c r="M74" s="164"/>
      <c r="R74" s="164"/>
      <c r="S74" s="164"/>
      <c r="T74" s="164"/>
      <c r="U74" s="164"/>
      <c r="V74" s="164"/>
      <c r="W74" s="164"/>
    </row>
    <row r="75" ht="15.75" customHeight="1">
      <c r="A75" s="164"/>
      <c r="B75" s="164"/>
      <c r="C75" s="164"/>
      <c r="D75" s="164"/>
      <c r="E75" s="164"/>
      <c r="F75" s="164"/>
      <c r="G75" s="164"/>
      <c r="H75" s="164"/>
      <c r="I75" s="776"/>
      <c r="J75" s="1048"/>
      <c r="K75" s="164"/>
      <c r="L75" s="776"/>
      <c r="M75" s="164"/>
      <c r="R75" s="164"/>
      <c r="S75" s="164"/>
      <c r="T75" s="164"/>
      <c r="U75" s="164"/>
      <c r="V75" s="164"/>
      <c r="W75" s="164"/>
    </row>
    <row r="76" ht="15.75" customHeight="1">
      <c r="A76" s="164"/>
      <c r="B76" s="164"/>
      <c r="C76" s="164"/>
      <c r="D76" s="164"/>
      <c r="E76" s="164"/>
      <c r="F76" s="164"/>
      <c r="G76" s="164"/>
      <c r="H76" s="164"/>
      <c r="I76" s="776"/>
      <c r="J76" s="1048"/>
      <c r="K76" s="164"/>
      <c r="L76" s="776"/>
      <c r="M76" s="164"/>
      <c r="R76" s="164"/>
      <c r="S76" s="164"/>
      <c r="T76" s="164"/>
      <c r="U76" s="164"/>
      <c r="V76" s="164"/>
      <c r="W76" s="164"/>
    </row>
    <row r="77" ht="15.75" customHeight="1">
      <c r="A77" s="164"/>
      <c r="B77" s="164"/>
      <c r="C77" s="164"/>
      <c r="D77" s="164"/>
      <c r="E77" s="164"/>
      <c r="F77" s="164"/>
      <c r="G77" s="164"/>
      <c r="H77" s="164"/>
      <c r="I77" s="776"/>
      <c r="J77" s="1048"/>
      <c r="K77" s="164"/>
      <c r="L77" s="776"/>
      <c r="M77" s="164"/>
      <c r="R77" s="164"/>
      <c r="S77" s="164"/>
      <c r="T77" s="164"/>
      <c r="U77" s="164"/>
      <c r="V77" s="164"/>
      <c r="W77" s="164"/>
    </row>
    <row r="78" ht="15.75" customHeight="1">
      <c r="A78" s="164"/>
      <c r="B78" s="164"/>
      <c r="C78" s="164"/>
      <c r="D78" s="164"/>
      <c r="E78" s="164"/>
      <c r="F78" s="164"/>
      <c r="G78" s="164"/>
      <c r="H78" s="164"/>
      <c r="I78" s="776"/>
      <c r="J78" s="1048"/>
      <c r="K78" s="164"/>
      <c r="L78" s="776"/>
      <c r="M78" s="164"/>
      <c r="R78" s="164"/>
      <c r="S78" s="164"/>
      <c r="T78" s="164"/>
      <c r="U78" s="164"/>
      <c r="V78" s="164"/>
      <c r="W78" s="164"/>
    </row>
    <row r="79" ht="15.75" customHeight="1">
      <c r="A79" s="164"/>
      <c r="B79" s="164"/>
      <c r="C79" s="164"/>
      <c r="D79" s="164"/>
      <c r="E79" s="164"/>
      <c r="F79" s="164"/>
      <c r="G79" s="164"/>
      <c r="H79" s="164"/>
      <c r="I79" s="776"/>
      <c r="J79" s="1048"/>
      <c r="K79" s="164"/>
      <c r="L79" s="776"/>
      <c r="M79" s="164"/>
      <c r="R79" s="164"/>
      <c r="S79" s="164"/>
      <c r="T79" s="164"/>
      <c r="U79" s="164"/>
      <c r="V79" s="164"/>
      <c r="W79" s="164"/>
    </row>
    <row r="80" ht="15.75" customHeight="1">
      <c r="A80" s="164"/>
      <c r="B80" s="164"/>
      <c r="C80" s="164"/>
      <c r="D80" s="164"/>
      <c r="E80" s="164"/>
      <c r="F80" s="164"/>
      <c r="G80" s="164"/>
      <c r="H80" s="164"/>
      <c r="I80" s="776"/>
      <c r="J80" s="1048"/>
      <c r="K80" s="164"/>
      <c r="L80" s="776"/>
      <c r="M80" s="164"/>
      <c r="R80" s="164"/>
      <c r="S80" s="164"/>
      <c r="T80" s="164"/>
      <c r="U80" s="164"/>
      <c r="V80" s="164"/>
      <c r="W80" s="164"/>
    </row>
    <row r="81" ht="15.75" customHeight="1">
      <c r="A81" s="164"/>
      <c r="B81" s="164"/>
      <c r="C81" s="164"/>
      <c r="D81" s="164"/>
      <c r="E81" s="164"/>
      <c r="F81" s="164"/>
      <c r="G81" s="164"/>
      <c r="H81" s="164"/>
      <c r="I81" s="776"/>
      <c r="J81" s="1048"/>
      <c r="K81" s="164"/>
      <c r="L81" s="776"/>
      <c r="M81" s="164"/>
      <c r="R81" s="164"/>
      <c r="S81" s="164"/>
      <c r="T81" s="164"/>
      <c r="U81" s="164"/>
      <c r="V81" s="164"/>
      <c r="W81" s="164"/>
    </row>
    <row r="82" ht="15.75" customHeight="1">
      <c r="A82" s="164"/>
      <c r="B82" s="164"/>
      <c r="C82" s="164"/>
      <c r="D82" s="164"/>
      <c r="E82" s="164"/>
      <c r="F82" s="164"/>
      <c r="G82" s="164"/>
      <c r="H82" s="164"/>
      <c r="I82" s="776"/>
      <c r="J82" s="1048"/>
      <c r="K82" s="164"/>
      <c r="L82" s="776"/>
      <c r="M82" s="164"/>
      <c r="R82" s="164"/>
      <c r="S82" s="164"/>
      <c r="T82" s="164"/>
      <c r="U82" s="164"/>
      <c r="V82" s="164"/>
      <c r="W82" s="164"/>
    </row>
    <row r="83" ht="15.75" customHeight="1">
      <c r="J83" s="1050"/>
      <c r="L83" s="776"/>
      <c r="M83" s="164"/>
      <c r="R83" s="164"/>
      <c r="S83" s="164"/>
      <c r="T83" s="164"/>
      <c r="U83" s="164"/>
      <c r="V83" s="164"/>
      <c r="W83" s="164"/>
    </row>
    <row r="84" ht="15.75" customHeight="1">
      <c r="J84" s="1050"/>
      <c r="L84" s="776"/>
      <c r="M84" s="164"/>
      <c r="R84" s="164"/>
      <c r="S84" s="164"/>
      <c r="T84" s="164"/>
      <c r="U84" s="164"/>
      <c r="V84" s="164"/>
      <c r="W84" s="164"/>
    </row>
    <row r="85" ht="15.75" customHeight="1">
      <c r="J85" s="1050"/>
      <c r="L85" s="776"/>
      <c r="M85" s="164"/>
      <c r="R85" s="164"/>
      <c r="S85" s="164"/>
      <c r="T85" s="164"/>
      <c r="U85" s="164"/>
      <c r="V85" s="164"/>
      <c r="W85" s="164"/>
    </row>
    <row r="86" ht="15.75" customHeight="1">
      <c r="J86" s="1050"/>
      <c r="L86" s="776"/>
      <c r="M86" s="164"/>
      <c r="R86" s="164"/>
      <c r="S86" s="164"/>
      <c r="T86" s="164"/>
      <c r="U86" s="164"/>
      <c r="V86" s="164"/>
      <c r="W86" s="164"/>
    </row>
    <row r="87" ht="15.75" customHeight="1">
      <c r="J87" s="1050"/>
      <c r="L87" s="776"/>
      <c r="M87" s="164"/>
      <c r="R87" s="164"/>
      <c r="S87" s="164"/>
      <c r="T87" s="164"/>
      <c r="U87" s="164"/>
      <c r="V87" s="164"/>
      <c r="W87" s="164"/>
    </row>
    <row r="88" ht="15.75" customHeight="1">
      <c r="J88" s="1050"/>
      <c r="L88" s="776"/>
      <c r="M88" s="164"/>
      <c r="R88" s="164"/>
      <c r="S88" s="164"/>
      <c r="T88" s="164"/>
      <c r="U88" s="164"/>
      <c r="V88" s="164"/>
      <c r="W88" s="164"/>
    </row>
    <row r="89" ht="15.75" customHeight="1">
      <c r="J89" s="1050"/>
      <c r="L89" s="776"/>
      <c r="M89" s="164"/>
      <c r="R89" s="164"/>
      <c r="S89" s="164"/>
      <c r="T89" s="164"/>
      <c r="U89" s="164"/>
      <c r="V89" s="164"/>
      <c r="W89" s="164"/>
    </row>
    <row r="90" ht="15.75" customHeight="1">
      <c r="J90" s="1050"/>
      <c r="L90" s="776"/>
      <c r="M90" s="164"/>
      <c r="R90" s="164"/>
      <c r="S90" s="164"/>
      <c r="T90" s="164"/>
      <c r="U90" s="164"/>
      <c r="V90" s="164"/>
      <c r="W90" s="164"/>
    </row>
    <row r="91" ht="15.75" customHeight="1">
      <c r="J91" s="1050"/>
      <c r="L91" s="776"/>
      <c r="M91" s="164"/>
      <c r="R91" s="164"/>
      <c r="S91" s="164"/>
      <c r="T91" s="164"/>
      <c r="U91" s="164"/>
      <c r="V91" s="164"/>
      <c r="W91" s="164"/>
    </row>
    <row r="92" ht="15.75" customHeight="1">
      <c r="J92" s="1050"/>
      <c r="L92" s="776"/>
      <c r="M92" s="164"/>
      <c r="R92" s="164"/>
      <c r="S92" s="164"/>
      <c r="T92" s="164"/>
      <c r="U92" s="164"/>
      <c r="V92" s="164"/>
      <c r="W92" s="164"/>
    </row>
    <row r="93" ht="15.75" customHeight="1">
      <c r="J93" s="1050"/>
      <c r="M93" s="164"/>
      <c r="R93" s="164"/>
      <c r="S93" s="164"/>
      <c r="T93" s="164"/>
      <c r="U93" s="164"/>
      <c r="V93" s="164"/>
      <c r="W93" s="164"/>
    </row>
    <row r="94" ht="15.75" customHeight="1">
      <c r="J94" s="1050"/>
      <c r="M94" s="164"/>
      <c r="R94" s="164"/>
      <c r="S94" s="164"/>
      <c r="T94" s="164"/>
      <c r="U94" s="164"/>
      <c r="V94" s="164"/>
      <c r="W94" s="164"/>
    </row>
    <row r="95" ht="15.75" customHeight="1">
      <c r="J95" s="1050"/>
      <c r="R95" s="164"/>
      <c r="S95" s="164"/>
      <c r="T95" s="164"/>
      <c r="U95" s="164"/>
      <c r="V95" s="164"/>
      <c r="W95" s="164"/>
    </row>
    <row r="96" ht="15.75" customHeight="1">
      <c r="J96" s="1050"/>
      <c r="R96" s="164"/>
      <c r="S96" s="164"/>
      <c r="T96" s="164"/>
      <c r="U96" s="164"/>
      <c r="V96" s="164"/>
      <c r="W96" s="164"/>
    </row>
    <row r="97" ht="15.75" customHeight="1">
      <c r="J97" s="1050"/>
      <c r="R97" s="164"/>
      <c r="S97" s="164"/>
      <c r="T97" s="164"/>
      <c r="U97" s="164"/>
      <c r="V97" s="164"/>
      <c r="W97" s="164"/>
    </row>
    <row r="98" ht="15.75" customHeight="1">
      <c r="J98" s="1050"/>
      <c r="R98" s="164"/>
      <c r="S98" s="164"/>
      <c r="T98" s="164"/>
      <c r="U98" s="164"/>
      <c r="V98" s="164"/>
      <c r="W98" s="164"/>
    </row>
    <row r="99" ht="15.75" customHeight="1">
      <c r="J99" s="1050"/>
      <c r="R99" s="164"/>
      <c r="S99" s="164"/>
      <c r="T99" s="164"/>
      <c r="U99" s="164"/>
      <c r="V99" s="164"/>
      <c r="W99" s="164"/>
    </row>
    <row r="100" ht="15.75" customHeight="1">
      <c r="J100" s="1050"/>
      <c r="R100" s="164"/>
      <c r="S100" s="164"/>
      <c r="T100" s="164"/>
      <c r="U100" s="164"/>
      <c r="V100" s="164"/>
      <c r="W100" s="164"/>
    </row>
    <row r="101" ht="15.75" customHeight="1">
      <c r="J101" s="1050"/>
      <c r="R101" s="164"/>
      <c r="S101" s="164"/>
      <c r="T101" s="164"/>
      <c r="U101" s="164"/>
      <c r="V101" s="164"/>
      <c r="W101" s="164"/>
    </row>
    <row r="102" ht="15.75" customHeight="1">
      <c r="J102" s="1050"/>
      <c r="R102" s="164"/>
      <c r="S102" s="164"/>
      <c r="T102" s="164"/>
      <c r="U102" s="164"/>
      <c r="V102" s="164"/>
      <c r="W102" s="164"/>
    </row>
  </sheetData>
  <mergeCells count="5">
    <mergeCell ref="A10:A17"/>
    <mergeCell ref="A19:A26"/>
    <mergeCell ref="A28:A35"/>
    <mergeCell ref="L33:L34"/>
    <mergeCell ref="M33:M34"/>
  </mergeCells>
  <printOptions/>
  <pageMargins bottom="0.75" footer="0.0" header="0.0" left="0.7" right="0.7" top="0.75"/>
  <pageSetup paperSize="9" orientation="portrait"/>
  <drawing r:id="rId2"/>
  <legacyDrawing r:id="rId3"/>
  <tableParts count="12">
    <tablePart r:id="rId16"/>
    <tablePart r:id="rId17"/>
    <tablePart r:id="rId18"/>
    <tablePart r:id="rId19"/>
    <tablePart r:id="rId20"/>
    <tablePart r:id="rId21"/>
    <tablePart r:id="rId22"/>
    <tablePart r:id="rId23"/>
    <tablePart r:id="rId24"/>
    <tablePart r:id="rId25"/>
    <tablePart r:id="rId26"/>
    <tablePart r:id="rId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7.0" topLeftCell="A8" activePane="bottomLeft" state="frozen"/>
      <selection activeCell="B9" sqref="B9" pane="bottomLeft"/>
    </sheetView>
  </sheetViews>
  <sheetFormatPr customHeight="1" defaultColWidth="12.63" defaultRowHeight="15.0"/>
  <cols>
    <col customWidth="1" min="1" max="1" width="21.63"/>
    <col customWidth="1" min="2" max="2" width="25.0"/>
    <col customWidth="1" min="3" max="6" width="8.88"/>
    <col customWidth="1" min="7" max="7" width="21.25"/>
    <col customWidth="1" min="8" max="8" width="30.88"/>
    <col customWidth="1" min="9" max="9" width="12.63"/>
    <col customWidth="1" min="10" max="10" width="18.63"/>
    <col customWidth="1" min="11" max="11" width="24.0"/>
    <col customWidth="1" min="12" max="12" width="25.13"/>
    <col customWidth="1" min="13" max="13" width="22.0"/>
    <col customWidth="1" min="14" max="14" width="19.38"/>
    <col customWidth="1" min="15" max="15" width="22.38"/>
    <col customWidth="1" min="16" max="16" width="19.5"/>
  </cols>
  <sheetData>
    <row r="1" ht="91.5" customHeight="1">
      <c r="A1" s="730" t="s">
        <v>832</v>
      </c>
      <c r="B1" s="730" t="s">
        <v>833</v>
      </c>
      <c r="C1" s="731" t="s">
        <v>834</v>
      </c>
      <c r="D1" s="731" t="s">
        <v>835</v>
      </c>
      <c r="E1" s="478" t="s">
        <v>836</v>
      </c>
      <c r="F1" s="478" t="s">
        <v>837</v>
      </c>
      <c r="G1" s="730" t="s">
        <v>838</v>
      </c>
      <c r="H1" s="732" t="s">
        <v>724</v>
      </c>
      <c r="I1" s="732"/>
      <c r="J1" s="733" t="s">
        <v>839</v>
      </c>
      <c r="K1" s="732" t="s">
        <v>840</v>
      </c>
      <c r="L1" s="732" t="s">
        <v>841</v>
      </c>
      <c r="M1" s="466"/>
      <c r="N1" s="466"/>
      <c r="O1" s="466"/>
      <c r="P1" s="466"/>
      <c r="Q1" s="466"/>
      <c r="R1" s="466"/>
      <c r="S1" s="466"/>
      <c r="T1" s="466"/>
    </row>
    <row r="2" ht="15.75" customHeight="1">
      <c r="A2" s="422"/>
      <c r="B2" s="34"/>
      <c r="C2" s="1051"/>
      <c r="D2" s="1051"/>
      <c r="E2" s="1051"/>
      <c r="F2" s="1051"/>
      <c r="G2" s="667"/>
      <c r="H2" s="236"/>
      <c r="I2" s="1028"/>
      <c r="J2" s="1052"/>
      <c r="K2" s="810"/>
      <c r="L2" s="488" t="s">
        <v>843</v>
      </c>
      <c r="M2" s="704"/>
      <c r="N2" s="381"/>
      <c r="O2" s="381"/>
      <c r="P2" s="381"/>
      <c r="Q2" s="381"/>
      <c r="R2" s="381"/>
      <c r="S2" s="381"/>
      <c r="T2" s="381"/>
    </row>
    <row r="3" ht="15.75" customHeight="1">
      <c r="A3" s="422"/>
      <c r="B3" s="34"/>
      <c r="C3" s="1051"/>
      <c r="D3" s="1051"/>
      <c r="E3" s="1051"/>
      <c r="F3" s="1051"/>
      <c r="G3" s="667"/>
      <c r="H3" s="236"/>
      <c r="I3" s="1028"/>
      <c r="J3" s="1052"/>
      <c r="K3" s="810"/>
      <c r="L3" s="489" t="s">
        <v>844</v>
      </c>
      <c r="M3" s="1053"/>
      <c r="N3" s="381"/>
      <c r="O3" s="381"/>
      <c r="P3" s="381"/>
      <c r="Q3" s="381"/>
      <c r="R3" s="381"/>
      <c r="S3" s="381"/>
      <c r="T3" s="381"/>
    </row>
    <row r="4" ht="15.75" customHeight="1">
      <c r="A4" s="422"/>
      <c r="B4" s="34"/>
      <c r="C4" s="1051"/>
      <c r="D4" s="1051"/>
      <c r="E4" s="1051"/>
      <c r="F4" s="1051"/>
      <c r="G4" s="667"/>
      <c r="H4" s="236"/>
      <c r="I4" s="1028"/>
      <c r="J4" s="1052"/>
      <c r="K4" s="810"/>
      <c r="L4" s="490" t="s">
        <v>845</v>
      </c>
      <c r="M4" s="1054"/>
      <c r="N4" s="381"/>
      <c r="O4" s="381"/>
      <c r="P4" s="381"/>
      <c r="Q4" s="381"/>
      <c r="R4" s="381"/>
      <c r="S4" s="381"/>
      <c r="T4" s="381"/>
    </row>
    <row r="5" ht="15.75" customHeight="1">
      <c r="A5" s="422"/>
      <c r="B5" s="34"/>
      <c r="C5" s="1051"/>
      <c r="D5" s="1051"/>
      <c r="E5" s="1051"/>
      <c r="F5" s="1051"/>
      <c r="G5" s="667"/>
      <c r="H5" s="236"/>
      <c r="I5" s="1028"/>
      <c r="J5" s="1052"/>
      <c r="K5" s="810"/>
      <c r="L5" s="491" t="s">
        <v>846</v>
      </c>
      <c r="M5" s="1055"/>
      <c r="N5" s="381"/>
      <c r="O5" s="381"/>
      <c r="P5" s="381"/>
      <c r="Q5" s="381"/>
      <c r="R5" s="381"/>
      <c r="S5" s="381"/>
      <c r="T5" s="381"/>
    </row>
    <row r="6" ht="15.75" customHeight="1">
      <c r="A6" s="422"/>
      <c r="B6" s="34"/>
      <c r="C6" s="1051"/>
      <c r="D6" s="1051"/>
      <c r="E6" s="1051"/>
      <c r="F6" s="1051"/>
      <c r="G6" s="667"/>
      <c r="H6" s="236"/>
      <c r="I6" s="1028"/>
      <c r="J6" s="1052"/>
      <c r="K6" s="810"/>
      <c r="L6" s="493" t="s">
        <v>847</v>
      </c>
      <c r="M6" s="1056"/>
      <c r="N6" s="381"/>
      <c r="O6" s="381"/>
      <c r="P6" s="381"/>
      <c r="Q6" s="381"/>
      <c r="R6" s="381"/>
      <c r="S6" s="381"/>
      <c r="T6" s="381"/>
    </row>
    <row r="7" ht="1.5" customHeight="1">
      <c r="A7" s="422"/>
      <c r="B7" s="34"/>
      <c r="C7" s="1051"/>
      <c r="D7" s="1051"/>
      <c r="E7" s="1051"/>
      <c r="F7" s="1051"/>
      <c r="G7" s="667"/>
      <c r="H7" s="236"/>
      <c r="I7" s="1028"/>
      <c r="J7" s="1052"/>
      <c r="K7" s="810"/>
      <c r="L7" s="496" t="s">
        <v>848</v>
      </c>
      <c r="M7" s="1057"/>
      <c r="N7" s="381"/>
      <c r="O7" s="381"/>
      <c r="P7" s="381"/>
      <c r="Q7" s="381"/>
      <c r="R7" s="381"/>
      <c r="S7" s="381"/>
      <c r="T7" s="381"/>
    </row>
    <row r="8" ht="15.75" customHeight="1">
      <c r="A8" s="1058" t="s">
        <v>1960</v>
      </c>
      <c r="B8" s="41" t="s">
        <v>62</v>
      </c>
      <c r="C8" s="744" t="s">
        <v>851</v>
      </c>
      <c r="D8" s="744"/>
      <c r="E8" s="744"/>
      <c r="F8" s="744"/>
      <c r="G8" s="369" t="s">
        <v>1961</v>
      </c>
      <c r="H8" s="406" t="s">
        <v>1962</v>
      </c>
      <c r="I8" s="751"/>
      <c r="J8" s="1059">
        <v>44957.0</v>
      </c>
      <c r="K8" s="754"/>
      <c r="L8" s="1060"/>
      <c r="M8" s="1061"/>
      <c r="N8" s="381"/>
      <c r="O8" s="381"/>
      <c r="P8" s="381"/>
      <c r="Q8" s="381"/>
      <c r="R8" s="381"/>
      <c r="S8" s="381"/>
      <c r="T8" s="381"/>
    </row>
    <row r="9" ht="15.75" customHeight="1">
      <c r="A9" s="457"/>
      <c r="B9" s="821" t="s">
        <v>98</v>
      </c>
      <c r="C9" s="119" t="s">
        <v>851</v>
      </c>
      <c r="D9" s="1006"/>
      <c r="E9" s="528"/>
      <c r="F9" s="528"/>
      <c r="G9" s="1007" t="s">
        <v>1963</v>
      </c>
      <c r="H9" s="1007" t="s">
        <v>1964</v>
      </c>
      <c r="I9" s="842"/>
      <c r="J9" s="711">
        <v>44510.0</v>
      </c>
      <c r="K9" s="810"/>
      <c r="L9" s="954"/>
      <c r="M9" s="1062"/>
      <c r="N9" s="381"/>
      <c r="O9" s="381"/>
      <c r="P9" s="381"/>
      <c r="Q9" s="381"/>
      <c r="R9" s="381"/>
      <c r="S9" s="381"/>
      <c r="T9" s="381"/>
    </row>
    <row r="10" ht="15.75" customHeight="1">
      <c r="A10" s="457"/>
      <c r="B10" s="34" t="s">
        <v>80</v>
      </c>
      <c r="C10" s="41" t="s">
        <v>851</v>
      </c>
      <c r="D10" s="1006"/>
      <c r="E10" s="1006"/>
      <c r="F10" s="1006"/>
      <c r="G10" s="236" t="s">
        <v>1965</v>
      </c>
      <c r="H10" s="236" t="s">
        <v>1966</v>
      </c>
      <c r="I10" s="842"/>
      <c r="J10" s="609">
        <v>44259.0</v>
      </c>
      <c r="K10" s="744"/>
      <c r="L10" s="954"/>
      <c r="M10" s="1053"/>
      <c r="N10" s="381"/>
      <c r="O10" s="381"/>
      <c r="P10" s="381"/>
      <c r="Q10" s="381"/>
      <c r="R10" s="381"/>
      <c r="S10" s="381"/>
      <c r="T10" s="381"/>
    </row>
    <row r="11" ht="15.75" customHeight="1">
      <c r="A11" s="457"/>
      <c r="B11" s="157" t="s">
        <v>116</v>
      </c>
      <c r="C11" s="119" t="s">
        <v>851</v>
      </c>
      <c r="D11" s="528"/>
      <c r="E11" s="528"/>
      <c r="F11" s="528"/>
      <c r="G11" s="471" t="s">
        <v>1967</v>
      </c>
      <c r="H11" s="23" t="s">
        <v>1968</v>
      </c>
      <c r="I11" s="842"/>
      <c r="J11" s="1059">
        <v>45121.0</v>
      </c>
      <c r="K11" s="744"/>
      <c r="L11" s="922"/>
      <c r="M11" s="1061"/>
      <c r="N11" s="1061"/>
      <c r="O11" s="1061"/>
      <c r="P11" s="1061"/>
      <c r="Q11" s="1061"/>
      <c r="R11" s="1061"/>
      <c r="S11" s="381"/>
      <c r="T11" s="381"/>
    </row>
    <row r="12" ht="15.75" customHeight="1">
      <c r="A12" s="457"/>
      <c r="B12" s="34" t="s">
        <v>134</v>
      </c>
      <c r="C12" s="41" t="s">
        <v>861</v>
      </c>
      <c r="D12" s="1063"/>
      <c r="E12" s="1063"/>
      <c r="F12" s="1063"/>
      <c r="G12" s="34" t="s">
        <v>1969</v>
      </c>
      <c r="H12" s="1064" t="s">
        <v>1970</v>
      </c>
      <c r="I12" s="842"/>
      <c r="J12" s="711">
        <v>44433.0</v>
      </c>
      <c r="K12" s="1031"/>
      <c r="L12" s="1065"/>
      <c r="M12" s="1061"/>
      <c r="N12" s="1061"/>
      <c r="O12" s="1061"/>
      <c r="P12" s="1061"/>
      <c r="Q12" s="1061"/>
      <c r="R12" s="1061"/>
      <c r="S12" s="381"/>
      <c r="T12" s="381"/>
    </row>
    <row r="13" ht="15.75" customHeight="1">
      <c r="A13" s="457"/>
      <c r="B13" s="41" t="s">
        <v>151</v>
      </c>
      <c r="C13" s="260" t="s">
        <v>851</v>
      </c>
      <c r="D13" s="1051"/>
      <c r="E13" s="1051"/>
      <c r="F13" s="1051"/>
      <c r="G13" s="467" t="s">
        <v>1269</v>
      </c>
      <c r="H13" s="668" t="s">
        <v>1270</v>
      </c>
      <c r="I13" s="842"/>
      <c r="J13" s="1066">
        <v>44987.0</v>
      </c>
      <c r="K13" s="19"/>
      <c r="L13" s="493" t="s">
        <v>1971</v>
      </c>
      <c r="M13" s="1061"/>
      <c r="N13" s="1061"/>
      <c r="O13" s="1061"/>
      <c r="P13" s="1061"/>
      <c r="Q13" s="1061"/>
      <c r="R13" s="1061"/>
      <c r="S13" s="381"/>
      <c r="T13" s="381"/>
    </row>
    <row r="14" ht="15.75" customHeight="1">
      <c r="A14" s="457"/>
      <c r="B14" s="41" t="s">
        <v>1972</v>
      </c>
      <c r="C14" s="260" t="s">
        <v>851</v>
      </c>
      <c r="D14" s="1063"/>
      <c r="E14" s="1063"/>
      <c r="F14" s="1063"/>
      <c r="G14" s="1067" t="s">
        <v>1973</v>
      </c>
      <c r="H14" s="46" t="s">
        <v>1974</v>
      </c>
      <c r="I14" s="997"/>
      <c r="J14" s="1068">
        <v>45505.0</v>
      </c>
      <c r="K14" s="1031"/>
      <c r="L14" s="511" t="s">
        <v>1975</v>
      </c>
      <c r="M14" s="489" t="s">
        <v>1976</v>
      </c>
      <c r="N14" s="1061"/>
      <c r="O14" s="1061"/>
      <c r="P14" s="1061"/>
      <c r="Q14" s="1061"/>
      <c r="R14" s="1061"/>
      <c r="S14" s="381"/>
      <c r="T14" s="381"/>
    </row>
    <row r="15" ht="15.75" customHeight="1">
      <c r="A15" s="430"/>
      <c r="B15" s="41" t="s">
        <v>1977</v>
      </c>
      <c r="C15" s="41" t="s">
        <v>851</v>
      </c>
      <c r="D15" s="440"/>
      <c r="E15" s="440"/>
      <c r="F15" s="440"/>
      <c r="G15" s="414" t="s">
        <v>1978</v>
      </c>
      <c r="H15" s="208" t="s">
        <v>1979</v>
      </c>
      <c r="I15" s="1069"/>
      <c r="J15" s="1070">
        <v>45384.0</v>
      </c>
      <c r="K15" s="710"/>
      <c r="L15" s="1071" t="s">
        <v>1980</v>
      </c>
      <c r="M15" s="489" t="s">
        <v>1357</v>
      </c>
      <c r="N15" s="1061"/>
      <c r="O15" s="1061"/>
      <c r="P15" s="1061"/>
      <c r="Q15" s="1061"/>
      <c r="R15" s="1061"/>
      <c r="S15" s="164"/>
      <c r="T15" s="164"/>
    </row>
    <row r="16" ht="15.75" customHeight="1">
      <c r="A16" s="164"/>
      <c r="B16" s="774"/>
      <c r="C16" s="385"/>
      <c r="D16" s="385"/>
      <c r="E16" s="774"/>
      <c r="F16" s="774"/>
      <c r="G16" s="774"/>
      <c r="H16" s="775"/>
      <c r="I16" s="775"/>
      <c r="J16" s="652"/>
      <c r="K16" s="164"/>
      <c r="L16" s="164"/>
      <c r="M16" s="1061"/>
      <c r="N16" s="1061"/>
      <c r="O16" s="1061"/>
      <c r="P16" s="1061"/>
      <c r="Q16" s="1061"/>
      <c r="R16" s="1061"/>
      <c r="S16" s="164"/>
      <c r="T16" s="164"/>
    </row>
    <row r="17" ht="15.75" customHeight="1">
      <c r="A17" s="164"/>
      <c r="B17" s="774"/>
      <c r="C17" s="1072"/>
      <c r="D17" s="1072"/>
      <c r="E17" s="1073"/>
      <c r="F17" s="1073"/>
      <c r="G17" s="1073"/>
      <c r="H17" s="1073"/>
      <c r="I17" s="1074"/>
      <c r="J17" s="1075"/>
      <c r="K17" s="788"/>
      <c r="L17" s="164"/>
      <c r="M17" s="1061"/>
      <c r="N17" s="1061"/>
      <c r="O17" s="1061"/>
      <c r="P17" s="1061"/>
      <c r="Q17" s="1061"/>
      <c r="R17" s="1061"/>
      <c r="S17" s="164"/>
      <c r="T17" s="164"/>
    </row>
    <row r="18" ht="15.75" customHeight="1">
      <c r="A18" s="735" t="s">
        <v>1981</v>
      </c>
      <c r="B18" s="34" t="s">
        <v>404</v>
      </c>
      <c r="C18" s="41" t="s">
        <v>851</v>
      </c>
      <c r="D18" s="889"/>
      <c r="E18" s="1024"/>
      <c r="F18" s="1024"/>
      <c r="G18" s="439" t="s">
        <v>1982</v>
      </c>
      <c r="H18" s="1064" t="s">
        <v>1983</v>
      </c>
      <c r="I18" s="1076"/>
      <c r="J18" s="633">
        <v>44796.0</v>
      </c>
      <c r="K18" s="810"/>
      <c r="L18" s="954"/>
      <c r="M18" s="1061"/>
      <c r="N18" s="1061"/>
      <c r="O18" s="1061"/>
      <c r="P18" s="1061"/>
      <c r="Q18" s="1061"/>
      <c r="R18" s="1061"/>
      <c r="S18" s="164"/>
      <c r="T18" s="164"/>
    </row>
    <row r="19" ht="15.75" customHeight="1">
      <c r="A19" s="457"/>
      <c r="B19" s="1077" t="s">
        <v>429</v>
      </c>
      <c r="C19" s="1078" t="s">
        <v>851</v>
      </c>
      <c r="D19" s="708" t="s">
        <v>1095</v>
      </c>
      <c r="E19" s="1079"/>
      <c r="F19" s="1079"/>
      <c r="G19" s="1078" t="s">
        <v>1984</v>
      </c>
      <c r="H19" s="1078" t="s">
        <v>1985</v>
      </c>
      <c r="I19" s="950"/>
      <c r="J19" s="1080">
        <v>45048.0</v>
      </c>
      <c r="K19" s="406"/>
      <c r="L19" s="885"/>
      <c r="M19" s="1061"/>
      <c r="N19" s="1061"/>
      <c r="O19" s="1061"/>
      <c r="P19" s="1061"/>
      <c r="Q19" s="1061"/>
      <c r="R19" s="1061"/>
      <c r="S19" s="164"/>
      <c r="T19" s="164"/>
    </row>
    <row r="20" ht="15.75" customHeight="1">
      <c r="A20" s="457"/>
      <c r="B20" s="34" t="s">
        <v>454</v>
      </c>
      <c r="C20" s="46" t="s">
        <v>851</v>
      </c>
      <c r="D20" s="1032"/>
      <c r="E20" s="1081"/>
      <c r="F20" s="1081"/>
      <c r="G20" s="46" t="s">
        <v>1986</v>
      </c>
      <c r="H20" s="46" t="s">
        <v>1987</v>
      </c>
      <c r="I20" s="862"/>
      <c r="J20" s="1082">
        <v>45155.0</v>
      </c>
      <c r="K20" s="950"/>
      <c r="L20" s="1060"/>
      <c r="M20" s="1061"/>
      <c r="N20" s="1061"/>
      <c r="O20" s="1061"/>
      <c r="P20" s="1061"/>
      <c r="Q20" s="1061"/>
      <c r="R20" s="1061"/>
      <c r="S20" s="164"/>
      <c r="T20" s="164"/>
    </row>
    <row r="21" ht="15.75" customHeight="1">
      <c r="A21" s="457"/>
      <c r="B21" s="41" t="s">
        <v>479</v>
      </c>
      <c r="C21" s="46" t="s">
        <v>851</v>
      </c>
      <c r="D21" s="708" t="s">
        <v>1988</v>
      </c>
      <c r="E21" s="1081"/>
      <c r="F21" s="1081"/>
      <c r="G21" s="369" t="s">
        <v>1989</v>
      </c>
      <c r="H21" s="34" t="s">
        <v>1990</v>
      </c>
      <c r="I21" s="862"/>
      <c r="J21" s="1082">
        <v>45337.0</v>
      </c>
      <c r="K21" s="744"/>
      <c r="L21" s="750" t="s">
        <v>1303</v>
      </c>
      <c r="M21" s="1083" t="s">
        <v>1991</v>
      </c>
      <c r="N21" s="1061"/>
      <c r="O21" s="1061"/>
      <c r="P21" s="1061"/>
      <c r="Q21" s="1061"/>
      <c r="R21" s="1061"/>
      <c r="S21" s="164"/>
      <c r="T21" s="164"/>
    </row>
    <row r="22" ht="15.75" customHeight="1">
      <c r="A22" s="457"/>
      <c r="B22" s="41" t="s">
        <v>504</v>
      </c>
      <c r="C22" s="46" t="s">
        <v>851</v>
      </c>
      <c r="D22" s="1032"/>
      <c r="E22" s="1081"/>
      <c r="F22" s="1081"/>
      <c r="G22" s="369" t="s">
        <v>1992</v>
      </c>
      <c r="H22" s="41" t="s">
        <v>1993</v>
      </c>
      <c r="I22" s="862"/>
      <c r="J22" s="1082">
        <v>45421.0</v>
      </c>
      <c r="K22" s="744"/>
      <c r="L22" s="750" t="s">
        <v>1994</v>
      </c>
      <c r="M22" s="489" t="s">
        <v>1995</v>
      </c>
      <c r="N22" s="1061"/>
      <c r="O22" s="1061"/>
      <c r="P22" s="1061"/>
      <c r="Q22" s="1061"/>
      <c r="R22" s="1061"/>
      <c r="S22" s="164"/>
      <c r="T22" s="164"/>
    </row>
    <row r="23" ht="15.75" customHeight="1">
      <c r="A23" s="457"/>
      <c r="B23" s="41" t="s">
        <v>553</v>
      </c>
      <c r="C23" s="917" t="s">
        <v>851</v>
      </c>
      <c r="D23" s="1084"/>
      <c r="E23" s="1084"/>
      <c r="F23" s="1084"/>
      <c r="G23" s="1085" t="s">
        <v>1996</v>
      </c>
      <c r="H23" s="717" t="s">
        <v>1997</v>
      </c>
      <c r="I23" s="1015"/>
      <c r="J23" s="633">
        <v>45020.0</v>
      </c>
      <c r="K23" s="744"/>
      <c r="L23" s="744"/>
      <c r="M23" s="1061"/>
      <c r="N23" s="1061"/>
      <c r="O23" s="1061"/>
      <c r="P23" s="1061"/>
      <c r="Q23" s="1061"/>
      <c r="R23" s="1061"/>
      <c r="S23" s="164"/>
      <c r="T23" s="164"/>
    </row>
    <row r="24" ht="15.75" customHeight="1">
      <c r="A24" s="457"/>
      <c r="B24" s="41" t="s">
        <v>529</v>
      </c>
      <c r="C24" s="166" t="s">
        <v>851</v>
      </c>
      <c r="D24" s="1086"/>
      <c r="E24" s="1086"/>
      <c r="F24" s="1086"/>
      <c r="G24" s="166" t="s">
        <v>1998</v>
      </c>
      <c r="H24" s="166" t="s">
        <v>1999</v>
      </c>
      <c r="I24" s="913"/>
      <c r="J24" s="633">
        <v>45020.0</v>
      </c>
      <c r="K24" s="744"/>
      <c r="L24" s="744"/>
      <c r="M24" s="1061"/>
      <c r="N24" s="1061"/>
      <c r="O24" s="1061"/>
      <c r="P24" s="1061"/>
      <c r="Q24" s="1061"/>
      <c r="R24" s="1061"/>
      <c r="S24" s="164"/>
      <c r="T24" s="164"/>
    </row>
    <row r="25" ht="15.75" customHeight="1">
      <c r="A25" s="430"/>
      <c r="B25" s="22" t="s">
        <v>573</v>
      </c>
      <c r="C25" s="34" t="s">
        <v>851</v>
      </c>
      <c r="D25" s="445"/>
      <c r="E25" s="710"/>
      <c r="F25" s="710"/>
      <c r="G25" s="41" t="s">
        <v>852</v>
      </c>
      <c r="H25" s="166" t="s">
        <v>853</v>
      </c>
      <c r="I25" s="1065"/>
      <c r="J25" s="1087">
        <v>45587.0</v>
      </c>
      <c r="K25" s="744"/>
      <c r="L25" s="744"/>
      <c r="M25" s="1061"/>
      <c r="N25" s="1061"/>
      <c r="O25" s="1061"/>
      <c r="P25" s="1061"/>
      <c r="Q25" s="1061"/>
      <c r="R25" s="1061"/>
      <c r="S25" s="164"/>
      <c r="T25" s="164"/>
    </row>
    <row r="26" ht="15.75" customHeight="1">
      <c r="A26" s="458"/>
      <c r="B26" s="20"/>
      <c r="C26" s="699"/>
      <c r="D26" s="699"/>
      <c r="E26" s="699"/>
      <c r="F26" s="699"/>
      <c r="G26" s="518"/>
      <c r="H26" s="518"/>
      <c r="I26" s="1088"/>
      <c r="J26" s="1089"/>
      <c r="K26" s="40"/>
      <c r="L26" s="1090"/>
      <c r="M26" s="1061"/>
      <c r="N26" s="1061"/>
      <c r="O26" s="1061"/>
      <c r="P26" s="1061"/>
      <c r="Q26" s="1061"/>
      <c r="R26" s="1061"/>
      <c r="S26" s="164"/>
      <c r="T26" s="164"/>
    </row>
    <row r="27" ht="15.75" customHeight="1">
      <c r="A27" s="164"/>
      <c r="B27" s="164"/>
      <c r="C27" s="1091"/>
      <c r="D27" s="1091"/>
      <c r="E27" s="1091"/>
      <c r="F27" s="1091"/>
      <c r="G27" s="1091"/>
      <c r="H27" s="1091"/>
      <c r="I27" s="1092"/>
      <c r="J27" s="1093"/>
      <c r="K27" s="876"/>
      <c r="L27" s="1094"/>
      <c r="M27" s="1061"/>
      <c r="N27" s="1061"/>
      <c r="O27" s="1061"/>
      <c r="P27" s="1061"/>
      <c r="Q27" s="1061"/>
      <c r="R27" s="1061"/>
      <c r="S27" s="164"/>
      <c r="T27" s="164"/>
    </row>
    <row r="28" ht="15.75" customHeight="1">
      <c r="A28" s="194" t="s">
        <v>2000</v>
      </c>
      <c r="B28" s="821" t="s">
        <v>402</v>
      </c>
      <c r="C28" s="41" t="s">
        <v>851</v>
      </c>
      <c r="D28" s="1006"/>
      <c r="E28" s="1006"/>
      <c r="F28" s="1006"/>
      <c r="G28" s="1007" t="s">
        <v>2001</v>
      </c>
      <c r="H28" s="1007" t="s">
        <v>2002</v>
      </c>
      <c r="I28" s="1095"/>
      <c r="J28" s="1096">
        <v>44517.0</v>
      </c>
      <c r="K28" s="810"/>
      <c r="L28" s="1065"/>
      <c r="M28" s="1061"/>
      <c r="N28" s="1061"/>
      <c r="O28" s="1061"/>
      <c r="P28" s="1061"/>
      <c r="Q28" s="1061"/>
      <c r="R28" s="1061"/>
      <c r="S28" s="164"/>
      <c r="T28" s="164"/>
    </row>
    <row r="29" ht="15.75" customHeight="1">
      <c r="A29" s="457"/>
      <c r="B29" s="23" t="s">
        <v>427</v>
      </c>
      <c r="C29" s="708" t="s">
        <v>861</v>
      </c>
      <c r="D29" s="779"/>
      <c r="E29" s="1097"/>
      <c r="F29" s="1097"/>
      <c r="G29" s="1098" t="s">
        <v>2003</v>
      </c>
      <c r="H29" s="1098" t="s">
        <v>2004</v>
      </c>
      <c r="I29" s="767"/>
      <c r="J29" s="1099">
        <v>45468.0</v>
      </c>
      <c r="K29" s="19"/>
      <c r="L29" s="1077"/>
      <c r="M29" s="1061"/>
      <c r="N29" s="1061"/>
      <c r="O29" s="1061"/>
      <c r="P29" s="1061"/>
      <c r="Q29" s="1061"/>
      <c r="R29" s="1061"/>
      <c r="S29" s="164"/>
      <c r="T29" s="164"/>
    </row>
    <row r="30" ht="15.75" customHeight="1">
      <c r="A30" s="457"/>
      <c r="B30" s="41" t="s">
        <v>452</v>
      </c>
      <c r="C30" s="41" t="s">
        <v>851</v>
      </c>
      <c r="D30" s="889"/>
      <c r="E30" s="889"/>
      <c r="F30" s="889"/>
      <c r="G30" s="557" t="s">
        <v>2005</v>
      </c>
      <c r="H30" s="599" t="s">
        <v>2006</v>
      </c>
      <c r="I30" s="1100"/>
      <c r="J30" s="1099">
        <v>45580.0</v>
      </c>
      <c r="K30" s="710"/>
      <c r="L30" s="750" t="s">
        <v>1454</v>
      </c>
      <c r="M30" s="903" t="s">
        <v>2007</v>
      </c>
      <c r="N30" s="1061"/>
      <c r="O30" s="1061"/>
      <c r="P30" s="1061"/>
      <c r="Q30" s="1061"/>
      <c r="R30" s="1061"/>
      <c r="S30" s="164"/>
      <c r="T30" s="164"/>
    </row>
    <row r="31" ht="15.75" customHeight="1">
      <c r="A31" s="457"/>
      <c r="B31" s="34" t="s">
        <v>2008</v>
      </c>
      <c r="C31" s="22" t="s">
        <v>851</v>
      </c>
      <c r="D31" s="1041"/>
      <c r="E31" s="1041"/>
      <c r="F31" s="1041"/>
      <c r="G31" s="34" t="s">
        <v>2009</v>
      </c>
      <c r="H31" s="233" t="s">
        <v>2010</v>
      </c>
      <c r="I31" s="938"/>
      <c r="J31" s="633">
        <v>44567.0</v>
      </c>
      <c r="K31" s="406" t="s">
        <v>2011</v>
      </c>
      <c r="L31" s="728" t="s">
        <v>1980</v>
      </c>
      <c r="M31" s="1101"/>
      <c r="N31" s="1061"/>
      <c r="O31" s="1061"/>
      <c r="P31" s="1061"/>
      <c r="Q31" s="1061"/>
      <c r="R31" s="1061"/>
      <c r="S31" s="164"/>
      <c r="T31" s="164"/>
    </row>
    <row r="32" ht="17.25" customHeight="1">
      <c r="A32" s="457"/>
      <c r="B32" s="41" t="s">
        <v>2012</v>
      </c>
      <c r="C32" s="22" t="s">
        <v>851</v>
      </c>
      <c r="D32" s="498"/>
      <c r="E32" s="677"/>
      <c r="F32" s="677"/>
      <c r="G32" s="534" t="s">
        <v>2013</v>
      </c>
      <c r="H32" s="1102" t="s">
        <v>2014</v>
      </c>
      <c r="I32" s="1069"/>
      <c r="J32" s="1103">
        <v>45384.0</v>
      </c>
      <c r="K32" s="949"/>
      <c r="L32" s="488" t="s">
        <v>1980</v>
      </c>
      <c r="M32" s="489" t="s">
        <v>2015</v>
      </c>
      <c r="N32" s="1061"/>
      <c r="O32" s="1061"/>
      <c r="P32" s="1061"/>
      <c r="Q32" s="1061"/>
      <c r="R32" s="1061"/>
      <c r="S32" s="164"/>
      <c r="T32" s="164"/>
    </row>
    <row r="33" ht="15.75" customHeight="1">
      <c r="A33" s="457"/>
      <c r="B33" s="406" t="s">
        <v>2016</v>
      </c>
      <c r="C33" s="598" t="s">
        <v>851</v>
      </c>
      <c r="D33" s="445"/>
      <c r="E33" s="710"/>
      <c r="F33" s="710"/>
      <c r="G33" s="414" t="s">
        <v>2017</v>
      </c>
      <c r="H33" s="749" t="s">
        <v>2018</v>
      </c>
      <c r="I33" s="1065"/>
      <c r="J33" s="1104">
        <v>45519.0</v>
      </c>
      <c r="K33" s="710"/>
      <c r="L33" s="511" t="s">
        <v>1182</v>
      </c>
      <c r="M33" s="489" t="s">
        <v>2019</v>
      </c>
      <c r="N33" s="1061"/>
      <c r="O33" s="1061"/>
      <c r="P33" s="1061"/>
      <c r="Q33" s="1061"/>
      <c r="R33" s="1061"/>
      <c r="S33" s="164"/>
      <c r="T33" s="164"/>
    </row>
    <row r="34" ht="15.75" customHeight="1">
      <c r="A34" s="457"/>
      <c r="B34" s="34" t="s">
        <v>2020</v>
      </c>
      <c r="C34" s="236" t="s">
        <v>851</v>
      </c>
      <c r="D34" s="1006"/>
      <c r="E34" s="1105"/>
      <c r="F34" s="1105"/>
      <c r="G34" s="236" t="s">
        <v>2021</v>
      </c>
      <c r="H34" s="236" t="s">
        <v>2022</v>
      </c>
      <c r="I34" s="913"/>
      <c r="J34" s="1106">
        <v>44965.0</v>
      </c>
      <c r="K34" s="312"/>
      <c r="L34" s="511" t="s">
        <v>2023</v>
      </c>
      <c r="N34" s="1061"/>
      <c r="O34" s="1061"/>
      <c r="P34" s="1061"/>
      <c r="Q34" s="1061"/>
      <c r="R34" s="1061"/>
      <c r="S34" s="164"/>
      <c r="T34" s="164"/>
    </row>
    <row r="35" ht="15.75" customHeight="1">
      <c r="A35" s="430"/>
      <c r="B35" s="34"/>
      <c r="C35" s="236"/>
      <c r="D35" s="1006"/>
      <c r="E35" s="1105"/>
      <c r="F35" s="1105"/>
      <c r="G35" s="236"/>
      <c r="H35" s="236"/>
      <c r="I35" s="913"/>
      <c r="J35" s="1106"/>
      <c r="K35" s="312"/>
      <c r="L35" s="312"/>
      <c r="N35" s="1061"/>
      <c r="O35" s="1061"/>
      <c r="P35" s="1061"/>
      <c r="Q35" s="1061"/>
      <c r="R35" s="1061"/>
      <c r="S35" s="164"/>
      <c r="T35" s="164"/>
    </row>
    <row r="36" ht="15.75" customHeight="1">
      <c r="A36" s="164"/>
      <c r="B36" s="234"/>
      <c r="C36" s="1107"/>
      <c r="D36" s="1107"/>
      <c r="E36" s="1107"/>
      <c r="F36" s="1107"/>
      <c r="G36" s="1108"/>
      <c r="H36" s="1108"/>
      <c r="I36" s="776"/>
      <c r="J36" s="893"/>
      <c r="K36" s="164"/>
      <c r="L36" s="1109"/>
      <c r="M36" s="1061"/>
      <c r="N36" s="1061"/>
      <c r="O36" s="1061"/>
      <c r="P36" s="1061"/>
      <c r="Q36" s="1061"/>
      <c r="R36" s="1061"/>
      <c r="S36" s="164"/>
      <c r="T36" s="164"/>
    </row>
    <row r="37" ht="15.75" customHeight="1">
      <c r="A37" s="164"/>
      <c r="B37" s="234"/>
      <c r="C37" s="1107"/>
      <c r="D37" s="1107"/>
      <c r="E37" s="1107"/>
      <c r="F37" s="1107"/>
      <c r="G37" s="1108"/>
      <c r="H37" s="1108"/>
      <c r="I37" s="776"/>
      <c r="J37" s="893"/>
      <c r="K37" s="164"/>
      <c r="L37" s="1109"/>
      <c r="N37" s="1061"/>
      <c r="O37" s="1061"/>
      <c r="P37" s="1061"/>
      <c r="Q37" s="1061"/>
      <c r="R37" s="1061"/>
      <c r="S37" s="164"/>
      <c r="T37" s="164"/>
    </row>
    <row r="38" ht="15.75" customHeight="1">
      <c r="A38" s="735" t="s">
        <v>2024</v>
      </c>
      <c r="B38" s="34" t="s">
        <v>401</v>
      </c>
      <c r="C38" s="166" t="s">
        <v>851</v>
      </c>
      <c r="D38" s="1006"/>
      <c r="E38" s="1006"/>
      <c r="F38" s="1006"/>
      <c r="G38" s="667" t="s">
        <v>2025</v>
      </c>
      <c r="H38" s="236" t="s">
        <v>2026</v>
      </c>
      <c r="I38" s="842"/>
      <c r="J38" s="843">
        <v>44315.0</v>
      </c>
      <c r="K38" s="754"/>
      <c r="L38" s="805"/>
      <c r="M38" s="1061"/>
      <c r="N38" s="1061"/>
      <c r="O38" s="1061"/>
      <c r="P38" s="1061"/>
      <c r="Q38" s="1061"/>
      <c r="R38" s="1061"/>
      <c r="S38" s="1110"/>
      <c r="T38" s="1110"/>
    </row>
    <row r="39" ht="15.75" customHeight="1">
      <c r="A39" s="457"/>
      <c r="B39" s="1111" t="s">
        <v>426</v>
      </c>
      <c r="C39" s="260" t="s">
        <v>851</v>
      </c>
      <c r="D39" s="1112"/>
      <c r="E39" s="1113"/>
      <c r="F39" s="1113"/>
      <c r="G39" s="1114" t="s">
        <v>2027</v>
      </c>
      <c r="H39" s="1115" t="s">
        <v>2028</v>
      </c>
      <c r="I39" s="751"/>
      <c r="J39" s="1059">
        <v>45421.0</v>
      </c>
      <c r="K39" s="744"/>
      <c r="L39" s="808" t="s">
        <v>1210</v>
      </c>
      <c r="M39" s="489" t="s">
        <v>1543</v>
      </c>
      <c r="N39" s="1061"/>
      <c r="O39" s="1061"/>
      <c r="P39" s="1061"/>
      <c r="Q39" s="1061"/>
      <c r="R39" s="1061"/>
      <c r="S39" s="1110"/>
      <c r="T39" s="1110"/>
    </row>
    <row r="40" ht="15.75" customHeight="1">
      <c r="A40" s="457"/>
      <c r="B40" s="34" t="s">
        <v>451</v>
      </c>
      <c r="C40" s="514" t="s">
        <v>851</v>
      </c>
      <c r="D40" s="1116"/>
      <c r="E40" s="1116"/>
      <c r="F40" s="1116"/>
      <c r="G40" s="832" t="s">
        <v>2029</v>
      </c>
      <c r="H40" s="833" t="s">
        <v>2030</v>
      </c>
      <c r="I40" s="751"/>
      <c r="J40" s="843">
        <v>44573.0</v>
      </c>
      <c r="K40" s="744" t="s">
        <v>2031</v>
      </c>
      <c r="L40" s="744"/>
      <c r="M40" s="1061"/>
      <c r="N40" s="1061"/>
      <c r="O40" s="1061"/>
      <c r="P40" s="1061"/>
      <c r="Q40" s="1061"/>
      <c r="R40" s="1061"/>
      <c r="S40" s="1072"/>
      <c r="T40" s="1072"/>
    </row>
    <row r="41" ht="15.75" customHeight="1">
      <c r="A41" s="457"/>
      <c r="B41" s="41" t="s">
        <v>476</v>
      </c>
      <c r="C41" s="507" t="s">
        <v>861</v>
      </c>
      <c r="D41" s="507" t="s">
        <v>2032</v>
      </c>
      <c r="E41" s="1116"/>
      <c r="F41" s="1116"/>
      <c r="G41" s="1085" t="s">
        <v>2033</v>
      </c>
      <c r="H41" s="717" t="s">
        <v>2034</v>
      </c>
      <c r="I41" s="751"/>
      <c r="J41" s="1059">
        <v>45538.0</v>
      </c>
      <c r="K41" s="744"/>
      <c r="L41" s="1117" t="s">
        <v>977</v>
      </c>
      <c r="M41" s="1061"/>
      <c r="N41" s="1061"/>
      <c r="O41" s="1061"/>
      <c r="P41" s="1061"/>
      <c r="Q41" s="1061"/>
      <c r="R41" s="1061"/>
      <c r="S41" s="1118"/>
      <c r="T41" s="1118"/>
    </row>
    <row r="42" ht="15.75" customHeight="1">
      <c r="A42" s="457"/>
      <c r="B42" s="41" t="s">
        <v>501</v>
      </c>
      <c r="C42" s="495" t="s">
        <v>851</v>
      </c>
      <c r="D42" s="1116"/>
      <c r="E42" s="1116"/>
      <c r="F42" s="1116"/>
      <c r="G42" s="615" t="s">
        <v>2035</v>
      </c>
      <c r="H42" s="46" t="s">
        <v>2036</v>
      </c>
      <c r="I42" s="751"/>
      <c r="J42" s="843">
        <v>45573.0</v>
      </c>
      <c r="K42" s="744"/>
      <c r="L42" s="808" t="s">
        <v>2037</v>
      </c>
      <c r="M42" s="903" t="s">
        <v>2007</v>
      </c>
      <c r="N42" s="1061"/>
      <c r="O42" s="1061"/>
      <c r="P42" s="1061"/>
      <c r="Q42" s="1061"/>
      <c r="R42" s="1061"/>
      <c r="S42" s="1061"/>
      <c r="T42" s="1118"/>
    </row>
    <row r="43" ht="15.75" customHeight="1">
      <c r="A43" s="457"/>
      <c r="B43" s="41" t="s">
        <v>526</v>
      </c>
      <c r="C43" s="495" t="s">
        <v>851</v>
      </c>
      <c r="D43" s="1116"/>
      <c r="E43" s="1116"/>
      <c r="F43" s="1116"/>
      <c r="G43" s="615" t="s">
        <v>2035</v>
      </c>
      <c r="H43" s="46" t="s">
        <v>2036</v>
      </c>
      <c r="I43" s="751"/>
      <c r="J43" s="843">
        <v>45573.0</v>
      </c>
      <c r="K43" s="744"/>
      <c r="L43" s="808" t="s">
        <v>2037</v>
      </c>
      <c r="M43" s="903" t="s">
        <v>2007</v>
      </c>
      <c r="N43" s="1061"/>
      <c r="O43" s="1061"/>
      <c r="P43" s="1061"/>
      <c r="Q43" s="1061"/>
      <c r="R43" s="1061"/>
      <c r="S43" s="1118"/>
      <c r="T43" s="1118"/>
    </row>
    <row r="44" ht="15.75" customHeight="1">
      <c r="A44" s="457"/>
      <c r="B44" s="21" t="s">
        <v>2038</v>
      </c>
      <c r="C44" s="495" t="s">
        <v>851</v>
      </c>
      <c r="D44" s="528"/>
      <c r="E44" s="528"/>
      <c r="F44" s="528"/>
      <c r="G44" s="615" t="s">
        <v>2039</v>
      </c>
      <c r="H44" s="46" t="s">
        <v>2040</v>
      </c>
      <c r="I44" s="1119"/>
      <c r="J44" s="843">
        <v>45699.0</v>
      </c>
      <c r="K44" s="312"/>
      <c r="L44" s="808" t="s">
        <v>2041</v>
      </c>
      <c r="M44" s="1061"/>
      <c r="N44" s="1061"/>
      <c r="O44" s="1061"/>
      <c r="P44" s="1061"/>
      <c r="Q44" s="1061"/>
      <c r="R44" s="1061"/>
      <c r="S44" s="1120"/>
      <c r="T44" s="1120"/>
    </row>
    <row r="45" ht="15.75" customHeight="1">
      <c r="A45" s="430"/>
      <c r="B45" s="161"/>
      <c r="C45" s="236"/>
      <c r="D45" s="528"/>
      <c r="E45" s="528"/>
      <c r="F45" s="528"/>
      <c r="G45" s="414"/>
      <c r="H45" s="668"/>
      <c r="I45" s="1119"/>
      <c r="J45" s="1121"/>
      <c r="K45" s="312"/>
      <c r="L45" s="312"/>
      <c r="M45" s="1061"/>
      <c r="N45" s="1061"/>
      <c r="O45" s="1061"/>
      <c r="P45" s="1061"/>
      <c r="Q45" s="1061"/>
      <c r="R45" s="1061"/>
      <c r="S45" s="1120"/>
      <c r="T45" s="1120"/>
    </row>
    <row r="46" ht="15.75" customHeight="1">
      <c r="A46" s="164"/>
      <c r="B46" s="234"/>
      <c r="C46" s="1107"/>
      <c r="D46" s="1107"/>
      <c r="E46" s="1107"/>
      <c r="F46" s="1107"/>
      <c r="G46" s="1108"/>
      <c r="H46" s="1108"/>
      <c r="I46" s="776"/>
      <c r="J46" s="893"/>
      <c r="K46" s="164"/>
      <c r="L46" s="164"/>
      <c r="M46" s="1061"/>
      <c r="N46" s="1061"/>
      <c r="O46" s="1061"/>
      <c r="P46" s="1061"/>
      <c r="Q46" s="1061"/>
      <c r="R46" s="1061"/>
      <c r="S46" s="1120"/>
      <c r="T46" s="1120"/>
    </row>
    <row r="47" ht="15.75" customHeight="1">
      <c r="A47" s="164"/>
      <c r="B47" s="234"/>
      <c r="C47" s="1107"/>
      <c r="D47" s="1107"/>
      <c r="E47" s="1107"/>
      <c r="F47" s="1107"/>
      <c r="G47" s="1108"/>
      <c r="H47" s="1108"/>
      <c r="I47" s="776"/>
      <c r="J47" s="893"/>
      <c r="K47" s="164"/>
      <c r="L47" s="164"/>
      <c r="M47" s="1061"/>
      <c r="N47" s="1061"/>
      <c r="O47" s="1061"/>
      <c r="P47" s="1061"/>
      <c r="Q47" s="1061"/>
      <c r="R47" s="1061"/>
      <c r="S47" s="1120"/>
      <c r="T47" s="1120"/>
    </row>
    <row r="48" ht="15.75" customHeight="1">
      <c r="A48" s="735" t="s">
        <v>2042</v>
      </c>
      <c r="B48" s="34" t="s">
        <v>403</v>
      </c>
      <c r="C48" s="41" t="s">
        <v>851</v>
      </c>
      <c r="D48" s="889"/>
      <c r="E48" s="889"/>
      <c r="F48" s="889"/>
      <c r="G48" s="821" t="s">
        <v>2043</v>
      </c>
      <c r="H48" s="1122" t="s">
        <v>2044</v>
      </c>
      <c r="I48" s="1008"/>
      <c r="J48" s="1123">
        <v>44564.0</v>
      </c>
      <c r="K48" s="1124"/>
      <c r="L48" s="1083" t="s">
        <v>2045</v>
      </c>
      <c r="M48" s="1061"/>
      <c r="N48" s="1061"/>
      <c r="O48" s="1061"/>
      <c r="P48" s="1061"/>
      <c r="Q48" s="1061"/>
      <c r="R48" s="1061"/>
      <c r="S48" s="381"/>
      <c r="T48" s="381"/>
    </row>
    <row r="49" ht="15.75" customHeight="1">
      <c r="A49" s="457"/>
      <c r="B49" s="233" t="s">
        <v>428</v>
      </c>
      <c r="C49" s="41" t="s">
        <v>851</v>
      </c>
      <c r="D49" s="889"/>
      <c r="E49" s="889"/>
      <c r="F49" s="889"/>
      <c r="G49" s="439" t="s">
        <v>2046</v>
      </c>
      <c r="H49" s="34" t="s">
        <v>2047</v>
      </c>
      <c r="I49" s="599"/>
      <c r="J49" s="843">
        <v>44515.0</v>
      </c>
      <c r="K49" s="810"/>
      <c r="L49" s="805"/>
      <c r="M49" s="1061"/>
      <c r="N49" s="1061"/>
      <c r="O49" s="1061"/>
      <c r="P49" s="1061"/>
      <c r="Q49" s="1061"/>
      <c r="R49" s="1061"/>
      <c r="S49" s="381"/>
      <c r="T49" s="381"/>
    </row>
    <row r="50" ht="15.75" customHeight="1">
      <c r="A50" s="457"/>
      <c r="B50" s="34" t="s">
        <v>453</v>
      </c>
      <c r="C50" s="41" t="s">
        <v>851</v>
      </c>
      <c r="D50" s="889"/>
      <c r="E50" s="889"/>
      <c r="F50" s="889"/>
      <c r="G50" s="34" t="s">
        <v>2048</v>
      </c>
      <c r="H50" s="34" t="s">
        <v>2049</v>
      </c>
      <c r="I50" s="807"/>
      <c r="J50" s="843">
        <v>44600.0</v>
      </c>
      <c r="K50" s="810"/>
      <c r="L50" s="805"/>
      <c r="M50" s="1061"/>
      <c r="N50" s="1061"/>
      <c r="O50" s="1061"/>
      <c r="P50" s="1061"/>
      <c r="Q50" s="1061"/>
      <c r="R50" s="1061"/>
      <c r="S50" s="381"/>
      <c r="T50" s="381"/>
    </row>
    <row r="51" ht="15.75" customHeight="1">
      <c r="A51" s="457"/>
      <c r="B51" s="34" t="s">
        <v>478</v>
      </c>
      <c r="C51" s="41" t="s">
        <v>851</v>
      </c>
      <c r="D51" s="889"/>
      <c r="E51" s="889"/>
      <c r="F51" s="889"/>
      <c r="G51" s="34" t="s">
        <v>2050</v>
      </c>
      <c r="H51" s="233" t="s">
        <v>2051</v>
      </c>
      <c r="I51" s="842"/>
      <c r="J51" s="843">
        <v>44562.0</v>
      </c>
      <c r="K51" s="744" t="s">
        <v>2052</v>
      </c>
      <c r="L51" s="1125"/>
      <c r="M51" s="1061"/>
      <c r="N51" s="1061"/>
      <c r="O51" s="1061"/>
      <c r="P51" s="1061"/>
      <c r="Q51" s="1061"/>
      <c r="R51" s="1061"/>
      <c r="S51" s="381"/>
      <c r="T51" s="381"/>
    </row>
    <row r="52" ht="15.75" customHeight="1">
      <c r="A52" s="457"/>
      <c r="B52" s="23" t="s">
        <v>2053</v>
      </c>
      <c r="C52" s="1126" t="s">
        <v>851</v>
      </c>
      <c r="D52" s="1127"/>
      <c r="E52" s="1128"/>
      <c r="F52" s="1128"/>
      <c r="G52" s="43" t="s">
        <v>1141</v>
      </c>
      <c r="H52" s="43" t="s">
        <v>1142</v>
      </c>
      <c r="I52" s="1129"/>
      <c r="J52" s="1130">
        <v>45323.0</v>
      </c>
      <c r="K52" s="1131"/>
      <c r="L52" s="511" t="s">
        <v>1088</v>
      </c>
      <c r="M52" s="1061"/>
      <c r="N52" s="1061"/>
      <c r="O52" s="1061"/>
      <c r="P52" s="1061"/>
      <c r="Q52" s="1061"/>
      <c r="R52" s="1061"/>
      <c r="S52" s="164"/>
      <c r="T52" s="164"/>
    </row>
    <row r="53" ht="15.75" customHeight="1">
      <c r="A53" s="457"/>
      <c r="B53" s="23" t="s">
        <v>2054</v>
      </c>
      <c r="C53" s="1126" t="s">
        <v>851</v>
      </c>
      <c r="D53" s="167" t="s">
        <v>2055</v>
      </c>
      <c r="E53" s="1132"/>
      <c r="F53" s="1132"/>
      <c r="G53" s="1133" t="s">
        <v>2056</v>
      </c>
      <c r="H53" s="1134" t="s">
        <v>2057</v>
      </c>
      <c r="I53" s="1129"/>
      <c r="J53" s="1130">
        <v>45323.0</v>
      </c>
      <c r="K53" s="1131"/>
      <c r="L53" s="1135" t="s">
        <v>2058</v>
      </c>
      <c r="M53" s="1061"/>
      <c r="N53" s="1061"/>
      <c r="O53" s="1061"/>
      <c r="P53" s="1061"/>
      <c r="Q53" s="1061"/>
      <c r="R53" s="1061"/>
      <c r="S53" s="164"/>
      <c r="T53" s="164"/>
    </row>
    <row r="54" ht="15.75" customHeight="1">
      <c r="A54" s="457"/>
      <c r="B54" s="23" t="s">
        <v>552</v>
      </c>
      <c r="C54" s="1136"/>
      <c r="D54" s="1132"/>
      <c r="E54" s="1132"/>
      <c r="F54" s="1132"/>
      <c r="G54" s="615" t="s">
        <v>2059</v>
      </c>
      <c r="H54" s="46" t="s">
        <v>2060</v>
      </c>
      <c r="I54" s="1129"/>
      <c r="J54" s="1130">
        <v>45664.0</v>
      </c>
      <c r="K54" s="1131"/>
      <c r="L54" s="1131"/>
      <c r="M54" s="694" t="s">
        <v>1109</v>
      </c>
      <c r="N54" s="1061"/>
      <c r="O54" s="1061"/>
      <c r="P54" s="1061"/>
      <c r="Q54" s="1061"/>
      <c r="R54" s="1061"/>
      <c r="S54" s="164"/>
      <c r="T54" s="164"/>
    </row>
    <row r="55" ht="15.75" customHeight="1">
      <c r="A55" s="430"/>
      <c r="B55" s="23"/>
      <c r="C55" s="1126"/>
      <c r="D55" s="1132"/>
      <c r="E55" s="1132"/>
      <c r="F55" s="1132"/>
      <c r="G55" s="1133"/>
      <c r="H55" s="1134"/>
      <c r="I55" s="1129"/>
      <c r="J55" s="1130"/>
      <c r="K55" s="1137"/>
      <c r="L55" s="1131"/>
      <c r="M55" s="1061"/>
      <c r="N55" s="1061"/>
      <c r="O55" s="1061"/>
      <c r="P55" s="1061"/>
      <c r="Q55" s="1061"/>
      <c r="R55" s="1061"/>
      <c r="S55" s="164"/>
      <c r="T55" s="164"/>
    </row>
    <row r="56" ht="15.75" customHeight="1">
      <c r="A56" s="458"/>
      <c r="B56" s="331"/>
      <c r="C56" s="1138"/>
      <c r="D56" s="1138"/>
      <c r="E56" s="1138"/>
      <c r="F56" s="1138"/>
      <c r="G56" s="1139"/>
      <c r="H56" s="331"/>
      <c r="I56" s="1140"/>
      <c r="J56" s="893"/>
      <c r="K56" s="164"/>
      <c r="L56" s="1141"/>
      <c r="M56" s="1061"/>
      <c r="N56" s="1061"/>
      <c r="O56" s="1061"/>
      <c r="P56" s="1061"/>
      <c r="Q56" s="1061"/>
      <c r="R56" s="1061"/>
      <c r="S56" s="876"/>
      <c r="T56" s="876"/>
    </row>
    <row r="57" ht="15.75" customHeight="1">
      <c r="A57" s="458"/>
      <c r="B57" s="993"/>
      <c r="C57" s="1138"/>
      <c r="D57" s="1138"/>
      <c r="E57" s="1138"/>
      <c r="F57" s="1138"/>
      <c r="G57" s="395"/>
      <c r="H57" s="331"/>
      <c r="I57" s="1142"/>
      <c r="J57" s="893"/>
      <c r="K57" s="1072"/>
      <c r="L57" s="1141"/>
      <c r="M57" s="1061"/>
      <c r="N57" s="1061"/>
      <c r="O57" s="1061"/>
      <c r="P57" s="1061"/>
      <c r="Q57" s="1061"/>
      <c r="R57" s="1061"/>
      <c r="S57" s="877"/>
      <c r="T57" s="877"/>
    </row>
    <row r="58" ht="15.75" customHeight="1">
      <c r="A58" s="735" t="s">
        <v>2061</v>
      </c>
      <c r="B58" s="34" t="s">
        <v>405</v>
      </c>
      <c r="C58" s="41" t="s">
        <v>861</v>
      </c>
      <c r="D58" s="889"/>
      <c r="E58" s="889"/>
      <c r="F58" s="889"/>
      <c r="G58" s="34" t="s">
        <v>2062</v>
      </c>
      <c r="H58" s="440" t="s">
        <v>2063</v>
      </c>
      <c r="I58" s="1076"/>
      <c r="J58" s="843">
        <v>44642.0</v>
      </c>
      <c r="K58" s="710"/>
      <c r="L58" s="805"/>
      <c r="M58" s="1061"/>
      <c r="N58" s="1061"/>
      <c r="O58" s="1061"/>
      <c r="P58" s="1061"/>
      <c r="Q58" s="1061"/>
      <c r="R58" s="1061"/>
      <c r="S58" s="1118"/>
      <c r="T58" s="1118"/>
    </row>
    <row r="59" ht="15.75" customHeight="1">
      <c r="A59" s="457"/>
      <c r="B59" s="22" t="s">
        <v>430</v>
      </c>
      <c r="C59" s="119" t="s">
        <v>851</v>
      </c>
      <c r="D59" s="889"/>
      <c r="E59" s="1143"/>
      <c r="F59" s="1143"/>
      <c r="G59" s="749" t="s">
        <v>2064</v>
      </c>
      <c r="H59" s="545" t="s">
        <v>976</v>
      </c>
      <c r="I59" s="1076"/>
      <c r="J59" s="1059">
        <v>45020.0</v>
      </c>
      <c r="K59" s="19"/>
      <c r="L59" s="1060"/>
      <c r="M59" s="1061"/>
      <c r="N59" s="1061"/>
      <c r="O59" s="1061"/>
      <c r="P59" s="1061"/>
      <c r="Q59" s="1061"/>
      <c r="R59" s="1061"/>
      <c r="S59" s="1101"/>
      <c r="T59" s="1101"/>
    </row>
    <row r="60" ht="15.75" customHeight="1">
      <c r="A60" s="457"/>
      <c r="B60" s="166" t="s">
        <v>455</v>
      </c>
      <c r="C60" s="41" t="s">
        <v>851</v>
      </c>
      <c r="D60" s="445"/>
      <c r="E60" s="710"/>
      <c r="F60" s="710"/>
      <c r="G60" s="414" t="s">
        <v>2065</v>
      </c>
      <c r="H60" s="668" t="s">
        <v>2066</v>
      </c>
      <c r="I60" s="1065"/>
      <c r="J60" s="1087">
        <v>45300.0</v>
      </c>
      <c r="K60" s="710"/>
      <c r="L60" s="710"/>
      <c r="M60" s="1061"/>
      <c r="N60" s="1061"/>
      <c r="O60" s="1061"/>
      <c r="P60" s="1061"/>
      <c r="Q60" s="1061"/>
      <c r="R60" s="1061"/>
      <c r="S60" s="1144"/>
      <c r="T60" s="1144"/>
    </row>
    <row r="61" ht="15.75" customHeight="1">
      <c r="A61" s="457"/>
      <c r="B61" s="251" t="s">
        <v>480</v>
      </c>
      <c r="C61" s="41" t="s">
        <v>851</v>
      </c>
      <c r="D61" s="445"/>
      <c r="E61" s="710"/>
      <c r="F61" s="710"/>
      <c r="G61" s="439" t="s">
        <v>2067</v>
      </c>
      <c r="H61" s="236" t="s">
        <v>2068</v>
      </c>
      <c r="I61" s="1065"/>
      <c r="J61" s="1087">
        <v>45300.0</v>
      </c>
      <c r="K61" s="710"/>
      <c r="L61" s="488" t="s">
        <v>2069</v>
      </c>
      <c r="M61" s="1061"/>
      <c r="N61" s="1061"/>
      <c r="O61" s="1061"/>
      <c r="P61" s="1061"/>
      <c r="Q61" s="1061"/>
      <c r="R61" s="1061"/>
      <c r="S61" s="1144"/>
      <c r="T61" s="1144"/>
    </row>
    <row r="62" ht="15.75" customHeight="1">
      <c r="A62" s="457"/>
      <c r="B62" s="1145" t="s">
        <v>2070</v>
      </c>
      <c r="C62" s="744" t="s">
        <v>851</v>
      </c>
      <c r="D62" s="1146"/>
      <c r="E62" s="1146"/>
      <c r="F62" s="1146"/>
      <c r="G62" s="1147" t="s">
        <v>2071</v>
      </c>
      <c r="H62" s="1147" t="s">
        <v>2072</v>
      </c>
      <c r="I62" s="751"/>
      <c r="J62" s="764">
        <v>44562.0</v>
      </c>
      <c r="K62" s="312" t="s">
        <v>2073</v>
      </c>
      <c r="L62" s="954"/>
      <c r="M62" s="1061"/>
      <c r="N62" s="1061"/>
      <c r="O62" s="1061"/>
      <c r="P62" s="1061"/>
      <c r="Q62" s="1061"/>
      <c r="R62" s="1061"/>
      <c r="S62" s="1144"/>
      <c r="T62" s="1144"/>
    </row>
    <row r="63" ht="15.75" customHeight="1">
      <c r="A63" s="457"/>
      <c r="B63" s="369" t="s">
        <v>530</v>
      </c>
      <c r="C63" s="744" t="s">
        <v>851</v>
      </c>
      <c r="D63" s="445"/>
      <c r="E63" s="710"/>
      <c r="F63" s="710"/>
      <c r="G63" s="41" t="s">
        <v>2074</v>
      </c>
      <c r="H63" s="41" t="s">
        <v>2075</v>
      </c>
      <c r="I63" s="1065"/>
      <c r="J63" s="1087">
        <v>45104.0</v>
      </c>
      <c r="K63" s="710"/>
      <c r="L63" s="710"/>
      <c r="M63" s="1061"/>
      <c r="N63" s="1061"/>
      <c r="O63" s="1061"/>
      <c r="P63" s="1061"/>
      <c r="Q63" s="1061"/>
      <c r="R63" s="1061"/>
      <c r="S63" s="801"/>
      <c r="T63" s="801"/>
    </row>
    <row r="64" ht="15.75" customHeight="1">
      <c r="A64" s="457"/>
      <c r="B64" s="41" t="s">
        <v>554</v>
      </c>
      <c r="C64" s="744" t="s">
        <v>851</v>
      </c>
      <c r="D64" s="782"/>
      <c r="E64" s="782"/>
      <c r="F64" s="782"/>
      <c r="G64" s="474" t="s">
        <v>1861</v>
      </c>
      <c r="H64" s="41" t="s">
        <v>1862</v>
      </c>
      <c r="I64" s="766"/>
      <c r="J64" s="633">
        <v>45020.0</v>
      </c>
      <c r="K64" s="744" t="s">
        <v>2076</v>
      </c>
      <c r="L64" s="805"/>
      <c r="M64" s="1061"/>
      <c r="N64" s="1061"/>
      <c r="O64" s="1061"/>
      <c r="P64" s="1061"/>
      <c r="Q64" s="1061"/>
      <c r="R64" s="1061"/>
      <c r="S64" s="801"/>
      <c r="T64" s="801"/>
    </row>
    <row r="65" ht="15.75" customHeight="1">
      <c r="A65" s="430"/>
      <c r="B65" s="22" t="s">
        <v>574</v>
      </c>
      <c r="C65" s="744" t="s">
        <v>851</v>
      </c>
      <c r="D65" s="445"/>
      <c r="E65" s="710"/>
      <c r="F65" s="406"/>
      <c r="G65" s="41" t="s">
        <v>2077</v>
      </c>
      <c r="H65" s="166" t="s">
        <v>2078</v>
      </c>
      <c r="I65" s="1065"/>
      <c r="J65" s="1087">
        <v>45559.0</v>
      </c>
      <c r="K65" s="195"/>
      <c r="L65" s="195"/>
      <c r="M65" s="1061"/>
      <c r="N65" s="1061"/>
      <c r="O65" s="1061"/>
      <c r="P65" s="1061"/>
      <c r="Q65" s="1061"/>
      <c r="R65" s="1061"/>
      <c r="S65" s="1091"/>
      <c r="T65" s="1091"/>
    </row>
    <row r="66" ht="15.75" customHeight="1">
      <c r="A66" s="458"/>
      <c r="B66" s="331"/>
      <c r="C66" s="1138"/>
      <c r="D66" s="1138"/>
      <c r="E66" s="1138"/>
      <c r="F66" s="1138"/>
      <c r="G66" s="1139"/>
      <c r="H66" s="331"/>
      <c r="I66" s="1140"/>
      <c r="J66" s="893"/>
      <c r="K66" s="164"/>
      <c r="L66" s="1141"/>
      <c r="M66" s="1061"/>
      <c r="N66" s="1061"/>
      <c r="O66" s="1061"/>
      <c r="P66" s="1061"/>
      <c r="Q66" s="1061"/>
      <c r="R66" s="1061"/>
      <c r="S66" s="1091"/>
      <c r="T66" s="1091"/>
    </row>
    <row r="67" ht="15.75" customHeight="1">
      <c r="A67" s="164"/>
      <c r="B67" s="164"/>
      <c r="C67" s="9"/>
      <c r="D67" s="9"/>
      <c r="E67" s="164"/>
      <c r="F67" s="164"/>
      <c r="G67" s="164"/>
      <c r="H67" s="164"/>
      <c r="I67" s="776"/>
      <c r="J67" s="893"/>
      <c r="K67" s="164"/>
      <c r="L67" s="164"/>
      <c r="M67" s="1061"/>
      <c r="N67" s="1061"/>
      <c r="O67" s="1061"/>
      <c r="P67" s="1061"/>
      <c r="Q67" s="1061"/>
      <c r="R67" s="1061"/>
      <c r="S67" s="1061"/>
      <c r="T67" s="1061"/>
    </row>
    <row r="68" ht="15.75" customHeight="1">
      <c r="A68" s="675" t="s">
        <v>2079</v>
      </c>
      <c r="B68" s="34" t="s">
        <v>240</v>
      </c>
      <c r="C68" s="41" t="s">
        <v>851</v>
      </c>
      <c r="D68" s="889"/>
      <c r="E68" s="889"/>
      <c r="F68" s="889"/>
      <c r="G68" s="34" t="s">
        <v>2080</v>
      </c>
      <c r="H68" s="34" t="s">
        <v>2081</v>
      </c>
      <c r="I68" s="1076"/>
      <c r="J68" s="711">
        <v>44562.0</v>
      </c>
      <c r="K68" s="766"/>
      <c r="L68" s="954"/>
      <c r="M68" s="1061"/>
      <c r="N68" s="1061"/>
      <c r="O68" s="1061"/>
      <c r="P68" s="1061"/>
      <c r="Q68" s="1061"/>
      <c r="R68" s="1061"/>
      <c r="S68" s="1061"/>
      <c r="T68" s="1061"/>
    </row>
    <row r="69" ht="15.75" customHeight="1">
      <c r="A69" s="457"/>
      <c r="B69" s="34" t="s">
        <v>250</v>
      </c>
      <c r="C69" s="41" t="s">
        <v>851</v>
      </c>
      <c r="D69" s="889"/>
      <c r="E69" s="889"/>
      <c r="F69" s="889"/>
      <c r="G69" s="439" t="s">
        <v>2082</v>
      </c>
      <c r="H69" s="34" t="s">
        <v>2083</v>
      </c>
      <c r="I69" s="807"/>
      <c r="J69" s="711">
        <v>44565.0</v>
      </c>
      <c r="K69" s="766"/>
      <c r="L69" s="954"/>
      <c r="M69" s="1061"/>
      <c r="N69" s="1061"/>
      <c r="O69" s="1061"/>
      <c r="P69" s="1061"/>
      <c r="Q69" s="1061"/>
      <c r="R69" s="1061"/>
      <c r="S69" s="1061"/>
      <c r="T69" s="1061"/>
    </row>
    <row r="70" ht="15.75" customHeight="1">
      <c r="A70" s="457"/>
      <c r="B70" s="889" t="s">
        <v>260</v>
      </c>
      <c r="C70" s="41" t="s">
        <v>851</v>
      </c>
      <c r="D70" s="1063"/>
      <c r="E70" s="1063"/>
      <c r="F70" s="1063"/>
      <c r="G70" s="889" t="s">
        <v>2084</v>
      </c>
      <c r="H70" s="440" t="s">
        <v>2085</v>
      </c>
      <c r="I70" s="751"/>
      <c r="J70" s="633">
        <v>44705.0</v>
      </c>
      <c r="K70" s="766"/>
      <c r="L70" s="954"/>
      <c r="M70" s="1061"/>
      <c r="N70" s="1061"/>
      <c r="O70" s="1061"/>
      <c r="P70" s="1061"/>
      <c r="Q70" s="1061"/>
      <c r="R70" s="1061"/>
      <c r="S70" s="1061"/>
      <c r="T70" s="1061"/>
    </row>
    <row r="71" ht="15.75" customHeight="1">
      <c r="A71" s="457"/>
      <c r="B71" s="41" t="s">
        <v>270</v>
      </c>
      <c r="C71" s="236" t="s">
        <v>851</v>
      </c>
      <c r="D71" s="1063"/>
      <c r="E71" s="1086"/>
      <c r="F71" s="1086"/>
      <c r="G71" s="439" t="s">
        <v>2086</v>
      </c>
      <c r="H71" s="498" t="s">
        <v>2087</v>
      </c>
      <c r="I71" s="751"/>
      <c r="J71" s="633">
        <v>45348.0</v>
      </c>
      <c r="K71" s="766"/>
      <c r="L71" s="488" t="s">
        <v>1753</v>
      </c>
      <c r="M71" s="1061"/>
      <c r="N71" s="1061"/>
      <c r="O71" s="1061"/>
      <c r="P71" s="1061"/>
      <c r="Q71" s="1061"/>
      <c r="R71" s="1061"/>
      <c r="S71" s="1061"/>
      <c r="T71" s="1061"/>
    </row>
    <row r="72" ht="15.75" customHeight="1">
      <c r="A72" s="457"/>
      <c r="B72" s="22" t="s">
        <v>280</v>
      </c>
      <c r="C72" s="41" t="s">
        <v>851</v>
      </c>
      <c r="D72" s="889"/>
      <c r="E72" s="889"/>
      <c r="F72" s="889"/>
      <c r="G72" s="41" t="s">
        <v>2088</v>
      </c>
      <c r="H72" s="22" t="s">
        <v>2089</v>
      </c>
      <c r="I72" s="842"/>
      <c r="J72" s="633">
        <v>45663.0</v>
      </c>
      <c r="K72" s="19"/>
      <c r="L72" s="488" t="s">
        <v>2090</v>
      </c>
      <c r="M72" s="694" t="s">
        <v>1109</v>
      </c>
      <c r="N72" s="1061"/>
      <c r="O72" s="1061"/>
      <c r="P72" s="1061"/>
      <c r="Q72" s="1061"/>
      <c r="R72" s="1061"/>
      <c r="S72" s="1061"/>
      <c r="T72" s="1061"/>
    </row>
    <row r="73" ht="15.75" customHeight="1">
      <c r="A73" s="457"/>
      <c r="B73" s="22"/>
      <c r="C73" s="41"/>
      <c r="D73" s="889"/>
      <c r="E73" s="889"/>
      <c r="F73" s="889"/>
      <c r="G73" s="41"/>
      <c r="H73" s="22"/>
      <c r="I73" s="887"/>
      <c r="J73" s="633"/>
      <c r="K73" s="19"/>
      <c r="L73" s="610"/>
      <c r="M73" s="704"/>
      <c r="N73" s="1061"/>
      <c r="O73" s="1061"/>
      <c r="P73" s="1061"/>
      <c r="Q73" s="1061"/>
      <c r="R73" s="1061"/>
      <c r="S73" s="1061"/>
      <c r="T73" s="1061"/>
    </row>
    <row r="74" ht="15.75" customHeight="1">
      <c r="A74" s="457"/>
      <c r="B74" s="1148"/>
      <c r="C74" s="369"/>
      <c r="D74" s="889"/>
      <c r="E74" s="889"/>
      <c r="F74" s="889"/>
      <c r="G74" s="440"/>
      <c r="H74" s="1148"/>
      <c r="I74" s="842"/>
      <c r="J74" s="609"/>
      <c r="K74" s="19"/>
      <c r="L74" s="710"/>
      <c r="M74" s="1061"/>
      <c r="N74" s="1061"/>
      <c r="O74" s="1061"/>
      <c r="P74" s="1061"/>
      <c r="Q74" s="1061"/>
      <c r="R74" s="1061"/>
      <c r="S74" s="1061"/>
      <c r="T74" s="1061"/>
    </row>
    <row r="75" ht="15.75" customHeight="1">
      <c r="A75" s="430"/>
      <c r="B75" s="1148"/>
      <c r="C75" s="369"/>
      <c r="D75" s="889"/>
      <c r="E75" s="889"/>
      <c r="F75" s="889"/>
      <c r="G75" s="440"/>
      <c r="H75" s="1148"/>
      <c r="I75" s="842"/>
      <c r="J75" s="609"/>
      <c r="K75" s="19"/>
      <c r="L75" s="710"/>
      <c r="M75" s="1061"/>
      <c r="N75" s="1061"/>
      <c r="O75" s="1061"/>
      <c r="P75" s="1061"/>
      <c r="Q75" s="1061"/>
      <c r="R75" s="1061"/>
      <c r="S75" s="1061"/>
      <c r="T75" s="1061"/>
    </row>
    <row r="76" ht="15.75" customHeight="1">
      <c r="A76" s="164"/>
      <c r="D76" s="198"/>
      <c r="M76" s="1061"/>
      <c r="N76" s="1061"/>
      <c r="O76" s="1061"/>
      <c r="P76" s="1061"/>
      <c r="Q76" s="1061"/>
      <c r="R76" s="1061"/>
      <c r="S76" s="1061"/>
      <c r="T76" s="1061"/>
    </row>
    <row r="77" ht="15.75" customHeight="1">
      <c r="A77" s="164"/>
      <c r="B77" s="234"/>
      <c r="C77" s="1107"/>
      <c r="D77" s="1107"/>
      <c r="E77" s="1107"/>
      <c r="F77" s="1107"/>
      <c r="G77" s="1108"/>
      <c r="H77" s="1108"/>
      <c r="I77" s="781"/>
      <c r="J77" s="652"/>
      <c r="K77" s="1108"/>
      <c r="L77" s="164"/>
      <c r="M77" s="1061"/>
      <c r="N77" s="1061"/>
      <c r="O77" s="1061"/>
      <c r="P77" s="1061"/>
      <c r="Q77" s="1061"/>
      <c r="R77" s="1061"/>
      <c r="S77" s="1061"/>
      <c r="T77" s="1061"/>
    </row>
    <row r="78" ht="15.75" customHeight="1">
      <c r="A78" s="735" t="s">
        <v>2091</v>
      </c>
      <c r="B78" s="34" t="s">
        <v>648</v>
      </c>
      <c r="C78" s="166" t="s">
        <v>851</v>
      </c>
      <c r="D78" s="1086"/>
      <c r="E78" s="1086"/>
      <c r="F78" s="1086"/>
      <c r="G78" s="236" t="s">
        <v>2092</v>
      </c>
      <c r="H78" s="236" t="s">
        <v>2093</v>
      </c>
      <c r="I78" s="1119"/>
      <c r="J78" s="609">
        <v>44562.0</v>
      </c>
      <c r="K78" s="312" t="s">
        <v>2094</v>
      </c>
      <c r="L78" s="1060"/>
      <c r="M78" s="1061"/>
      <c r="N78" s="1061"/>
      <c r="O78" s="1061"/>
      <c r="P78" s="1061"/>
      <c r="Q78" s="1061"/>
      <c r="R78" s="1061"/>
      <c r="S78" s="1061"/>
      <c r="T78" s="1061"/>
    </row>
    <row r="79" ht="15.75" customHeight="1">
      <c r="A79" s="457"/>
      <c r="B79" s="21" t="s">
        <v>656</v>
      </c>
      <c r="C79" s="236" t="s">
        <v>851</v>
      </c>
      <c r="D79" s="1149"/>
      <c r="E79" s="1149"/>
      <c r="F79" s="1149"/>
      <c r="G79" s="119" t="s">
        <v>2095</v>
      </c>
      <c r="H79" s="208" t="s">
        <v>2096</v>
      </c>
      <c r="I79" s="1119"/>
      <c r="J79" s="609">
        <v>45324.0</v>
      </c>
      <c r="K79" s="312"/>
      <c r="L79" s="488" t="s">
        <v>2097</v>
      </c>
      <c r="M79" s="1061"/>
      <c r="N79" s="1061"/>
      <c r="O79" s="1061"/>
      <c r="P79" s="1061"/>
      <c r="Q79" s="1061"/>
      <c r="R79" s="1061"/>
      <c r="S79" s="1061"/>
      <c r="T79" s="1061"/>
    </row>
    <row r="80" ht="15.75" customHeight="1">
      <c r="A80" s="457"/>
      <c r="B80" s="21" t="s">
        <v>2098</v>
      </c>
      <c r="C80" s="1150"/>
      <c r="D80" s="119" t="s">
        <v>2099</v>
      </c>
      <c r="E80" s="1149"/>
      <c r="F80" s="1149"/>
      <c r="G80" s="439" t="s">
        <v>2100</v>
      </c>
      <c r="H80" s="236" t="s">
        <v>2101</v>
      </c>
      <c r="I80" s="1119"/>
      <c r="J80" s="609">
        <v>45525.0</v>
      </c>
      <c r="K80" s="312"/>
      <c r="L80" s="488" t="s">
        <v>1955</v>
      </c>
      <c r="M80" s="1061"/>
      <c r="N80" s="1061"/>
      <c r="O80" s="1061"/>
      <c r="P80" s="1061"/>
      <c r="Q80" s="1061"/>
      <c r="R80" s="1061"/>
      <c r="S80" s="1061"/>
      <c r="T80" s="1061"/>
    </row>
    <row r="81" ht="15.75" customHeight="1">
      <c r="A81" s="457"/>
      <c r="B81" s="22" t="s">
        <v>672</v>
      </c>
      <c r="C81" s="406" t="s">
        <v>851</v>
      </c>
      <c r="D81" s="445"/>
      <c r="E81" s="710"/>
      <c r="F81" s="710"/>
      <c r="G81" s="440" t="s">
        <v>2102</v>
      </c>
      <c r="H81" s="41" t="s">
        <v>2103</v>
      </c>
      <c r="I81" s="1119"/>
      <c r="J81" s="1070">
        <v>45055.0</v>
      </c>
      <c r="K81" s="1151"/>
      <c r="L81" s="885"/>
      <c r="M81" s="1061"/>
      <c r="N81" s="1061"/>
      <c r="O81" s="1061"/>
      <c r="P81" s="1061"/>
      <c r="Q81" s="1061"/>
      <c r="R81" s="1061"/>
      <c r="S81" s="1061"/>
      <c r="T81" s="1061"/>
    </row>
    <row r="82" ht="15.75" customHeight="1">
      <c r="A82" s="457"/>
      <c r="B82" s="598" t="s">
        <v>681</v>
      </c>
      <c r="C82" s="598" t="s">
        <v>861</v>
      </c>
      <c r="D82" s="1152"/>
      <c r="E82" s="1153"/>
      <c r="F82" s="406"/>
      <c r="G82" s="510" t="s">
        <v>2104</v>
      </c>
      <c r="H82" s="671" t="s">
        <v>2105</v>
      </c>
      <c r="I82" s="997"/>
      <c r="J82" s="998">
        <v>45082.0</v>
      </c>
      <c r="K82" s="766"/>
      <c r="L82" s="850" t="s">
        <v>2106</v>
      </c>
      <c r="M82" s="1061"/>
      <c r="N82" s="1061"/>
      <c r="O82" s="1061"/>
      <c r="P82" s="1061"/>
      <c r="Q82" s="1061"/>
      <c r="R82" s="1061"/>
      <c r="S82" s="1061"/>
      <c r="T82" s="1061"/>
    </row>
    <row r="83" ht="15.75" customHeight="1">
      <c r="A83" s="457"/>
      <c r="B83" s="34" t="s">
        <v>690</v>
      </c>
      <c r="C83" s="34" t="s">
        <v>851</v>
      </c>
      <c r="D83" s="440"/>
      <c r="E83" s="594"/>
      <c r="F83" s="594"/>
      <c r="G83" s="34" t="s">
        <v>2107</v>
      </c>
      <c r="H83" s="34" t="s">
        <v>2108</v>
      </c>
      <c r="I83" s="233"/>
      <c r="J83" s="1099">
        <v>45055.0</v>
      </c>
      <c r="K83" s="1151"/>
      <c r="L83" s="885"/>
      <c r="M83" s="1061"/>
      <c r="N83" s="1061"/>
      <c r="O83" s="1061"/>
      <c r="P83" s="1061"/>
      <c r="Q83" s="1061"/>
      <c r="R83" s="1061"/>
      <c r="S83" s="1061"/>
      <c r="T83" s="1061"/>
    </row>
    <row r="84" ht="15.75" customHeight="1">
      <c r="A84" s="457"/>
      <c r="B84" s="1077" t="s">
        <v>2109</v>
      </c>
      <c r="C84" s="1078" t="s">
        <v>851</v>
      </c>
      <c r="D84" s="708" t="s">
        <v>1439</v>
      </c>
      <c r="E84" s="1079"/>
      <c r="F84" s="1079"/>
      <c r="G84" s="1078" t="s">
        <v>2110</v>
      </c>
      <c r="H84" s="1078" t="s">
        <v>2111</v>
      </c>
      <c r="I84" s="950"/>
      <c r="J84" s="1080">
        <v>45246.0</v>
      </c>
      <c r="K84" s="1151"/>
      <c r="L84" s="885"/>
      <c r="M84" s="1061"/>
      <c r="N84" s="1061"/>
      <c r="O84" s="1061"/>
      <c r="P84" s="1061"/>
      <c r="Q84" s="1061"/>
      <c r="R84" s="1061"/>
      <c r="S84" s="1061"/>
      <c r="T84" s="1061"/>
    </row>
    <row r="85" ht="15.75" customHeight="1">
      <c r="A85" s="430"/>
      <c r="B85" s="300" t="s">
        <v>704</v>
      </c>
      <c r="C85" s="1078" t="s">
        <v>851</v>
      </c>
      <c r="D85" s="1033"/>
      <c r="E85" s="1079"/>
      <c r="F85" s="1079"/>
      <c r="G85" s="615" t="s">
        <v>2112</v>
      </c>
      <c r="H85" s="1154" t="s">
        <v>2113</v>
      </c>
      <c r="I85" s="950"/>
      <c r="J85" s="1155">
        <v>45679.0</v>
      </c>
      <c r="K85" s="1151"/>
      <c r="L85" s="488" t="s">
        <v>2114</v>
      </c>
      <c r="M85" s="694" t="s">
        <v>1109</v>
      </c>
      <c r="N85" s="1061"/>
      <c r="O85" s="1061"/>
      <c r="P85" s="1061"/>
      <c r="Q85" s="1061"/>
      <c r="R85" s="1061"/>
      <c r="S85" s="1061"/>
      <c r="T85" s="1061"/>
    </row>
    <row r="86" ht="15.75" customHeight="1">
      <c r="A86" s="164"/>
      <c r="B86" s="164"/>
      <c r="C86" s="9"/>
      <c r="D86" s="9"/>
      <c r="E86" s="164"/>
      <c r="F86" s="164"/>
      <c r="G86" s="164"/>
      <c r="H86" s="164"/>
      <c r="I86" s="776"/>
      <c r="J86" s="538"/>
      <c r="K86" s="164"/>
      <c r="L86" s="164"/>
      <c r="M86" s="1061"/>
      <c r="N86" s="1061"/>
      <c r="O86" s="1061"/>
      <c r="P86" s="1061"/>
      <c r="Q86" s="1061"/>
      <c r="R86" s="1061"/>
      <c r="S86" s="1061"/>
      <c r="T86" s="1061"/>
    </row>
    <row r="87">
      <c r="A87" s="164"/>
      <c r="B87" s="164"/>
      <c r="C87" s="9"/>
      <c r="D87" s="9"/>
      <c r="E87" s="164"/>
      <c r="F87" s="164"/>
      <c r="G87" s="164"/>
      <c r="H87" s="164"/>
      <c r="I87" s="776"/>
      <c r="J87" s="538"/>
      <c r="K87" s="164"/>
      <c r="L87" s="164"/>
      <c r="M87" s="1061"/>
      <c r="N87" s="1061"/>
      <c r="O87" s="1061"/>
      <c r="P87" s="1061"/>
      <c r="Q87" s="1061"/>
      <c r="R87" s="1061"/>
      <c r="S87" s="1061"/>
      <c r="T87" s="1061"/>
    </row>
    <row r="88" ht="15.75" customHeight="1">
      <c r="A88" s="1156" t="s">
        <v>2115</v>
      </c>
      <c r="B88" s="821" t="s">
        <v>650</v>
      </c>
      <c r="C88" s="166" t="s">
        <v>851</v>
      </c>
      <c r="D88" s="1006"/>
      <c r="E88" s="1006"/>
      <c r="F88" s="1006"/>
      <c r="G88" s="166" t="s">
        <v>2116</v>
      </c>
      <c r="H88" s="1007" t="s">
        <v>2117</v>
      </c>
      <c r="I88" s="1157"/>
      <c r="J88" s="633">
        <v>44258.0</v>
      </c>
      <c r="K88" s="810"/>
      <c r="L88" s="954"/>
      <c r="M88" s="1061"/>
      <c r="N88" s="1061"/>
      <c r="O88" s="1061"/>
      <c r="P88" s="1061"/>
      <c r="Q88" s="1061"/>
      <c r="R88" s="1061"/>
      <c r="S88" s="1061"/>
      <c r="T88" s="1061"/>
    </row>
    <row r="89" ht="15.75" customHeight="1">
      <c r="A89" s="1158"/>
      <c r="B89" s="1159" t="s">
        <v>657</v>
      </c>
      <c r="C89" s="1078" t="s">
        <v>851</v>
      </c>
      <c r="D89" s="1033"/>
      <c r="E89" s="1079"/>
      <c r="F89" s="1079"/>
      <c r="G89" s="1078" t="s">
        <v>2118</v>
      </c>
      <c r="H89" s="1078" t="s">
        <v>2119</v>
      </c>
      <c r="I89" s="950"/>
      <c r="J89" s="1080">
        <v>45126.0</v>
      </c>
      <c r="K89" s="950"/>
      <c r="L89" s="1060"/>
      <c r="M89" s="1061"/>
      <c r="N89" s="1061"/>
      <c r="O89" s="1061"/>
      <c r="P89" s="1061"/>
      <c r="Q89" s="1061"/>
      <c r="R89" s="1061"/>
      <c r="S89" s="1061"/>
      <c r="T89" s="1061"/>
    </row>
    <row r="90" ht="15.75" customHeight="1">
      <c r="A90" s="1158"/>
      <c r="B90" s="34" t="s">
        <v>2020</v>
      </c>
      <c r="C90" s="236" t="s">
        <v>851</v>
      </c>
      <c r="D90" s="1006"/>
      <c r="E90" s="1105"/>
      <c r="F90" s="1105"/>
      <c r="G90" s="236" t="s">
        <v>2021</v>
      </c>
      <c r="H90" s="236" t="s">
        <v>2022</v>
      </c>
      <c r="I90" s="913"/>
      <c r="J90" s="1106">
        <v>44965.0</v>
      </c>
      <c r="K90" s="312"/>
      <c r="L90" s="511" t="s">
        <v>2023</v>
      </c>
      <c r="M90" s="1061"/>
      <c r="N90" s="1061"/>
      <c r="O90" s="1061"/>
      <c r="P90" s="1061"/>
      <c r="Q90" s="1061"/>
      <c r="R90" s="1061"/>
      <c r="S90" s="1061"/>
      <c r="T90" s="1061"/>
    </row>
    <row r="91" ht="15.75" customHeight="1">
      <c r="A91" s="1158"/>
      <c r="B91" s="41" t="s">
        <v>674</v>
      </c>
      <c r="C91" s="260" t="s">
        <v>851</v>
      </c>
      <c r="D91" s="1051"/>
      <c r="E91" s="1051"/>
      <c r="F91" s="1051"/>
      <c r="G91" s="529" t="s">
        <v>2120</v>
      </c>
      <c r="H91" s="1160" t="s">
        <v>2121</v>
      </c>
      <c r="I91" s="1119"/>
      <c r="J91" s="1161">
        <v>45001.0</v>
      </c>
      <c r="K91" s="659" t="s">
        <v>2122</v>
      </c>
      <c r="L91" s="1162"/>
      <c r="M91" s="1061"/>
      <c r="N91" s="1061"/>
      <c r="O91" s="1061"/>
      <c r="P91" s="1061"/>
      <c r="Q91" s="1061"/>
      <c r="R91" s="1061"/>
      <c r="S91" s="1061"/>
      <c r="T91" s="1061"/>
    </row>
    <row r="92" ht="15.75" customHeight="1">
      <c r="A92" s="1158"/>
      <c r="B92" s="161" t="s">
        <v>683</v>
      </c>
      <c r="C92" s="236" t="s">
        <v>851</v>
      </c>
      <c r="D92" s="528"/>
      <c r="E92" s="528"/>
      <c r="F92" s="528"/>
      <c r="G92" s="414" t="s">
        <v>2123</v>
      </c>
      <c r="H92" s="668" t="s">
        <v>2124</v>
      </c>
      <c r="I92" s="1119"/>
      <c r="J92" s="1121">
        <v>45033.0</v>
      </c>
      <c r="K92" s="312"/>
      <c r="L92" s="312"/>
      <c r="M92" s="1061"/>
      <c r="N92" s="1061"/>
      <c r="O92" s="1061"/>
      <c r="P92" s="1061"/>
      <c r="Q92" s="1061"/>
      <c r="R92" s="1061"/>
      <c r="S92" s="1061"/>
      <c r="T92" s="1061"/>
    </row>
    <row r="93" ht="17.25" customHeight="1">
      <c r="A93" s="1158"/>
      <c r="B93" s="41"/>
      <c r="C93" s="260"/>
      <c r="D93" s="1051"/>
      <c r="E93" s="1051"/>
      <c r="F93" s="1051"/>
      <c r="G93" s="534"/>
      <c r="H93" s="1102"/>
      <c r="I93" s="1119"/>
      <c r="J93" s="1161"/>
      <c r="K93" s="659"/>
      <c r="L93" s="1162"/>
      <c r="M93" s="1061"/>
      <c r="N93" s="1061"/>
      <c r="O93" s="1061"/>
      <c r="P93" s="1061"/>
      <c r="Q93" s="1061"/>
      <c r="R93" s="1061"/>
      <c r="S93" s="1061"/>
      <c r="T93" s="1061"/>
    </row>
    <row r="94" ht="15.75" customHeight="1">
      <c r="A94" s="1158"/>
      <c r="B94" s="41"/>
      <c r="C94" s="260"/>
      <c r="D94" s="1051"/>
      <c r="E94" s="1051"/>
      <c r="F94" s="1051"/>
      <c r="G94" s="534"/>
      <c r="H94" s="1102"/>
      <c r="I94" s="1119"/>
      <c r="J94" s="1161"/>
      <c r="K94" s="659"/>
      <c r="L94" s="1162"/>
      <c r="M94" s="1061"/>
      <c r="N94" s="1061"/>
      <c r="O94" s="1061"/>
      <c r="P94" s="1061"/>
      <c r="Q94" s="1061"/>
      <c r="R94" s="1061"/>
      <c r="S94" s="1061"/>
      <c r="T94" s="1061"/>
    </row>
    <row r="95" ht="15.75" customHeight="1">
      <c r="A95" s="431"/>
      <c r="B95" s="41"/>
      <c r="C95" s="260"/>
      <c r="D95" s="1051"/>
      <c r="E95" s="1051"/>
      <c r="F95" s="1051"/>
      <c r="G95" s="534"/>
      <c r="H95" s="1102"/>
      <c r="I95" s="1119"/>
      <c r="J95" s="1161"/>
      <c r="K95" s="659"/>
      <c r="L95" s="1162"/>
      <c r="M95" s="1061"/>
      <c r="N95" s="1061"/>
      <c r="O95" s="1061"/>
      <c r="P95" s="1061"/>
      <c r="Q95" s="1061"/>
      <c r="R95" s="1061"/>
      <c r="S95" s="1061"/>
      <c r="T95" s="1061"/>
    </row>
    <row r="96" ht="15.75" customHeight="1">
      <c r="A96" s="164"/>
      <c r="B96" s="801"/>
      <c r="C96" s="801"/>
      <c r="D96" s="801"/>
      <c r="E96" s="801"/>
      <c r="F96" s="801"/>
      <c r="G96" s="801"/>
      <c r="H96" s="801"/>
      <c r="I96" s="801"/>
      <c r="J96" s="866"/>
      <c r="K96" s="801"/>
      <c r="L96" s="1163"/>
      <c r="M96" s="1061"/>
      <c r="N96" s="1061"/>
      <c r="O96" s="1061"/>
      <c r="P96" s="1061"/>
      <c r="Q96" s="1061"/>
      <c r="R96" s="1061"/>
      <c r="S96" s="1061"/>
      <c r="T96" s="1061"/>
    </row>
    <row r="97" ht="15.75" customHeight="1">
      <c r="A97" s="164"/>
      <c r="B97" s="164"/>
      <c r="C97" s="9"/>
      <c r="D97" s="9"/>
      <c r="E97" s="164"/>
      <c r="F97" s="164"/>
      <c r="G97" s="164"/>
      <c r="H97" s="164"/>
      <c r="I97" s="776"/>
      <c r="J97" s="1164"/>
      <c r="K97" s="164"/>
      <c r="L97" s="776"/>
      <c r="M97" s="1061"/>
      <c r="N97" s="1061"/>
      <c r="O97" s="1061"/>
      <c r="P97" s="1061"/>
      <c r="Q97" s="1061"/>
      <c r="R97" s="1061"/>
      <c r="S97" s="1061"/>
      <c r="T97" s="1061"/>
    </row>
    <row r="98" ht="15.75" customHeight="1">
      <c r="A98" s="194" t="s">
        <v>2125</v>
      </c>
      <c r="B98" s="1165" t="s">
        <v>406</v>
      </c>
      <c r="C98" s="833" t="s">
        <v>851</v>
      </c>
      <c r="D98" s="1147"/>
      <c r="E98" s="717" t="s">
        <v>2126</v>
      </c>
      <c r="F98" s="944"/>
      <c r="G98" s="514" t="s">
        <v>2127</v>
      </c>
      <c r="H98" s="514" t="s">
        <v>2128</v>
      </c>
      <c r="I98" s="1166"/>
      <c r="J98" s="1167">
        <v>45162.0</v>
      </c>
      <c r="K98" s="406"/>
      <c r="L98" s="1060"/>
      <c r="M98" s="1061"/>
      <c r="N98" s="1061"/>
      <c r="O98" s="1061"/>
      <c r="P98" s="1061"/>
      <c r="Q98" s="1061"/>
      <c r="R98" s="1061"/>
      <c r="S98" s="1061"/>
      <c r="T98" s="1061"/>
    </row>
    <row r="99" ht="15.75" customHeight="1">
      <c r="A99" s="457"/>
      <c r="B99" s="300" t="s">
        <v>431</v>
      </c>
      <c r="C99" s="1168"/>
      <c r="D99" s="1169"/>
      <c r="E99" s="1170"/>
      <c r="F99" s="1170"/>
      <c r="G99" s="1114" t="s">
        <v>2129</v>
      </c>
      <c r="H99" s="668" t="s">
        <v>2130</v>
      </c>
      <c r="I99" s="751"/>
      <c r="J99" s="1171">
        <v>45505.0</v>
      </c>
      <c r="K99" s="710"/>
      <c r="L99" s="511" t="s">
        <v>2131</v>
      </c>
      <c r="M99" s="489" t="s">
        <v>1123</v>
      </c>
      <c r="N99" s="1061"/>
      <c r="O99" s="1061"/>
      <c r="P99" s="1061"/>
      <c r="Q99" s="1061"/>
      <c r="R99" s="1061"/>
      <c r="S99" s="1061"/>
      <c r="T99" s="1061"/>
    </row>
    <row r="100" ht="15.75" customHeight="1">
      <c r="A100" s="457"/>
      <c r="B100" s="300" t="s">
        <v>456</v>
      </c>
      <c r="C100" s="833" t="s">
        <v>851</v>
      </c>
      <c r="D100" s="1169"/>
      <c r="E100" s="1170"/>
      <c r="F100" s="1170"/>
      <c r="G100" s="1172" t="s">
        <v>2132</v>
      </c>
      <c r="H100" s="1173" t="s">
        <v>2133</v>
      </c>
      <c r="I100" s="751"/>
      <c r="J100" s="1174">
        <v>45559.0</v>
      </c>
      <c r="K100" s="710"/>
      <c r="L100" s="488" t="s">
        <v>2134</v>
      </c>
      <c r="M100" s="1061"/>
      <c r="N100" s="1061"/>
      <c r="O100" s="1061"/>
      <c r="P100" s="1061"/>
      <c r="Q100" s="1061"/>
      <c r="R100" s="1061"/>
      <c r="S100" s="1061"/>
      <c r="T100" s="1061"/>
    </row>
    <row r="101" ht="15.75" customHeight="1">
      <c r="A101" s="457"/>
      <c r="B101" s="1175" t="s">
        <v>481</v>
      </c>
      <c r="C101" s="833" t="s">
        <v>851</v>
      </c>
      <c r="D101" s="1169"/>
      <c r="E101" s="1170"/>
      <c r="F101" s="1170"/>
      <c r="G101" s="625" t="s">
        <v>2135</v>
      </c>
      <c r="H101" s="626" t="s">
        <v>2136</v>
      </c>
      <c r="I101" s="751"/>
      <c r="J101" s="1174">
        <v>45559.0</v>
      </c>
      <c r="K101" s="710"/>
      <c r="L101" s="488" t="s">
        <v>1288</v>
      </c>
      <c r="M101" s="1061"/>
      <c r="N101" s="1061"/>
      <c r="O101" s="1061"/>
      <c r="P101" s="1061"/>
      <c r="Q101" s="1061"/>
      <c r="R101" s="1061"/>
      <c r="S101" s="1061"/>
      <c r="T101" s="1061"/>
    </row>
    <row r="102" ht="15.75" customHeight="1">
      <c r="A102" s="457"/>
      <c r="B102" s="1176" t="s">
        <v>555</v>
      </c>
      <c r="C102" s="1176" t="s">
        <v>851</v>
      </c>
      <c r="D102" s="1177"/>
      <c r="E102" s="1178"/>
      <c r="F102" s="1178"/>
      <c r="G102" s="1179" t="s">
        <v>2137</v>
      </c>
      <c r="H102" s="1180" t="s">
        <v>2138</v>
      </c>
      <c r="I102" s="1181"/>
      <c r="J102" s="1182">
        <v>45222.0</v>
      </c>
      <c r="K102" s="1178"/>
      <c r="L102" s="1183" t="s">
        <v>2106</v>
      </c>
      <c r="M102" s="1184" t="s">
        <v>2139</v>
      </c>
      <c r="N102" s="1061"/>
      <c r="O102" s="1061"/>
      <c r="P102" s="1061"/>
      <c r="Q102" s="1061"/>
      <c r="R102" s="1061"/>
      <c r="S102" s="1061"/>
      <c r="T102" s="1061"/>
    </row>
    <row r="103" ht="15.75" customHeight="1">
      <c r="A103" s="457"/>
      <c r="B103" s="598" t="s">
        <v>506</v>
      </c>
      <c r="C103" s="598" t="s">
        <v>851</v>
      </c>
      <c r="D103" s="1185"/>
      <c r="E103" s="1151"/>
      <c r="F103" s="1151"/>
      <c r="G103" s="1186" t="s">
        <v>2140</v>
      </c>
      <c r="H103" s="1176" t="s">
        <v>2141</v>
      </c>
      <c r="I103" s="1181"/>
      <c r="J103" s="998">
        <v>45383.0</v>
      </c>
      <c r="K103" s="1151"/>
      <c r="L103" s="812" t="s">
        <v>2142</v>
      </c>
      <c r="M103" s="1187"/>
      <c r="N103" s="1061"/>
      <c r="O103" s="1061"/>
      <c r="P103" s="1061"/>
      <c r="Q103" s="1061"/>
      <c r="R103" s="1061"/>
      <c r="S103" s="1061"/>
      <c r="T103" s="1061"/>
    </row>
    <row r="104" ht="15.75" customHeight="1">
      <c r="A104" s="457"/>
      <c r="B104" s="598" t="s">
        <v>531</v>
      </c>
      <c r="C104" s="1176" t="s">
        <v>861</v>
      </c>
      <c r="D104" s="1185"/>
      <c r="E104" s="1188"/>
      <c r="F104" s="1188"/>
      <c r="G104" s="510" t="s">
        <v>2143</v>
      </c>
      <c r="H104" s="1176" t="s">
        <v>2144</v>
      </c>
      <c r="I104" s="1189"/>
      <c r="J104" s="1190">
        <v>45558.0</v>
      </c>
      <c r="K104" s="1151"/>
      <c r="L104" s="812" t="s">
        <v>2145</v>
      </c>
      <c r="M104" s="1187"/>
      <c r="N104" s="1061"/>
      <c r="O104" s="1061"/>
      <c r="P104" s="1061"/>
      <c r="Q104" s="1061"/>
      <c r="R104" s="1061"/>
      <c r="S104" s="1061"/>
      <c r="T104" s="1061"/>
    </row>
    <row r="105" ht="15.75" customHeight="1">
      <c r="A105" s="430"/>
      <c r="B105" s="1191" t="s">
        <v>2146</v>
      </c>
      <c r="C105" s="833" t="s">
        <v>851</v>
      </c>
      <c r="D105" s="1185"/>
      <c r="E105" s="1188"/>
      <c r="F105" s="1188"/>
      <c r="G105" s="557" t="s">
        <v>1067</v>
      </c>
      <c r="H105" s="369" t="s">
        <v>1068</v>
      </c>
      <c r="I105" s="833"/>
      <c r="J105" s="764">
        <v>45699.0</v>
      </c>
      <c r="K105" s="1151"/>
      <c r="L105" s="488" t="s">
        <v>2147</v>
      </c>
      <c r="M105" s="1061"/>
      <c r="N105" s="1061"/>
      <c r="O105" s="1061"/>
      <c r="P105" s="1061"/>
      <c r="Q105" s="1061"/>
      <c r="R105" s="1061"/>
      <c r="S105" s="1061"/>
      <c r="T105" s="1061"/>
    </row>
    <row r="106" ht="15.75" customHeight="1">
      <c r="A106" s="164"/>
      <c r="B106" s="164"/>
      <c r="C106" s="9"/>
      <c r="D106" s="9"/>
      <c r="E106" s="164"/>
      <c r="F106" s="164"/>
      <c r="G106" s="164"/>
      <c r="H106" s="164"/>
      <c r="I106" s="776"/>
      <c r="J106" s="1192"/>
      <c r="K106" s="164"/>
      <c r="L106" s="776"/>
      <c r="M106" s="1061"/>
      <c r="N106" s="1061"/>
      <c r="O106" s="1061"/>
      <c r="P106" s="1061"/>
      <c r="Q106" s="1061"/>
      <c r="R106" s="1061"/>
      <c r="S106" s="1061"/>
      <c r="T106" s="1061"/>
    </row>
    <row r="107" ht="15.75" customHeight="1">
      <c r="A107" s="164"/>
      <c r="B107" s="164"/>
      <c r="C107" s="9"/>
      <c r="D107" s="9"/>
      <c r="E107" s="164"/>
      <c r="F107" s="164"/>
      <c r="G107" s="164"/>
      <c r="H107" s="164"/>
      <c r="I107" s="776"/>
      <c r="J107" s="1192"/>
      <c r="K107" s="164"/>
      <c r="L107" s="776"/>
      <c r="M107" s="1061"/>
      <c r="N107" s="1061"/>
      <c r="O107" s="1061"/>
      <c r="P107" s="1061"/>
      <c r="Q107" s="1061"/>
      <c r="R107" s="1061"/>
      <c r="S107" s="1061"/>
      <c r="T107" s="1061"/>
    </row>
    <row r="108" ht="15.75" customHeight="1">
      <c r="A108" s="1193" t="s">
        <v>2148</v>
      </c>
      <c r="B108" s="34"/>
      <c r="C108" s="22"/>
      <c r="D108" s="1041"/>
      <c r="E108" s="1041"/>
      <c r="F108" s="1041"/>
      <c r="G108" s="34"/>
      <c r="H108" s="233"/>
      <c r="I108" s="938"/>
      <c r="J108" s="633"/>
      <c r="K108" s="406"/>
      <c r="L108" s="1194"/>
      <c r="M108" s="1144"/>
      <c r="N108" s="1061"/>
      <c r="O108" s="1061"/>
      <c r="P108" s="1061"/>
      <c r="Q108" s="1061"/>
      <c r="R108" s="1061"/>
      <c r="S108" s="1061"/>
      <c r="T108" s="1061"/>
    </row>
    <row r="109" ht="15.75" customHeight="1">
      <c r="A109" s="457"/>
      <c r="B109" s="41"/>
      <c r="C109" s="22"/>
      <c r="D109" s="498"/>
      <c r="E109" s="677"/>
      <c r="F109" s="677"/>
      <c r="G109" s="534"/>
      <c r="H109" s="1102"/>
      <c r="I109" s="1069"/>
      <c r="J109" s="1103"/>
      <c r="K109" s="949"/>
      <c r="L109" s="1144"/>
      <c r="M109" s="1144"/>
      <c r="N109" s="1061"/>
      <c r="O109" s="1061"/>
      <c r="P109" s="1061"/>
      <c r="Q109" s="1061"/>
      <c r="R109" s="1061"/>
      <c r="S109" s="1061"/>
      <c r="T109" s="1061"/>
    </row>
    <row r="110" ht="15.75" customHeight="1">
      <c r="A110" s="457"/>
      <c r="B110" s="406"/>
      <c r="C110" s="598"/>
      <c r="D110" s="445"/>
      <c r="E110" s="710"/>
      <c r="F110" s="710"/>
      <c r="G110" s="414"/>
      <c r="H110" s="749"/>
      <c r="I110" s="1065"/>
      <c r="J110" s="1104"/>
      <c r="K110" s="710"/>
      <c r="L110" s="801"/>
      <c r="M110" s="1144"/>
      <c r="N110" s="1061"/>
      <c r="O110" s="1061"/>
      <c r="P110" s="1061"/>
      <c r="Q110" s="1061"/>
      <c r="R110" s="1061"/>
      <c r="S110" s="1061"/>
      <c r="T110" s="1061"/>
    </row>
    <row r="111" ht="15.75" customHeight="1">
      <c r="A111" s="457"/>
      <c r="B111" s="23"/>
      <c r="C111" s="1126"/>
      <c r="D111" s="28"/>
      <c r="E111" s="1128"/>
      <c r="F111" s="1128"/>
      <c r="G111" s="471"/>
      <c r="H111" s="1195"/>
      <c r="I111" s="1129"/>
      <c r="J111" s="1130"/>
      <c r="K111" s="717"/>
      <c r="L111" s="801"/>
      <c r="M111" s="801"/>
      <c r="N111" s="1061"/>
      <c r="O111" s="1061"/>
      <c r="P111" s="1061"/>
      <c r="Q111" s="1061"/>
      <c r="R111" s="1061"/>
      <c r="S111" s="1061"/>
      <c r="T111" s="1061"/>
    </row>
    <row r="112" ht="15.75" customHeight="1">
      <c r="A112" s="457"/>
      <c r="B112" s="163"/>
      <c r="C112" s="1126"/>
      <c r="D112" s="1196"/>
      <c r="E112" s="1197"/>
      <c r="F112" s="1197"/>
      <c r="G112" s="43"/>
      <c r="H112" s="43"/>
      <c r="I112" s="1129"/>
      <c r="J112" s="1130"/>
      <c r="K112" s="717"/>
      <c r="L112" s="1091"/>
      <c r="M112" s="1091"/>
      <c r="N112" s="1061"/>
      <c r="O112" s="1061"/>
      <c r="P112" s="1061"/>
      <c r="Q112" s="1061"/>
      <c r="R112" s="1061"/>
      <c r="S112" s="1061"/>
      <c r="T112" s="1061"/>
    </row>
    <row r="113" ht="15.75" customHeight="1">
      <c r="A113" s="457"/>
      <c r="B113" s="163"/>
      <c r="C113" s="1126"/>
      <c r="D113" s="1196"/>
      <c r="E113" s="1197"/>
      <c r="F113" s="1197"/>
      <c r="G113" s="43"/>
      <c r="H113" s="43"/>
      <c r="I113" s="1129"/>
      <c r="J113" s="1130"/>
      <c r="K113" s="1198"/>
      <c r="L113" s="1199"/>
      <c r="M113" s="1144"/>
      <c r="N113" s="1061"/>
      <c r="O113" s="1061"/>
      <c r="P113" s="1061"/>
      <c r="Q113" s="1061"/>
      <c r="R113" s="1061"/>
      <c r="S113" s="1061"/>
      <c r="T113" s="1061"/>
    </row>
    <row r="114" ht="15.75" customHeight="1">
      <c r="A114" s="457"/>
      <c r="B114" s="163"/>
      <c r="C114" s="1126"/>
      <c r="D114" s="1196"/>
      <c r="E114" s="1197"/>
      <c r="F114" s="1197"/>
      <c r="G114" s="43"/>
      <c r="H114" s="43"/>
      <c r="I114" s="1129"/>
      <c r="J114" s="1130"/>
      <c r="K114" s="1198"/>
      <c r="L114" s="1199"/>
      <c r="M114" s="1144"/>
      <c r="N114" s="1061"/>
      <c r="O114" s="1061"/>
      <c r="P114" s="1061"/>
      <c r="Q114" s="1061"/>
      <c r="R114" s="1061"/>
      <c r="S114" s="1061"/>
      <c r="T114" s="1061"/>
    </row>
    <row r="115" ht="15.75" customHeight="1">
      <c r="A115" s="430"/>
      <c r="B115" s="163"/>
      <c r="C115" s="1126"/>
      <c r="D115" s="1196"/>
      <c r="E115" s="1197"/>
      <c r="F115" s="1197"/>
      <c r="G115" s="43"/>
      <c r="H115" s="43"/>
      <c r="I115" s="1129"/>
      <c r="J115" s="1130"/>
      <c r="K115" s="1198"/>
      <c r="L115" s="1194"/>
      <c r="M115" s="1144"/>
      <c r="N115" s="1061"/>
      <c r="O115" s="1061"/>
      <c r="P115" s="1061"/>
      <c r="Q115" s="1061"/>
      <c r="R115" s="1061"/>
      <c r="S115" s="1061"/>
      <c r="T115" s="1061"/>
    </row>
    <row r="116" ht="15.75" customHeight="1">
      <c r="A116" s="164"/>
      <c r="B116" s="164"/>
      <c r="C116" s="9"/>
      <c r="D116" s="9"/>
      <c r="E116" s="164"/>
      <c r="F116" s="164"/>
      <c r="G116" s="164"/>
      <c r="H116" s="164"/>
      <c r="I116" s="776"/>
      <c r="J116" s="652"/>
      <c r="K116" s="164"/>
      <c r="L116" s="1144"/>
      <c r="M116" s="1144"/>
      <c r="N116" s="801"/>
      <c r="O116" s="801"/>
      <c r="P116" s="801"/>
      <c r="Q116" s="801"/>
      <c r="R116" s="801"/>
      <c r="S116" s="801"/>
      <c r="T116" s="801"/>
    </row>
    <row r="117" ht="15.75" customHeight="1">
      <c r="A117" s="159" t="s">
        <v>196</v>
      </c>
      <c r="B117" s="1200">
        <f>IFERROR(__xludf.DUMMYFUNCTION("COUNTUNIQUE(B8:B115)"),70.0)</f>
        <v>70</v>
      </c>
      <c r="C117" s="1201"/>
      <c r="D117" s="1201"/>
      <c r="E117" s="1201"/>
      <c r="F117" s="1201"/>
      <c r="G117" s="1108"/>
      <c r="H117" s="1108"/>
      <c r="I117" s="781"/>
      <c r="J117" s="1202"/>
      <c r="K117" s="1203"/>
      <c r="L117" s="801"/>
      <c r="M117" s="1144"/>
      <c r="N117" s="1101"/>
      <c r="O117" s="1101"/>
      <c r="P117" s="1101"/>
      <c r="Q117" s="1101"/>
      <c r="R117" s="1101"/>
      <c r="S117" s="1101"/>
      <c r="T117" s="1101"/>
    </row>
    <row r="118" ht="15.75" customHeight="1">
      <c r="A118" s="164"/>
      <c r="B118" s="1200"/>
      <c r="C118" s="1201"/>
      <c r="D118" s="1201"/>
      <c r="E118" s="1201"/>
      <c r="F118" s="1201"/>
      <c r="G118" s="1108"/>
      <c r="H118" s="1108"/>
      <c r="I118" s="781"/>
      <c r="J118" s="1202"/>
      <c r="K118" s="1203"/>
      <c r="L118" s="801"/>
      <c r="M118" s="801"/>
      <c r="N118" s="947"/>
      <c r="O118" s="947"/>
      <c r="P118" s="947"/>
      <c r="Q118" s="947"/>
      <c r="R118" s="947"/>
      <c r="S118" s="947"/>
      <c r="T118" s="947"/>
    </row>
    <row r="119" ht="15.75" customHeight="1">
      <c r="A119" s="164"/>
      <c r="B119" s="164"/>
      <c r="C119" s="9"/>
      <c r="D119" s="9"/>
      <c r="E119" s="164"/>
      <c r="F119" s="164"/>
      <c r="G119" s="164"/>
      <c r="H119" s="164"/>
      <c r="I119" s="776"/>
      <c r="J119" s="652"/>
      <c r="K119" s="1203"/>
      <c r="L119" s="1091"/>
      <c r="M119" s="1091"/>
      <c r="N119" s="1101"/>
      <c r="O119" s="1101"/>
      <c r="P119" s="1101"/>
      <c r="Q119" s="1101"/>
      <c r="R119" s="1101"/>
      <c r="S119" s="1101"/>
      <c r="T119" s="1101"/>
    </row>
    <row r="120" ht="15.75" customHeight="1">
      <c r="A120" s="164"/>
      <c r="B120" s="164"/>
      <c r="C120" s="9"/>
      <c r="D120" s="9"/>
      <c r="E120" s="164"/>
      <c r="F120" s="164"/>
      <c r="G120" s="164"/>
      <c r="H120" s="164"/>
      <c r="I120" s="776"/>
      <c r="J120" s="652"/>
      <c r="K120" s="1203"/>
      <c r="L120" s="1091"/>
      <c r="M120" s="1091"/>
      <c r="N120" s="1204"/>
      <c r="O120" s="1204"/>
      <c r="P120" s="1204"/>
      <c r="Q120" s="1204"/>
      <c r="R120" s="1204"/>
      <c r="S120" s="1204"/>
      <c r="T120" s="1204"/>
    </row>
    <row r="121" ht="15.75" customHeight="1">
      <c r="A121" s="164"/>
      <c r="B121" s="164"/>
      <c r="C121" s="9"/>
      <c r="D121" s="9"/>
      <c r="E121" s="164"/>
      <c r="F121" s="164"/>
      <c r="G121" s="164"/>
      <c r="H121" s="164"/>
      <c r="I121" s="776"/>
      <c r="J121" s="652"/>
      <c r="K121" s="1203"/>
      <c r="L121" s="1091"/>
      <c r="M121" s="1091"/>
      <c r="N121" s="801"/>
      <c r="O121" s="801"/>
      <c r="P121" s="801"/>
      <c r="Q121" s="801"/>
      <c r="R121" s="801"/>
      <c r="S121" s="801"/>
      <c r="T121" s="801"/>
    </row>
    <row r="122" ht="15.75" customHeight="1">
      <c r="A122" s="164"/>
      <c r="B122" s="164"/>
      <c r="C122" s="9"/>
      <c r="D122" s="9"/>
      <c r="E122" s="164"/>
      <c r="F122" s="164"/>
      <c r="G122" s="164"/>
      <c r="H122" s="164"/>
      <c r="I122" s="776"/>
      <c r="J122" s="652"/>
      <c r="K122" s="1203"/>
      <c r="L122" s="1091"/>
      <c r="M122" s="1091"/>
      <c r="N122" s="1144"/>
      <c r="O122" s="1101"/>
      <c r="P122" s="1101"/>
      <c r="Q122" s="1101"/>
      <c r="R122" s="1101"/>
      <c r="S122" s="1101"/>
      <c r="T122" s="1101"/>
    </row>
    <row r="123" ht="15.75" customHeight="1">
      <c r="A123" s="164"/>
      <c r="B123" s="164"/>
      <c r="C123" s="9"/>
      <c r="D123" s="9"/>
      <c r="E123" s="164"/>
      <c r="F123" s="164"/>
      <c r="G123" s="164"/>
      <c r="H123" s="164"/>
      <c r="I123" s="776"/>
      <c r="J123" s="652"/>
      <c r="K123" s="1203"/>
      <c r="L123" s="947"/>
      <c r="M123" s="947"/>
      <c r="N123" s="1144"/>
      <c r="O123" s="1144"/>
      <c r="P123" s="1144"/>
      <c r="Q123" s="1144"/>
      <c r="R123" s="1144"/>
      <c r="S123" s="1144"/>
      <c r="T123" s="1144"/>
    </row>
    <row r="124" ht="15.75" customHeight="1">
      <c r="A124" s="164"/>
      <c r="B124" s="164"/>
      <c r="C124" s="9"/>
      <c r="D124" s="9"/>
      <c r="E124" s="164"/>
      <c r="F124" s="164"/>
      <c r="G124" s="164"/>
      <c r="H124" s="164"/>
      <c r="I124" s="776"/>
      <c r="J124" s="652"/>
      <c r="K124" s="1203"/>
      <c r="L124" s="1091"/>
      <c r="M124" s="1091"/>
      <c r="N124" s="1144"/>
      <c r="O124" s="1144"/>
      <c r="P124" s="1144"/>
      <c r="Q124" s="1144"/>
      <c r="R124" s="1144"/>
      <c r="S124" s="1144"/>
      <c r="T124" s="1144"/>
    </row>
    <row r="125" ht="15.75" customHeight="1">
      <c r="A125" s="164"/>
      <c r="B125" s="164"/>
      <c r="C125" s="9"/>
      <c r="D125" s="9"/>
      <c r="E125" s="164"/>
      <c r="F125" s="164"/>
      <c r="G125" s="164"/>
      <c r="H125" s="164"/>
      <c r="I125" s="776"/>
      <c r="J125" s="652"/>
      <c r="K125" s="1203"/>
      <c r="L125" s="947"/>
      <c r="M125" s="947"/>
      <c r="N125" s="801"/>
      <c r="O125" s="801"/>
      <c r="P125" s="801"/>
      <c r="Q125" s="801"/>
      <c r="R125" s="801"/>
      <c r="S125" s="801"/>
      <c r="T125" s="801"/>
    </row>
    <row r="126" ht="15.75" customHeight="1">
      <c r="A126" s="164"/>
      <c r="B126" s="164"/>
      <c r="C126" s="9"/>
      <c r="D126" s="9"/>
      <c r="E126" s="164"/>
      <c r="F126" s="164"/>
      <c r="G126" s="164"/>
      <c r="H126" s="164"/>
      <c r="I126" s="776"/>
      <c r="J126" s="652"/>
      <c r="K126" s="1203"/>
      <c r="L126" s="947"/>
      <c r="M126" s="947"/>
      <c r="N126" s="801"/>
      <c r="O126" s="801"/>
      <c r="P126" s="801"/>
      <c r="Q126" s="801"/>
      <c r="R126" s="801"/>
      <c r="S126" s="801"/>
      <c r="T126" s="801"/>
    </row>
    <row r="127" ht="15.75" customHeight="1">
      <c r="A127" s="164"/>
      <c r="B127" s="1200"/>
      <c r="C127" s="1201"/>
      <c r="D127" s="1201"/>
      <c r="E127" s="1201"/>
      <c r="F127" s="1201"/>
      <c r="G127" s="1108"/>
      <c r="H127" s="1108"/>
      <c r="I127" s="781"/>
      <c r="J127" s="1202"/>
      <c r="K127" s="1203"/>
      <c r="L127" s="801"/>
      <c r="M127" s="801"/>
      <c r="N127" s="1091"/>
      <c r="O127" s="1091"/>
      <c r="P127" s="1091"/>
      <c r="Q127" s="1091"/>
      <c r="R127" s="1091"/>
      <c r="S127" s="1091"/>
      <c r="T127" s="1091"/>
    </row>
    <row r="128" ht="15.75" customHeight="1">
      <c r="A128" s="164"/>
      <c r="B128" s="1200"/>
      <c r="C128" s="1201"/>
      <c r="D128" s="1201"/>
      <c r="E128" s="1201"/>
      <c r="F128" s="1201"/>
      <c r="G128" s="1108"/>
      <c r="H128" s="1108"/>
      <c r="I128" s="781"/>
      <c r="J128" s="1202"/>
      <c r="K128" s="1203"/>
      <c r="L128" s="801"/>
      <c r="M128" s="801"/>
      <c r="N128" s="1091"/>
      <c r="O128" s="1091"/>
      <c r="P128" s="1091"/>
      <c r="Q128" s="1091"/>
      <c r="R128" s="1091"/>
      <c r="S128" s="1091"/>
      <c r="T128" s="1091"/>
    </row>
    <row r="129" ht="15.75" customHeight="1">
      <c r="D129" s="198"/>
      <c r="N129" s="1091"/>
      <c r="O129" s="1091"/>
      <c r="P129" s="1091"/>
      <c r="Q129" s="1091"/>
      <c r="R129" s="1091"/>
      <c r="S129" s="1091"/>
      <c r="T129" s="1091"/>
    </row>
    <row r="130" ht="15.75" customHeight="1">
      <c r="D130" s="198"/>
      <c r="N130" s="1091"/>
      <c r="O130" s="1091"/>
      <c r="P130" s="1091"/>
      <c r="Q130" s="1091"/>
      <c r="R130" s="1091"/>
      <c r="S130" s="1091"/>
      <c r="T130" s="1091"/>
    </row>
    <row r="131" ht="15.75" customHeight="1">
      <c r="D131" s="198"/>
      <c r="N131" s="947"/>
      <c r="O131" s="947"/>
      <c r="P131" s="947"/>
      <c r="Q131" s="947"/>
      <c r="R131" s="947"/>
      <c r="S131" s="947"/>
      <c r="T131" s="947"/>
    </row>
    <row r="132" ht="15.75" customHeight="1">
      <c r="D132" s="198"/>
      <c r="N132" s="1091"/>
      <c r="O132" s="1091"/>
      <c r="P132" s="1091"/>
      <c r="Q132" s="1091"/>
      <c r="R132" s="1091"/>
      <c r="S132" s="1091"/>
      <c r="T132" s="1091"/>
    </row>
    <row r="133" ht="15.75" customHeight="1">
      <c r="D133" s="198"/>
      <c r="N133" s="947"/>
      <c r="O133" s="947"/>
      <c r="P133" s="947"/>
      <c r="Q133" s="947"/>
      <c r="R133" s="947"/>
      <c r="S133" s="947"/>
      <c r="T133" s="947"/>
    </row>
    <row r="134" ht="15.75" customHeight="1">
      <c r="D134" s="198"/>
      <c r="N134" s="947"/>
      <c r="O134" s="947"/>
      <c r="P134" s="947"/>
      <c r="Q134" s="947"/>
      <c r="R134" s="947"/>
      <c r="S134" s="947"/>
      <c r="T134" s="947"/>
    </row>
    <row r="135" ht="15.75" customHeight="1">
      <c r="D135" s="198"/>
      <c r="N135" s="801"/>
      <c r="O135" s="801"/>
      <c r="P135" s="801"/>
      <c r="Q135" s="801"/>
      <c r="R135" s="801"/>
      <c r="S135" s="801"/>
      <c r="T135" s="801"/>
    </row>
    <row r="136" ht="15.75" customHeight="1">
      <c r="D136" s="198"/>
      <c r="N136" s="801"/>
      <c r="O136" s="801"/>
      <c r="P136" s="801"/>
      <c r="Q136" s="801"/>
      <c r="R136" s="801"/>
      <c r="S136" s="801"/>
      <c r="T136" s="801"/>
    </row>
  </sheetData>
  <mergeCells count="11">
    <mergeCell ref="A78:A85"/>
    <mergeCell ref="A88:A95"/>
    <mergeCell ref="A98:A105"/>
    <mergeCell ref="A108:A115"/>
    <mergeCell ref="A8:A15"/>
    <mergeCell ref="A18:A25"/>
    <mergeCell ref="A28:A35"/>
    <mergeCell ref="A38:A45"/>
    <mergeCell ref="A48:A55"/>
    <mergeCell ref="A58:A65"/>
    <mergeCell ref="A68:A75"/>
  </mergeCells>
  <printOptions/>
  <pageMargins bottom="0.75" footer="0.0" header="0.0" left="0.7" right="0.7" top="0.75"/>
  <pageSetup paperSize="9" orientation="portrait"/>
  <drawing r:id="rId2"/>
  <legacyDrawing r:id="rId3"/>
  <tableParts count="65">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0.25"/>
    <col customWidth="1" min="2" max="2" width="17.75"/>
    <col customWidth="1" min="3" max="6" width="8.88"/>
    <col customWidth="1" min="7" max="7" width="22.0"/>
    <col customWidth="1" min="8" max="8" width="25.63"/>
    <col customWidth="1" min="10" max="10" width="19.88"/>
    <col customWidth="1" min="11" max="11" width="17.0"/>
    <col customWidth="1" min="12" max="12" width="27.25"/>
  </cols>
  <sheetData>
    <row r="1">
      <c r="A1" s="475" t="s">
        <v>832</v>
      </c>
      <c r="B1" s="476" t="s">
        <v>833</v>
      </c>
      <c r="C1" s="477" t="s">
        <v>834</v>
      </c>
      <c r="D1" s="478" t="s">
        <v>835</v>
      </c>
      <c r="E1" s="478" t="s">
        <v>836</v>
      </c>
      <c r="F1" s="478" t="s">
        <v>837</v>
      </c>
      <c r="G1" s="476" t="s">
        <v>838</v>
      </c>
      <c r="H1" s="479" t="s">
        <v>724</v>
      </c>
      <c r="I1" s="480"/>
      <c r="J1" s="733" t="s">
        <v>839</v>
      </c>
      <c r="K1" s="1205" t="s">
        <v>840</v>
      </c>
      <c r="L1" s="479" t="s">
        <v>841</v>
      </c>
    </row>
    <row r="2">
      <c r="A2" s="657" t="s">
        <v>2149</v>
      </c>
      <c r="B2" s="233" t="s">
        <v>65</v>
      </c>
      <c r="C2" s="621" t="s">
        <v>851</v>
      </c>
      <c r="D2" s="1206"/>
      <c r="E2" s="1207"/>
      <c r="F2" s="1207"/>
      <c r="G2" s="1207" t="s">
        <v>1699</v>
      </c>
      <c r="H2" s="1208" t="s">
        <v>1700</v>
      </c>
      <c r="I2" s="483"/>
      <c r="J2" s="492">
        <v>43833.0</v>
      </c>
      <c r="K2" s="1209"/>
      <c r="L2" s="487"/>
    </row>
    <row r="3">
      <c r="A3" s="457"/>
      <c r="B3" s="232" t="s">
        <v>83</v>
      </c>
      <c r="C3" s="1210" t="s">
        <v>851</v>
      </c>
      <c r="D3" s="1211"/>
      <c r="E3" s="1212"/>
      <c r="F3" s="1212"/>
      <c r="G3" s="1212" t="s">
        <v>2150</v>
      </c>
      <c r="H3" s="1213" t="s">
        <v>2151</v>
      </c>
      <c r="I3" s="483"/>
      <c r="J3" s="492">
        <v>43833.0</v>
      </c>
      <c r="K3" s="1209"/>
      <c r="L3" s="487"/>
    </row>
    <row r="4">
      <c r="A4" s="457"/>
      <c r="B4" s="232" t="s">
        <v>101</v>
      </c>
      <c r="C4" s="1210" t="s">
        <v>851</v>
      </c>
      <c r="D4" s="1211"/>
      <c r="E4" s="1212"/>
      <c r="F4" s="1212"/>
      <c r="G4" s="1212" t="s">
        <v>2150</v>
      </c>
      <c r="H4" s="1213" t="s">
        <v>2151</v>
      </c>
      <c r="I4" s="483"/>
      <c r="J4" s="492">
        <v>43864.0</v>
      </c>
      <c r="K4" s="1209"/>
      <c r="L4" s="487"/>
    </row>
    <row r="5">
      <c r="A5" s="457"/>
      <c r="B5" s="589" t="s">
        <v>119</v>
      </c>
      <c r="C5" s="630" t="s">
        <v>851</v>
      </c>
      <c r="D5" s="1214"/>
      <c r="E5" s="1208"/>
      <c r="F5" s="1208"/>
      <c r="G5" s="1208" t="s">
        <v>2152</v>
      </c>
      <c r="H5" s="1214" t="s">
        <v>2153</v>
      </c>
      <c r="I5" s="1215" t="s">
        <v>2154</v>
      </c>
      <c r="J5" s="492">
        <v>44634.0</v>
      </c>
      <c r="K5" s="1209"/>
      <c r="L5" s="487"/>
    </row>
    <row r="6">
      <c r="A6" s="457"/>
      <c r="B6" s="232" t="s">
        <v>136</v>
      </c>
      <c r="C6" s="1216" t="s">
        <v>851</v>
      </c>
      <c r="D6" s="1211"/>
      <c r="E6" s="1217"/>
      <c r="F6" s="1217"/>
      <c r="G6" s="1217" t="s">
        <v>1492</v>
      </c>
      <c r="H6" s="1218" t="s">
        <v>1493</v>
      </c>
      <c r="I6" s="1215" t="s">
        <v>2155</v>
      </c>
      <c r="J6" s="492">
        <v>44977.0</v>
      </c>
      <c r="K6" s="1209"/>
      <c r="L6" s="487"/>
    </row>
    <row r="7">
      <c r="A7" s="457"/>
      <c r="B7" s="157"/>
      <c r="C7" s="630"/>
      <c r="D7" s="1211"/>
      <c r="E7" s="1217"/>
      <c r="F7" s="1217"/>
      <c r="G7" s="1219"/>
      <c r="H7" s="642"/>
      <c r="I7" s="1215"/>
      <c r="J7" s="492"/>
      <c r="K7" s="1209"/>
      <c r="L7" s="51"/>
    </row>
    <row r="8">
      <c r="A8" s="457"/>
      <c r="B8" s="157"/>
      <c r="C8" s="630"/>
      <c r="D8" s="1211"/>
      <c r="E8" s="1217"/>
      <c r="F8" s="1217"/>
      <c r="G8" s="1219"/>
      <c r="H8" s="642"/>
      <c r="I8" s="1215"/>
      <c r="J8" s="492"/>
      <c r="K8" s="1209"/>
      <c r="L8" s="51"/>
    </row>
    <row r="9">
      <c r="A9" s="430"/>
      <c r="B9" s="157"/>
      <c r="C9" s="630"/>
      <c r="D9" s="1211"/>
      <c r="E9" s="1217"/>
      <c r="F9" s="1217"/>
      <c r="G9" s="1219"/>
      <c r="H9" s="642"/>
      <c r="I9" s="1215"/>
      <c r="J9" s="492"/>
      <c r="K9" s="1209"/>
      <c r="L9" s="51"/>
    </row>
    <row r="10">
      <c r="A10" s="1220"/>
      <c r="B10" s="524"/>
      <c r="C10" s="526"/>
      <c r="D10" s="526"/>
      <c r="E10" s="524"/>
      <c r="F10" s="524"/>
      <c r="G10" s="524"/>
      <c r="H10" s="524"/>
      <c r="I10" s="1220"/>
      <c r="J10" s="1221"/>
      <c r="K10" s="1220"/>
      <c r="L10" s="1220"/>
    </row>
    <row r="11">
      <c r="A11" s="657" t="s">
        <v>2156</v>
      </c>
      <c r="B11" s="232" t="s">
        <v>66</v>
      </c>
      <c r="C11" s="1210" t="s">
        <v>851</v>
      </c>
      <c r="D11" s="1222"/>
      <c r="E11" s="509"/>
      <c r="F11" s="509"/>
      <c r="G11" s="509" t="s">
        <v>1498</v>
      </c>
      <c r="H11" s="1218" t="s">
        <v>1499</v>
      </c>
      <c r="I11" s="578"/>
      <c r="J11" s="492">
        <v>45002.0</v>
      </c>
      <c r="K11" s="1223"/>
      <c r="L11" s="1216"/>
    </row>
    <row r="12">
      <c r="A12" s="457"/>
      <c r="B12" s="232" t="s">
        <v>84</v>
      </c>
      <c r="C12" s="1210" t="s">
        <v>851</v>
      </c>
      <c r="D12" s="1224"/>
      <c r="E12" s="1213"/>
      <c r="F12" s="1213"/>
      <c r="G12" s="1213" t="s">
        <v>2157</v>
      </c>
      <c r="H12" s="1208" t="s">
        <v>2047</v>
      </c>
      <c r="I12" s="51"/>
      <c r="J12" s="492">
        <v>44565.0</v>
      </c>
      <c r="K12" s="1225"/>
      <c r="L12" s="1226"/>
    </row>
    <row r="13">
      <c r="A13" s="457"/>
      <c r="B13" s="1227" t="s">
        <v>102</v>
      </c>
      <c r="C13" s="509" t="s">
        <v>851</v>
      </c>
      <c r="D13" s="1211"/>
      <c r="E13" s="1212"/>
      <c r="F13" s="1212"/>
      <c r="G13" s="1212" t="s">
        <v>2158</v>
      </c>
      <c r="H13" s="1213" t="s">
        <v>2159</v>
      </c>
      <c r="I13" s="483"/>
      <c r="J13" s="492">
        <v>44802.0</v>
      </c>
      <c r="K13" s="1228"/>
      <c r="L13" s="1216"/>
    </row>
    <row r="14">
      <c r="A14" s="457"/>
      <c r="B14" s="232" t="s">
        <v>152</v>
      </c>
      <c r="C14" s="1216" t="s">
        <v>851</v>
      </c>
      <c r="D14" s="1229"/>
      <c r="E14" s="1217"/>
      <c r="F14" s="1217"/>
      <c r="G14" s="1217" t="s">
        <v>2160</v>
      </c>
      <c r="H14" s="1218" t="s">
        <v>2161</v>
      </c>
      <c r="I14" s="483"/>
      <c r="J14" s="492">
        <v>44956.0</v>
      </c>
      <c r="K14" s="1209"/>
      <c r="L14" s="578"/>
    </row>
    <row r="15">
      <c r="A15" s="457"/>
      <c r="B15" s="589" t="s">
        <v>120</v>
      </c>
      <c r="C15" s="630" t="s">
        <v>851</v>
      </c>
      <c r="D15" s="1206"/>
      <c r="E15" s="1207"/>
      <c r="F15" s="1207"/>
      <c r="G15" s="1207" t="s">
        <v>2162</v>
      </c>
      <c r="H15" s="1208" t="s">
        <v>2163</v>
      </c>
      <c r="I15" s="483"/>
      <c r="J15" s="492">
        <v>44294.0</v>
      </c>
      <c r="K15" s="1209"/>
      <c r="L15" s="483"/>
    </row>
    <row r="16">
      <c r="A16" s="457"/>
      <c r="B16" s="589" t="s">
        <v>2164</v>
      </c>
      <c r="C16" s="630" t="s">
        <v>851</v>
      </c>
      <c r="D16" s="646"/>
      <c r="E16" s="630"/>
      <c r="F16" s="630"/>
      <c r="G16" s="630" t="s">
        <v>2165</v>
      </c>
      <c r="H16" s="646" t="s">
        <v>2166</v>
      </c>
      <c r="I16" s="1215"/>
      <c r="J16" s="1230">
        <v>45343.0</v>
      </c>
      <c r="K16" s="1209"/>
      <c r="L16" s="483"/>
    </row>
    <row r="17">
      <c r="A17" s="457"/>
      <c r="B17" s="157"/>
      <c r="C17" s="1231"/>
      <c r="D17" s="1224"/>
      <c r="E17" s="1232"/>
      <c r="F17" s="1232"/>
      <c r="G17" s="1232"/>
      <c r="H17" s="1232"/>
      <c r="I17" s="1215"/>
      <c r="J17" s="492"/>
      <c r="K17" s="1233"/>
      <c r="L17" s="610"/>
    </row>
    <row r="18">
      <c r="A18" s="430"/>
      <c r="B18" s="157"/>
      <c r="C18" s="1231"/>
      <c r="D18" s="1224"/>
      <c r="E18" s="1232"/>
      <c r="F18" s="1232"/>
      <c r="G18" s="1232"/>
      <c r="H18" s="1232"/>
      <c r="I18" s="1215"/>
      <c r="J18" s="492"/>
      <c r="K18" s="1233"/>
      <c r="L18" s="610"/>
    </row>
    <row r="19">
      <c r="A19" s="1220"/>
      <c r="B19" s="524"/>
      <c r="C19" s="526"/>
      <c r="D19" s="526"/>
      <c r="E19" s="524"/>
      <c r="F19" s="524"/>
      <c r="G19" s="524"/>
      <c r="H19" s="524"/>
      <c r="I19" s="524"/>
      <c r="J19" s="526"/>
      <c r="K19" s="1220"/>
      <c r="L19" s="524"/>
    </row>
    <row r="20">
      <c r="A20" s="675" t="s">
        <v>2167</v>
      </c>
      <c r="B20" s="1234" t="s">
        <v>407</v>
      </c>
      <c r="C20" s="1235" t="s">
        <v>851</v>
      </c>
      <c r="D20" s="1236"/>
      <c r="E20" s="1237"/>
      <c r="F20" s="1237"/>
      <c r="G20" s="1237" t="s">
        <v>2168</v>
      </c>
      <c r="H20" s="1238" t="s">
        <v>2169</v>
      </c>
      <c r="I20" s="1239"/>
      <c r="J20" s="492">
        <v>43977.0</v>
      </c>
      <c r="K20" s="1209"/>
      <c r="L20" s="515"/>
    </row>
    <row r="21">
      <c r="A21" s="457"/>
      <c r="B21" s="1210" t="s">
        <v>432</v>
      </c>
      <c r="C21" s="1235" t="s">
        <v>851</v>
      </c>
      <c r="D21" s="1212"/>
      <c r="E21" s="1240"/>
      <c r="F21" s="1240"/>
      <c r="G21" s="1240" t="s">
        <v>2170</v>
      </c>
      <c r="H21" s="1213" t="s">
        <v>2171</v>
      </c>
      <c r="I21" s="1239"/>
      <c r="J21" s="492">
        <v>44440.0</v>
      </c>
      <c r="K21" s="1209"/>
      <c r="L21" s="483"/>
    </row>
    <row r="22">
      <c r="A22" s="457"/>
      <c r="B22" s="1210" t="s">
        <v>457</v>
      </c>
      <c r="C22" s="1235" t="s">
        <v>851</v>
      </c>
      <c r="D22" s="1241"/>
      <c r="E22" s="509"/>
      <c r="F22" s="509"/>
      <c r="G22" s="509" t="s">
        <v>2172</v>
      </c>
      <c r="H22" s="1213" t="s">
        <v>2173</v>
      </c>
      <c r="I22" s="1239"/>
      <c r="J22" s="492">
        <v>44798.0</v>
      </c>
      <c r="K22" s="1209"/>
      <c r="L22" s="483"/>
    </row>
    <row r="23">
      <c r="A23" s="457"/>
      <c r="B23" s="34" t="s">
        <v>482</v>
      </c>
      <c r="C23" s="1208" t="s">
        <v>851</v>
      </c>
      <c r="D23" s="1206"/>
      <c r="E23" s="1208"/>
      <c r="F23" s="1208"/>
      <c r="G23" s="1242" t="s">
        <v>2174</v>
      </c>
      <c r="H23" s="1243" t="s">
        <v>2175</v>
      </c>
      <c r="I23" s="1215" t="s">
        <v>2176</v>
      </c>
      <c r="J23" s="492">
        <v>43864.0</v>
      </c>
      <c r="K23" s="1209"/>
      <c r="L23" s="483"/>
    </row>
    <row r="24">
      <c r="A24" s="457"/>
      <c r="B24" s="1244" t="s">
        <v>507</v>
      </c>
      <c r="C24" s="1208" t="s">
        <v>851</v>
      </c>
      <c r="D24" s="1206"/>
      <c r="E24" s="667"/>
      <c r="F24" s="667"/>
      <c r="G24" s="474" t="s">
        <v>2017</v>
      </c>
      <c r="H24" s="260" t="s">
        <v>2018</v>
      </c>
      <c r="I24" s="1245"/>
      <c r="J24" s="492">
        <v>45519.0</v>
      </c>
      <c r="K24" s="1209"/>
      <c r="L24" s="511" t="s">
        <v>1182</v>
      </c>
      <c r="M24" s="489" t="s">
        <v>2019</v>
      </c>
    </row>
    <row r="25">
      <c r="A25" s="457"/>
      <c r="B25" s="1244"/>
      <c r="C25" s="1208"/>
      <c r="D25" s="1206"/>
      <c r="E25" s="667"/>
      <c r="F25" s="667"/>
      <c r="G25" s="474"/>
      <c r="H25" s="260"/>
      <c r="I25" s="1245"/>
      <c r="J25" s="492"/>
      <c r="K25" s="495"/>
      <c r="L25" s="491"/>
      <c r="M25" s="491"/>
    </row>
    <row r="26">
      <c r="A26" s="457"/>
      <c r="B26" s="1244"/>
      <c r="C26" s="1242"/>
      <c r="D26" s="1206"/>
      <c r="E26" s="667"/>
      <c r="F26" s="667"/>
      <c r="G26" s="474"/>
      <c r="H26" s="260"/>
      <c r="I26" s="1245"/>
      <c r="J26" s="492"/>
      <c r="K26" s="1209"/>
      <c r="L26" s="492"/>
    </row>
    <row r="27">
      <c r="A27" s="430"/>
      <c r="B27" s="1244"/>
      <c r="C27" s="1242"/>
      <c r="D27" s="1206"/>
      <c r="E27" s="667"/>
      <c r="F27" s="667"/>
      <c r="G27" s="474"/>
      <c r="H27" s="260"/>
      <c r="I27" s="1245"/>
      <c r="J27" s="492"/>
      <c r="K27" s="1233"/>
      <c r="L27" s="492"/>
    </row>
    <row r="28">
      <c r="A28" s="1246"/>
      <c r="B28" s="516"/>
      <c r="C28" s="519"/>
      <c r="D28" s="519"/>
      <c r="E28" s="516"/>
      <c r="F28" s="516"/>
      <c r="G28" s="516"/>
      <c r="H28" s="516"/>
      <c r="I28" s="516"/>
      <c r="J28" s="519"/>
      <c r="K28" s="1246"/>
      <c r="L28" s="1246"/>
    </row>
    <row r="29">
      <c r="A29" s="1247" t="s">
        <v>196</v>
      </c>
      <c r="B29" s="524">
        <f>IFERROR(__xludf.DUMMYFUNCTION("COUNTUNIQUE(B2:B28)"),16.0)</f>
        <v>16</v>
      </c>
      <c r="C29" s="526"/>
      <c r="D29" s="526"/>
      <c r="E29" s="524"/>
      <c r="F29" s="524"/>
      <c r="G29" s="524"/>
      <c r="H29" s="524"/>
      <c r="I29" s="524"/>
      <c r="J29" s="526"/>
      <c r="K29" s="524"/>
      <c r="L29" s="524"/>
    </row>
    <row r="30">
      <c r="J30" s="1050"/>
    </row>
    <row r="31">
      <c r="J31" s="1050"/>
    </row>
    <row r="32">
      <c r="J32" s="1050"/>
    </row>
    <row r="33">
      <c r="J33" s="1050"/>
    </row>
    <row r="34">
      <c r="J34" s="1050"/>
    </row>
    <row r="35">
      <c r="J35" s="1050"/>
    </row>
    <row r="36">
      <c r="J36" s="1050"/>
    </row>
    <row r="37">
      <c r="J37" s="1050"/>
    </row>
    <row r="38">
      <c r="J38" s="1050"/>
    </row>
    <row r="39">
      <c r="J39" s="1050"/>
    </row>
    <row r="40">
      <c r="J40" s="1050"/>
    </row>
    <row r="41">
      <c r="J41" s="1050"/>
    </row>
    <row r="42">
      <c r="J42" s="1050"/>
    </row>
    <row r="43">
      <c r="J43" s="1050"/>
    </row>
    <row r="44">
      <c r="J44" s="1050"/>
    </row>
    <row r="45">
      <c r="J45" s="1050"/>
    </row>
    <row r="46">
      <c r="J46" s="1050"/>
    </row>
    <row r="47">
      <c r="J47" s="1050"/>
    </row>
    <row r="48">
      <c r="J48" s="1050"/>
    </row>
    <row r="49">
      <c r="J49" s="1050"/>
    </row>
    <row r="50">
      <c r="J50" s="1050"/>
    </row>
    <row r="51">
      <c r="J51" s="1050"/>
    </row>
    <row r="52">
      <c r="J52" s="1050"/>
    </row>
    <row r="53">
      <c r="J53" s="1050"/>
    </row>
    <row r="54">
      <c r="J54" s="1050"/>
    </row>
    <row r="55">
      <c r="J55" s="1050"/>
    </row>
    <row r="56">
      <c r="J56" s="1050"/>
    </row>
    <row r="57">
      <c r="J57" s="1050"/>
    </row>
    <row r="58">
      <c r="J58" s="1050"/>
    </row>
    <row r="59">
      <c r="J59" s="1050"/>
    </row>
    <row r="60">
      <c r="J60" s="1050"/>
    </row>
    <row r="61">
      <c r="J61" s="1050"/>
    </row>
    <row r="62">
      <c r="J62" s="1050"/>
    </row>
    <row r="63">
      <c r="J63" s="1050"/>
    </row>
    <row r="64">
      <c r="J64" s="1050"/>
    </row>
    <row r="65">
      <c r="J65" s="1050"/>
    </row>
    <row r="66">
      <c r="J66" s="1050"/>
    </row>
    <row r="67">
      <c r="J67" s="1050"/>
    </row>
    <row r="68">
      <c r="J68" s="1050"/>
    </row>
    <row r="69">
      <c r="J69" s="1050"/>
    </row>
    <row r="70">
      <c r="J70" s="1050"/>
    </row>
    <row r="71">
      <c r="J71" s="1050"/>
    </row>
    <row r="72">
      <c r="J72" s="1050"/>
    </row>
    <row r="73">
      <c r="J73" s="1050"/>
    </row>
    <row r="74">
      <c r="J74" s="1050"/>
    </row>
    <row r="75">
      <c r="J75" s="1050"/>
    </row>
    <row r="76">
      <c r="J76" s="1050"/>
    </row>
    <row r="77">
      <c r="J77" s="1050"/>
    </row>
    <row r="78">
      <c r="J78" s="1050"/>
    </row>
    <row r="79">
      <c r="J79" s="1050"/>
    </row>
    <row r="80">
      <c r="J80" s="1050"/>
    </row>
    <row r="81">
      <c r="J81" s="1050"/>
    </row>
    <row r="82">
      <c r="J82" s="1050"/>
    </row>
    <row r="83">
      <c r="J83" s="1050"/>
    </row>
    <row r="84">
      <c r="J84" s="1050"/>
    </row>
    <row r="85">
      <c r="J85" s="1050"/>
    </row>
    <row r="86">
      <c r="J86" s="1050"/>
    </row>
    <row r="87">
      <c r="J87" s="1050"/>
    </row>
    <row r="88">
      <c r="J88" s="1050"/>
    </row>
    <row r="89">
      <c r="J89" s="1050"/>
    </row>
    <row r="90">
      <c r="J90" s="1050"/>
    </row>
    <row r="91">
      <c r="J91" s="1050"/>
    </row>
    <row r="92">
      <c r="J92" s="1050"/>
    </row>
    <row r="93">
      <c r="J93" s="1050"/>
    </row>
    <row r="94">
      <c r="J94" s="1050"/>
    </row>
    <row r="95">
      <c r="J95" s="1050"/>
    </row>
    <row r="96">
      <c r="J96" s="1050"/>
    </row>
    <row r="97">
      <c r="J97" s="1050"/>
    </row>
    <row r="98">
      <c r="J98" s="1050"/>
    </row>
    <row r="99">
      <c r="J99" s="1050"/>
    </row>
    <row r="100">
      <c r="J100" s="1050"/>
    </row>
    <row r="101">
      <c r="J101" s="1050"/>
    </row>
    <row r="102">
      <c r="J102" s="1050"/>
    </row>
    <row r="103">
      <c r="J103" s="1050"/>
    </row>
    <row r="104">
      <c r="J104" s="1050"/>
    </row>
    <row r="105">
      <c r="J105" s="1050"/>
    </row>
    <row r="106">
      <c r="J106" s="1050"/>
    </row>
    <row r="107">
      <c r="J107" s="1050"/>
    </row>
    <row r="108">
      <c r="J108" s="1050"/>
    </row>
    <row r="109">
      <c r="J109" s="1050"/>
    </row>
    <row r="110">
      <c r="J110" s="1050"/>
    </row>
    <row r="111">
      <c r="J111" s="1050"/>
    </row>
    <row r="112">
      <c r="J112" s="1050"/>
    </row>
    <row r="113">
      <c r="J113" s="1050"/>
    </row>
    <row r="114">
      <c r="J114" s="1050"/>
    </row>
    <row r="115">
      <c r="J115" s="1050"/>
    </row>
    <row r="116">
      <c r="J116" s="1050"/>
    </row>
    <row r="117">
      <c r="J117" s="1050"/>
    </row>
    <row r="118">
      <c r="J118" s="1050"/>
    </row>
    <row r="119">
      <c r="J119" s="1050"/>
    </row>
    <row r="120">
      <c r="J120" s="1050"/>
    </row>
    <row r="121">
      <c r="J121" s="1050"/>
    </row>
    <row r="122">
      <c r="J122" s="1050"/>
    </row>
    <row r="123">
      <c r="J123" s="1050"/>
    </row>
    <row r="124">
      <c r="J124" s="1050"/>
    </row>
    <row r="125">
      <c r="J125" s="1050"/>
    </row>
    <row r="126">
      <c r="J126" s="1050"/>
    </row>
    <row r="127">
      <c r="J127" s="1050"/>
    </row>
    <row r="128">
      <c r="J128" s="1050"/>
    </row>
    <row r="129">
      <c r="J129" s="1050"/>
    </row>
    <row r="130">
      <c r="J130" s="1050"/>
    </row>
    <row r="131">
      <c r="J131" s="1050"/>
    </row>
    <row r="132">
      <c r="J132" s="1050"/>
    </row>
    <row r="133">
      <c r="J133" s="1050"/>
    </row>
    <row r="134">
      <c r="J134" s="1050"/>
    </row>
    <row r="135">
      <c r="J135" s="1050"/>
    </row>
    <row r="136">
      <c r="J136" s="1050"/>
    </row>
    <row r="137">
      <c r="J137" s="1050"/>
    </row>
    <row r="138">
      <c r="J138" s="1050"/>
    </row>
    <row r="139">
      <c r="J139" s="1050"/>
    </row>
    <row r="140">
      <c r="J140" s="1050"/>
    </row>
    <row r="141">
      <c r="J141" s="1050"/>
    </row>
    <row r="142">
      <c r="J142" s="1050"/>
    </row>
    <row r="143">
      <c r="J143" s="1050"/>
    </row>
    <row r="144">
      <c r="J144" s="1050"/>
    </row>
    <row r="145">
      <c r="J145" s="1050"/>
    </row>
    <row r="146">
      <c r="J146" s="1050"/>
    </row>
    <row r="147">
      <c r="J147" s="1050"/>
    </row>
    <row r="148">
      <c r="J148" s="1050"/>
    </row>
    <row r="149">
      <c r="J149" s="1050"/>
    </row>
    <row r="150">
      <c r="J150" s="1050"/>
    </row>
    <row r="151">
      <c r="J151" s="1050"/>
    </row>
    <row r="152">
      <c r="J152" s="1050"/>
    </row>
    <row r="153">
      <c r="J153" s="1050"/>
    </row>
    <row r="154">
      <c r="J154" s="1050"/>
    </row>
    <row r="155">
      <c r="J155" s="1050"/>
    </row>
    <row r="156">
      <c r="J156" s="1050"/>
    </row>
    <row r="157">
      <c r="J157" s="1050"/>
    </row>
    <row r="158">
      <c r="J158" s="1050"/>
    </row>
    <row r="159">
      <c r="J159" s="1050"/>
    </row>
    <row r="160">
      <c r="J160" s="1050"/>
    </row>
    <row r="161">
      <c r="J161" s="1050"/>
    </row>
    <row r="162">
      <c r="J162" s="1050"/>
    </row>
    <row r="163">
      <c r="J163" s="1050"/>
    </row>
    <row r="164">
      <c r="J164" s="1050"/>
    </row>
    <row r="165">
      <c r="J165" s="1050"/>
    </row>
    <row r="166">
      <c r="J166" s="1050"/>
    </row>
    <row r="167">
      <c r="J167" s="1050"/>
    </row>
    <row r="168">
      <c r="J168" s="1050"/>
    </row>
    <row r="169">
      <c r="J169" s="1050"/>
    </row>
    <row r="170">
      <c r="J170" s="1050"/>
    </row>
    <row r="171">
      <c r="J171" s="1050"/>
    </row>
    <row r="172">
      <c r="J172" s="1050"/>
    </row>
    <row r="173">
      <c r="J173" s="1050"/>
    </row>
    <row r="174">
      <c r="J174" s="1050"/>
    </row>
    <row r="175">
      <c r="J175" s="1050"/>
    </row>
    <row r="176">
      <c r="J176" s="1050"/>
    </row>
    <row r="177">
      <c r="J177" s="1050"/>
    </row>
    <row r="178">
      <c r="J178" s="1050"/>
    </row>
    <row r="179">
      <c r="J179" s="1050"/>
    </row>
    <row r="180">
      <c r="J180" s="1050"/>
    </row>
    <row r="181">
      <c r="J181" s="1050"/>
    </row>
    <row r="182">
      <c r="J182" s="1050"/>
    </row>
    <row r="183">
      <c r="J183" s="1050"/>
    </row>
    <row r="184">
      <c r="J184" s="1050"/>
    </row>
    <row r="185">
      <c r="J185" s="1050"/>
    </row>
    <row r="186">
      <c r="J186" s="1050"/>
    </row>
    <row r="187">
      <c r="J187" s="1050"/>
    </row>
    <row r="188">
      <c r="J188" s="1050"/>
    </row>
    <row r="189">
      <c r="J189" s="1050"/>
    </row>
    <row r="190">
      <c r="J190" s="1050"/>
    </row>
    <row r="191">
      <c r="J191" s="1050"/>
    </row>
    <row r="192">
      <c r="J192" s="1050"/>
    </row>
    <row r="193">
      <c r="J193" s="1050"/>
    </row>
    <row r="194">
      <c r="J194" s="1050"/>
    </row>
    <row r="195">
      <c r="J195" s="1050"/>
    </row>
    <row r="196">
      <c r="J196" s="1050"/>
    </row>
    <row r="197">
      <c r="J197" s="1050"/>
    </row>
    <row r="198">
      <c r="J198" s="1050"/>
    </row>
    <row r="199">
      <c r="J199" s="1050"/>
    </row>
    <row r="200">
      <c r="J200" s="1050"/>
    </row>
    <row r="201">
      <c r="J201" s="1050"/>
    </row>
    <row r="202">
      <c r="J202" s="1050"/>
    </row>
    <row r="203">
      <c r="J203" s="1050"/>
    </row>
    <row r="204">
      <c r="J204" s="1050"/>
    </row>
    <row r="205">
      <c r="J205" s="1050"/>
    </row>
    <row r="206">
      <c r="J206" s="1050"/>
    </row>
    <row r="207">
      <c r="J207" s="1050"/>
    </row>
    <row r="208">
      <c r="J208" s="1050"/>
    </row>
    <row r="209">
      <c r="J209" s="1050"/>
    </row>
    <row r="210">
      <c r="J210" s="1050"/>
    </row>
    <row r="211">
      <c r="J211" s="1050"/>
    </row>
    <row r="212">
      <c r="J212" s="1050"/>
    </row>
    <row r="213">
      <c r="J213" s="1050"/>
    </row>
    <row r="214">
      <c r="J214" s="1050"/>
    </row>
    <row r="215">
      <c r="J215" s="1050"/>
    </row>
    <row r="216">
      <c r="J216" s="1050"/>
    </row>
    <row r="217">
      <c r="J217" s="1050"/>
    </row>
    <row r="218">
      <c r="J218" s="1050"/>
    </row>
    <row r="219">
      <c r="J219" s="1050"/>
    </row>
    <row r="220">
      <c r="J220" s="1050"/>
    </row>
    <row r="221">
      <c r="J221" s="1050"/>
    </row>
    <row r="222">
      <c r="J222" s="1050"/>
    </row>
    <row r="223">
      <c r="J223" s="1050"/>
    </row>
    <row r="224">
      <c r="J224" s="1050"/>
    </row>
    <row r="225">
      <c r="J225" s="1050"/>
    </row>
    <row r="226">
      <c r="J226" s="1050"/>
    </row>
    <row r="227">
      <c r="J227" s="1050"/>
    </row>
    <row r="228">
      <c r="J228" s="1050"/>
    </row>
    <row r="229">
      <c r="J229" s="1050"/>
    </row>
    <row r="230">
      <c r="J230" s="1050"/>
    </row>
    <row r="231">
      <c r="J231" s="1050"/>
    </row>
    <row r="232">
      <c r="J232" s="1050"/>
    </row>
    <row r="233">
      <c r="J233" s="1050"/>
    </row>
    <row r="234">
      <c r="J234" s="1050"/>
    </row>
    <row r="235">
      <c r="J235" s="1050"/>
    </row>
    <row r="236">
      <c r="J236" s="1050"/>
    </row>
    <row r="237">
      <c r="J237" s="1050"/>
    </row>
    <row r="238">
      <c r="J238" s="1050"/>
    </row>
    <row r="239">
      <c r="J239" s="1050"/>
    </row>
    <row r="240">
      <c r="J240" s="1050"/>
    </row>
    <row r="241">
      <c r="J241" s="1050"/>
    </row>
    <row r="242">
      <c r="J242" s="1050"/>
    </row>
    <row r="243">
      <c r="J243" s="1050"/>
    </row>
    <row r="244">
      <c r="J244" s="1050"/>
    </row>
    <row r="245">
      <c r="J245" s="1050"/>
    </row>
    <row r="246">
      <c r="J246" s="1050"/>
    </row>
    <row r="247">
      <c r="J247" s="1050"/>
    </row>
    <row r="248">
      <c r="J248" s="1050"/>
    </row>
    <row r="249">
      <c r="J249" s="1050"/>
    </row>
    <row r="250">
      <c r="J250" s="1050"/>
    </row>
    <row r="251">
      <c r="J251" s="1050"/>
    </row>
    <row r="252">
      <c r="J252" s="1050"/>
    </row>
    <row r="253">
      <c r="J253" s="1050"/>
    </row>
    <row r="254">
      <c r="J254" s="1050"/>
    </row>
    <row r="255">
      <c r="J255" s="1050"/>
    </row>
    <row r="256">
      <c r="J256" s="1050"/>
    </row>
    <row r="257">
      <c r="J257" s="1050"/>
    </row>
    <row r="258">
      <c r="J258" s="1050"/>
    </row>
    <row r="259">
      <c r="J259" s="1050"/>
    </row>
    <row r="260">
      <c r="J260" s="1050"/>
    </row>
    <row r="261">
      <c r="J261" s="1050"/>
    </row>
    <row r="262">
      <c r="J262" s="1050"/>
    </row>
    <row r="263">
      <c r="J263" s="1050"/>
    </row>
    <row r="264">
      <c r="J264" s="1050"/>
    </row>
    <row r="265">
      <c r="J265" s="1050"/>
    </row>
    <row r="266">
      <c r="J266" s="1050"/>
    </row>
    <row r="267">
      <c r="J267" s="1050"/>
    </row>
    <row r="268">
      <c r="J268" s="1050"/>
    </row>
    <row r="269">
      <c r="J269" s="1050"/>
    </row>
    <row r="270">
      <c r="J270" s="1050"/>
    </row>
    <row r="271">
      <c r="J271" s="1050"/>
    </row>
    <row r="272">
      <c r="J272" s="1050"/>
    </row>
    <row r="273">
      <c r="J273" s="1050"/>
    </row>
    <row r="274">
      <c r="J274" s="1050"/>
    </row>
    <row r="275">
      <c r="J275" s="1050"/>
    </row>
    <row r="276">
      <c r="J276" s="1050"/>
    </row>
    <row r="277">
      <c r="J277" s="1050"/>
    </row>
    <row r="278">
      <c r="J278" s="1050"/>
    </row>
    <row r="279">
      <c r="J279" s="1050"/>
    </row>
    <row r="280">
      <c r="J280" s="1050"/>
    </row>
    <row r="281">
      <c r="J281" s="1050"/>
    </row>
    <row r="282">
      <c r="J282" s="1050"/>
    </row>
    <row r="283">
      <c r="J283" s="1050"/>
    </row>
    <row r="284">
      <c r="J284" s="1050"/>
    </row>
    <row r="285">
      <c r="J285" s="1050"/>
    </row>
    <row r="286">
      <c r="J286" s="1050"/>
    </row>
    <row r="287">
      <c r="J287" s="1050"/>
    </row>
    <row r="288">
      <c r="J288" s="1050"/>
    </row>
    <row r="289">
      <c r="J289" s="1050"/>
    </row>
    <row r="290">
      <c r="J290" s="1050"/>
    </row>
    <row r="291">
      <c r="J291" s="1050"/>
    </row>
    <row r="292">
      <c r="J292" s="1050"/>
    </row>
    <row r="293">
      <c r="J293" s="1050"/>
    </row>
    <row r="294">
      <c r="J294" s="1050"/>
    </row>
    <row r="295">
      <c r="J295" s="1050"/>
    </row>
    <row r="296">
      <c r="J296" s="1050"/>
    </row>
    <row r="297">
      <c r="J297" s="1050"/>
    </row>
    <row r="298">
      <c r="J298" s="1050"/>
    </row>
    <row r="299">
      <c r="J299" s="1050"/>
    </row>
    <row r="300">
      <c r="J300" s="1050"/>
    </row>
    <row r="301">
      <c r="J301" s="1050"/>
    </row>
    <row r="302">
      <c r="J302" s="1050"/>
    </row>
    <row r="303">
      <c r="J303" s="1050"/>
    </row>
    <row r="304">
      <c r="J304" s="1050"/>
    </row>
    <row r="305">
      <c r="J305" s="1050"/>
    </row>
    <row r="306">
      <c r="J306" s="1050"/>
    </row>
    <row r="307">
      <c r="J307" s="1050"/>
    </row>
    <row r="308">
      <c r="J308" s="1050"/>
    </row>
    <row r="309">
      <c r="J309" s="1050"/>
    </row>
    <row r="310">
      <c r="J310" s="1050"/>
    </row>
    <row r="311">
      <c r="J311" s="1050"/>
    </row>
    <row r="312">
      <c r="J312" s="1050"/>
    </row>
    <row r="313">
      <c r="J313" s="1050"/>
    </row>
    <row r="314">
      <c r="J314" s="1050"/>
    </row>
    <row r="315">
      <c r="J315" s="1050"/>
    </row>
    <row r="316">
      <c r="J316" s="1050"/>
    </row>
    <row r="317">
      <c r="J317" s="1050"/>
    </row>
    <row r="318">
      <c r="J318" s="1050"/>
    </row>
    <row r="319">
      <c r="J319" s="1050"/>
    </row>
    <row r="320">
      <c r="J320" s="1050"/>
    </row>
    <row r="321">
      <c r="J321" s="1050"/>
    </row>
    <row r="322">
      <c r="J322" s="1050"/>
    </row>
    <row r="323">
      <c r="J323" s="1050"/>
    </row>
    <row r="324">
      <c r="J324" s="1050"/>
    </row>
    <row r="325">
      <c r="J325" s="1050"/>
    </row>
    <row r="326">
      <c r="J326" s="1050"/>
    </row>
    <row r="327">
      <c r="J327" s="1050"/>
    </row>
    <row r="328">
      <c r="J328" s="1050"/>
    </row>
    <row r="329">
      <c r="J329" s="1050"/>
    </row>
    <row r="330">
      <c r="J330" s="1050"/>
    </row>
    <row r="331">
      <c r="J331" s="1050"/>
    </row>
    <row r="332">
      <c r="J332" s="1050"/>
    </row>
    <row r="333">
      <c r="J333" s="1050"/>
    </row>
    <row r="334">
      <c r="J334" s="1050"/>
    </row>
    <row r="335">
      <c r="J335" s="1050"/>
    </row>
    <row r="336">
      <c r="J336" s="1050"/>
    </row>
    <row r="337">
      <c r="J337" s="1050"/>
    </row>
    <row r="338">
      <c r="J338" s="1050"/>
    </row>
    <row r="339">
      <c r="J339" s="1050"/>
    </row>
    <row r="340">
      <c r="J340" s="1050"/>
    </row>
    <row r="341">
      <c r="J341" s="1050"/>
    </row>
    <row r="342">
      <c r="J342" s="1050"/>
    </row>
    <row r="343">
      <c r="J343" s="1050"/>
    </row>
    <row r="344">
      <c r="J344" s="1050"/>
    </row>
    <row r="345">
      <c r="J345" s="1050"/>
    </row>
    <row r="346">
      <c r="J346" s="1050"/>
    </row>
    <row r="347">
      <c r="J347" s="1050"/>
    </row>
    <row r="348">
      <c r="J348" s="1050"/>
    </row>
    <row r="349">
      <c r="J349" s="1050"/>
    </row>
    <row r="350">
      <c r="J350" s="1050"/>
    </row>
    <row r="351">
      <c r="J351" s="1050"/>
    </row>
    <row r="352">
      <c r="J352" s="1050"/>
    </row>
    <row r="353">
      <c r="J353" s="1050"/>
    </row>
    <row r="354">
      <c r="J354" s="1050"/>
    </row>
    <row r="355">
      <c r="J355" s="1050"/>
    </row>
    <row r="356">
      <c r="J356" s="1050"/>
    </row>
    <row r="357">
      <c r="J357" s="1050"/>
    </row>
    <row r="358">
      <c r="J358" s="1050"/>
    </row>
    <row r="359">
      <c r="J359" s="1050"/>
    </row>
    <row r="360">
      <c r="J360" s="1050"/>
    </row>
    <row r="361">
      <c r="J361" s="1050"/>
    </row>
    <row r="362">
      <c r="J362" s="1050"/>
    </row>
    <row r="363">
      <c r="J363" s="1050"/>
    </row>
    <row r="364">
      <c r="J364" s="1050"/>
    </row>
    <row r="365">
      <c r="J365" s="1050"/>
    </row>
    <row r="366">
      <c r="J366" s="1050"/>
    </row>
    <row r="367">
      <c r="J367" s="1050"/>
    </row>
    <row r="368">
      <c r="J368" s="1050"/>
    </row>
    <row r="369">
      <c r="J369" s="1050"/>
    </row>
    <row r="370">
      <c r="J370" s="1050"/>
    </row>
    <row r="371">
      <c r="J371" s="1050"/>
    </row>
    <row r="372">
      <c r="J372" s="1050"/>
    </row>
    <row r="373">
      <c r="J373" s="1050"/>
    </row>
    <row r="374">
      <c r="J374" s="1050"/>
    </row>
    <row r="375">
      <c r="J375" s="1050"/>
    </row>
    <row r="376">
      <c r="J376" s="1050"/>
    </row>
    <row r="377">
      <c r="J377" s="1050"/>
    </row>
    <row r="378">
      <c r="J378" s="1050"/>
    </row>
    <row r="379">
      <c r="J379" s="1050"/>
    </row>
    <row r="380">
      <c r="J380" s="1050"/>
    </row>
    <row r="381">
      <c r="J381" s="1050"/>
    </row>
    <row r="382">
      <c r="J382" s="1050"/>
    </row>
    <row r="383">
      <c r="J383" s="1050"/>
    </row>
    <row r="384">
      <c r="J384" s="1050"/>
    </row>
    <row r="385">
      <c r="J385" s="1050"/>
    </row>
    <row r="386">
      <c r="J386" s="1050"/>
    </row>
    <row r="387">
      <c r="J387" s="1050"/>
    </row>
    <row r="388">
      <c r="J388" s="1050"/>
    </row>
    <row r="389">
      <c r="J389" s="1050"/>
    </row>
    <row r="390">
      <c r="J390" s="1050"/>
    </row>
    <row r="391">
      <c r="J391" s="1050"/>
    </row>
    <row r="392">
      <c r="J392" s="1050"/>
    </row>
    <row r="393">
      <c r="J393" s="1050"/>
    </row>
    <row r="394">
      <c r="J394" s="1050"/>
    </row>
    <row r="395">
      <c r="J395" s="1050"/>
    </row>
    <row r="396">
      <c r="J396" s="1050"/>
    </row>
    <row r="397">
      <c r="J397" s="1050"/>
    </row>
    <row r="398">
      <c r="J398" s="1050"/>
    </row>
    <row r="399">
      <c r="J399" s="1050"/>
    </row>
    <row r="400">
      <c r="J400" s="1050"/>
    </row>
    <row r="401">
      <c r="J401" s="1050"/>
    </row>
    <row r="402">
      <c r="J402" s="1050"/>
    </row>
    <row r="403">
      <c r="J403" s="1050"/>
    </row>
    <row r="404">
      <c r="J404" s="1050"/>
    </row>
    <row r="405">
      <c r="J405" s="1050"/>
    </row>
    <row r="406">
      <c r="J406" s="1050"/>
    </row>
    <row r="407">
      <c r="J407" s="1050"/>
    </row>
    <row r="408">
      <c r="J408" s="1050"/>
    </row>
    <row r="409">
      <c r="J409" s="1050"/>
    </row>
    <row r="410">
      <c r="J410" s="1050"/>
    </row>
    <row r="411">
      <c r="J411" s="1050"/>
    </row>
    <row r="412">
      <c r="J412" s="1050"/>
    </row>
    <row r="413">
      <c r="J413" s="1050"/>
    </row>
    <row r="414">
      <c r="J414" s="1050"/>
    </row>
    <row r="415">
      <c r="J415" s="1050"/>
    </row>
    <row r="416">
      <c r="J416" s="1050"/>
    </row>
    <row r="417">
      <c r="J417" s="1050"/>
    </row>
    <row r="418">
      <c r="J418" s="1050"/>
    </row>
    <row r="419">
      <c r="J419" s="1050"/>
    </row>
    <row r="420">
      <c r="J420" s="1050"/>
    </row>
    <row r="421">
      <c r="J421" s="1050"/>
    </row>
    <row r="422">
      <c r="J422" s="1050"/>
    </row>
    <row r="423">
      <c r="J423" s="1050"/>
    </row>
    <row r="424">
      <c r="J424" s="1050"/>
    </row>
    <row r="425">
      <c r="J425" s="1050"/>
    </row>
    <row r="426">
      <c r="J426" s="1050"/>
    </row>
    <row r="427">
      <c r="J427" s="1050"/>
    </row>
    <row r="428">
      <c r="J428" s="1050"/>
    </row>
    <row r="429">
      <c r="J429" s="1050"/>
    </row>
    <row r="430">
      <c r="J430" s="1050"/>
    </row>
    <row r="431">
      <c r="J431" s="1050"/>
    </row>
    <row r="432">
      <c r="J432" s="1050"/>
    </row>
    <row r="433">
      <c r="J433" s="1050"/>
    </row>
    <row r="434">
      <c r="J434" s="1050"/>
    </row>
    <row r="435">
      <c r="J435" s="1050"/>
    </row>
    <row r="436">
      <c r="J436" s="1050"/>
    </row>
    <row r="437">
      <c r="J437" s="1050"/>
    </row>
    <row r="438">
      <c r="J438" s="1050"/>
    </row>
    <row r="439">
      <c r="J439" s="1050"/>
    </row>
    <row r="440">
      <c r="J440" s="1050"/>
    </row>
    <row r="441">
      <c r="J441" s="1050"/>
    </row>
    <row r="442">
      <c r="J442" s="1050"/>
    </row>
    <row r="443">
      <c r="J443" s="1050"/>
    </row>
    <row r="444">
      <c r="J444" s="1050"/>
    </row>
    <row r="445">
      <c r="J445" s="1050"/>
    </row>
    <row r="446">
      <c r="J446" s="1050"/>
    </row>
    <row r="447">
      <c r="J447" s="1050"/>
    </row>
    <row r="448">
      <c r="J448" s="1050"/>
    </row>
    <row r="449">
      <c r="J449" s="1050"/>
    </row>
    <row r="450">
      <c r="J450" s="1050"/>
    </row>
    <row r="451">
      <c r="J451" s="1050"/>
    </row>
    <row r="452">
      <c r="J452" s="1050"/>
    </row>
    <row r="453">
      <c r="J453" s="1050"/>
    </row>
    <row r="454">
      <c r="J454" s="1050"/>
    </row>
    <row r="455">
      <c r="J455" s="1050"/>
    </row>
    <row r="456">
      <c r="J456" s="1050"/>
    </row>
    <row r="457">
      <c r="J457" s="1050"/>
    </row>
    <row r="458">
      <c r="J458" s="1050"/>
    </row>
    <row r="459">
      <c r="J459" s="1050"/>
    </row>
    <row r="460">
      <c r="J460" s="1050"/>
    </row>
    <row r="461">
      <c r="J461" s="1050"/>
    </row>
    <row r="462">
      <c r="J462" s="1050"/>
    </row>
    <row r="463">
      <c r="J463" s="1050"/>
    </row>
    <row r="464">
      <c r="J464" s="1050"/>
    </row>
    <row r="465">
      <c r="J465" s="1050"/>
    </row>
    <row r="466">
      <c r="J466" s="1050"/>
    </row>
    <row r="467">
      <c r="J467" s="1050"/>
    </row>
    <row r="468">
      <c r="J468" s="1050"/>
    </row>
    <row r="469">
      <c r="J469" s="1050"/>
    </row>
    <row r="470">
      <c r="J470" s="1050"/>
    </row>
    <row r="471">
      <c r="J471" s="1050"/>
    </row>
    <row r="472">
      <c r="J472" s="1050"/>
    </row>
    <row r="473">
      <c r="J473" s="1050"/>
    </row>
    <row r="474">
      <c r="J474" s="1050"/>
    </row>
    <row r="475">
      <c r="J475" s="1050"/>
    </row>
    <row r="476">
      <c r="J476" s="1050"/>
    </row>
    <row r="477">
      <c r="J477" s="1050"/>
    </row>
    <row r="478">
      <c r="J478" s="1050"/>
    </row>
    <row r="479">
      <c r="J479" s="1050"/>
    </row>
    <row r="480">
      <c r="J480" s="1050"/>
    </row>
    <row r="481">
      <c r="J481" s="1050"/>
    </row>
    <row r="482">
      <c r="J482" s="1050"/>
    </row>
    <row r="483">
      <c r="J483" s="1050"/>
    </row>
    <row r="484">
      <c r="J484" s="1050"/>
    </row>
    <row r="485">
      <c r="J485" s="1050"/>
    </row>
    <row r="486">
      <c r="J486" s="1050"/>
    </row>
    <row r="487">
      <c r="J487" s="1050"/>
    </row>
    <row r="488">
      <c r="J488" s="1050"/>
    </row>
    <row r="489">
      <c r="J489" s="1050"/>
    </row>
    <row r="490">
      <c r="J490" s="1050"/>
    </row>
    <row r="491">
      <c r="J491" s="1050"/>
    </row>
    <row r="492">
      <c r="J492" s="1050"/>
    </row>
    <row r="493">
      <c r="J493" s="1050"/>
    </row>
    <row r="494">
      <c r="J494" s="1050"/>
    </row>
    <row r="495">
      <c r="J495" s="1050"/>
    </row>
    <row r="496">
      <c r="J496" s="1050"/>
    </row>
    <row r="497">
      <c r="J497" s="1050"/>
    </row>
    <row r="498">
      <c r="J498" s="1050"/>
    </row>
    <row r="499">
      <c r="J499" s="1050"/>
    </row>
    <row r="500">
      <c r="J500" s="1050"/>
    </row>
    <row r="501">
      <c r="J501" s="1050"/>
    </row>
    <row r="502">
      <c r="J502" s="1050"/>
    </row>
    <row r="503">
      <c r="J503" s="1050"/>
    </row>
    <row r="504">
      <c r="J504" s="1050"/>
    </row>
    <row r="505">
      <c r="J505" s="1050"/>
    </row>
    <row r="506">
      <c r="J506" s="1050"/>
    </row>
    <row r="507">
      <c r="J507" s="1050"/>
    </row>
    <row r="508">
      <c r="J508" s="1050"/>
    </row>
    <row r="509">
      <c r="J509" s="1050"/>
    </row>
    <row r="510">
      <c r="J510" s="1050"/>
    </row>
    <row r="511">
      <c r="J511" s="1050"/>
    </row>
    <row r="512">
      <c r="J512" s="1050"/>
    </row>
    <row r="513">
      <c r="J513" s="1050"/>
    </row>
    <row r="514">
      <c r="J514" s="1050"/>
    </row>
    <row r="515">
      <c r="J515" s="1050"/>
    </row>
    <row r="516">
      <c r="J516" s="1050"/>
    </row>
    <row r="517">
      <c r="J517" s="1050"/>
    </row>
    <row r="518">
      <c r="J518" s="1050"/>
    </row>
    <row r="519">
      <c r="J519" s="1050"/>
    </row>
    <row r="520">
      <c r="J520" s="1050"/>
    </row>
    <row r="521">
      <c r="J521" s="1050"/>
    </row>
    <row r="522">
      <c r="J522" s="1050"/>
    </row>
    <row r="523">
      <c r="J523" s="1050"/>
    </row>
    <row r="524">
      <c r="J524" s="1050"/>
    </row>
    <row r="525">
      <c r="J525" s="1050"/>
    </row>
    <row r="526">
      <c r="J526" s="1050"/>
    </row>
    <row r="527">
      <c r="J527" s="1050"/>
    </row>
    <row r="528">
      <c r="J528" s="1050"/>
    </row>
    <row r="529">
      <c r="J529" s="1050"/>
    </row>
    <row r="530">
      <c r="J530" s="1050"/>
    </row>
    <row r="531">
      <c r="J531" s="1050"/>
    </row>
    <row r="532">
      <c r="J532" s="1050"/>
    </row>
    <row r="533">
      <c r="J533" s="1050"/>
    </row>
    <row r="534">
      <c r="J534" s="1050"/>
    </row>
    <row r="535">
      <c r="J535" s="1050"/>
    </row>
    <row r="536">
      <c r="J536" s="1050"/>
    </row>
    <row r="537">
      <c r="J537" s="1050"/>
    </row>
    <row r="538">
      <c r="J538" s="1050"/>
    </row>
    <row r="539">
      <c r="J539" s="1050"/>
    </row>
    <row r="540">
      <c r="J540" s="1050"/>
    </row>
    <row r="541">
      <c r="J541" s="1050"/>
    </row>
    <row r="542">
      <c r="J542" s="1050"/>
    </row>
    <row r="543">
      <c r="J543" s="1050"/>
    </row>
    <row r="544">
      <c r="J544" s="1050"/>
    </row>
    <row r="545">
      <c r="J545" s="1050"/>
    </row>
    <row r="546">
      <c r="J546" s="1050"/>
    </row>
    <row r="547">
      <c r="J547" s="1050"/>
    </row>
    <row r="548">
      <c r="J548" s="1050"/>
    </row>
    <row r="549">
      <c r="J549" s="1050"/>
    </row>
    <row r="550">
      <c r="J550" s="1050"/>
    </row>
    <row r="551">
      <c r="J551" s="1050"/>
    </row>
    <row r="552">
      <c r="J552" s="1050"/>
    </row>
    <row r="553">
      <c r="J553" s="1050"/>
    </row>
    <row r="554">
      <c r="J554" s="1050"/>
    </row>
    <row r="555">
      <c r="J555" s="1050"/>
    </row>
    <row r="556">
      <c r="J556" s="1050"/>
    </row>
    <row r="557">
      <c r="J557" s="1050"/>
    </row>
    <row r="558">
      <c r="J558" s="1050"/>
    </row>
    <row r="559">
      <c r="J559" s="1050"/>
    </row>
    <row r="560">
      <c r="J560" s="1050"/>
    </row>
    <row r="561">
      <c r="J561" s="1050"/>
    </row>
    <row r="562">
      <c r="J562" s="1050"/>
    </row>
    <row r="563">
      <c r="J563" s="1050"/>
    </row>
    <row r="564">
      <c r="J564" s="1050"/>
    </row>
    <row r="565">
      <c r="J565" s="1050"/>
    </row>
    <row r="566">
      <c r="J566" s="1050"/>
    </row>
    <row r="567">
      <c r="J567" s="1050"/>
    </row>
    <row r="568">
      <c r="J568" s="1050"/>
    </row>
    <row r="569">
      <c r="J569" s="1050"/>
    </row>
    <row r="570">
      <c r="J570" s="1050"/>
    </row>
    <row r="571">
      <c r="J571" s="1050"/>
    </row>
    <row r="572">
      <c r="J572" s="1050"/>
    </row>
    <row r="573">
      <c r="J573" s="1050"/>
    </row>
    <row r="574">
      <c r="J574" s="1050"/>
    </row>
    <row r="575">
      <c r="J575" s="1050"/>
    </row>
    <row r="576">
      <c r="J576" s="1050"/>
    </row>
    <row r="577">
      <c r="J577" s="1050"/>
    </row>
    <row r="578">
      <c r="J578" s="1050"/>
    </row>
    <row r="579">
      <c r="J579" s="1050"/>
    </row>
    <row r="580">
      <c r="J580" s="1050"/>
    </row>
    <row r="581">
      <c r="J581" s="1050"/>
    </row>
    <row r="582">
      <c r="J582" s="1050"/>
    </row>
    <row r="583">
      <c r="J583" s="1050"/>
    </row>
    <row r="584">
      <c r="J584" s="1050"/>
    </row>
    <row r="585">
      <c r="J585" s="1050"/>
    </row>
    <row r="586">
      <c r="J586" s="1050"/>
    </row>
    <row r="587">
      <c r="J587" s="1050"/>
    </row>
    <row r="588">
      <c r="J588" s="1050"/>
    </row>
    <row r="589">
      <c r="J589" s="1050"/>
    </row>
    <row r="590">
      <c r="J590" s="1050"/>
    </row>
    <row r="591">
      <c r="J591" s="1050"/>
    </row>
    <row r="592">
      <c r="J592" s="1050"/>
    </row>
    <row r="593">
      <c r="J593" s="1050"/>
    </row>
    <row r="594">
      <c r="J594" s="1050"/>
    </row>
    <row r="595">
      <c r="J595" s="1050"/>
    </row>
    <row r="596">
      <c r="J596" s="1050"/>
    </row>
    <row r="597">
      <c r="J597" s="1050"/>
    </row>
    <row r="598">
      <c r="J598" s="1050"/>
    </row>
    <row r="599">
      <c r="J599" s="1050"/>
    </row>
    <row r="600">
      <c r="J600" s="1050"/>
    </row>
    <row r="601">
      <c r="J601" s="1050"/>
    </row>
    <row r="602">
      <c r="J602" s="1050"/>
    </row>
    <row r="603">
      <c r="J603" s="1050"/>
    </row>
    <row r="604">
      <c r="J604" s="1050"/>
    </row>
    <row r="605">
      <c r="J605" s="1050"/>
    </row>
    <row r="606">
      <c r="J606" s="1050"/>
    </row>
    <row r="607">
      <c r="J607" s="1050"/>
    </row>
    <row r="608">
      <c r="J608" s="1050"/>
    </row>
    <row r="609">
      <c r="J609" s="1050"/>
    </row>
    <row r="610">
      <c r="J610" s="1050"/>
    </row>
    <row r="611">
      <c r="J611" s="1050"/>
    </row>
    <row r="612">
      <c r="J612" s="1050"/>
    </row>
    <row r="613">
      <c r="J613" s="1050"/>
    </row>
    <row r="614">
      <c r="J614" s="1050"/>
    </row>
    <row r="615">
      <c r="J615" s="1050"/>
    </row>
    <row r="616">
      <c r="J616" s="1050"/>
    </row>
    <row r="617">
      <c r="J617" s="1050"/>
    </row>
    <row r="618">
      <c r="J618" s="1050"/>
    </row>
    <row r="619">
      <c r="J619" s="1050"/>
    </row>
    <row r="620">
      <c r="J620" s="1050"/>
    </row>
    <row r="621">
      <c r="J621" s="1050"/>
    </row>
    <row r="622">
      <c r="J622" s="1050"/>
    </row>
    <row r="623">
      <c r="J623" s="1050"/>
    </row>
    <row r="624">
      <c r="J624" s="1050"/>
    </row>
    <row r="625">
      <c r="J625" s="1050"/>
    </row>
    <row r="626">
      <c r="J626" s="1050"/>
    </row>
    <row r="627">
      <c r="J627" s="1050"/>
    </row>
    <row r="628">
      <c r="J628" s="1050"/>
    </row>
    <row r="629">
      <c r="J629" s="1050"/>
    </row>
    <row r="630">
      <c r="J630" s="1050"/>
    </row>
    <row r="631">
      <c r="J631" s="1050"/>
    </row>
    <row r="632">
      <c r="J632" s="1050"/>
    </row>
    <row r="633">
      <c r="J633" s="1050"/>
    </row>
    <row r="634">
      <c r="J634" s="1050"/>
    </row>
    <row r="635">
      <c r="J635" s="1050"/>
    </row>
    <row r="636">
      <c r="J636" s="1050"/>
    </row>
    <row r="637">
      <c r="J637" s="1050"/>
    </row>
    <row r="638">
      <c r="J638" s="1050"/>
    </row>
    <row r="639">
      <c r="J639" s="1050"/>
    </row>
    <row r="640">
      <c r="J640" s="1050"/>
    </row>
    <row r="641">
      <c r="J641" s="1050"/>
    </row>
    <row r="642">
      <c r="J642" s="1050"/>
    </row>
    <row r="643">
      <c r="J643" s="1050"/>
    </row>
    <row r="644">
      <c r="J644" s="1050"/>
    </row>
    <row r="645">
      <c r="J645" s="1050"/>
    </row>
    <row r="646">
      <c r="J646" s="1050"/>
    </row>
    <row r="647">
      <c r="J647" s="1050"/>
    </row>
    <row r="648">
      <c r="J648" s="1050"/>
    </row>
    <row r="649">
      <c r="J649" s="1050"/>
    </row>
    <row r="650">
      <c r="J650" s="1050"/>
    </row>
    <row r="651">
      <c r="J651" s="1050"/>
    </row>
    <row r="652">
      <c r="J652" s="1050"/>
    </row>
    <row r="653">
      <c r="J653" s="1050"/>
    </row>
    <row r="654">
      <c r="J654" s="1050"/>
    </row>
    <row r="655">
      <c r="J655" s="1050"/>
    </row>
    <row r="656">
      <c r="J656" s="1050"/>
    </row>
    <row r="657">
      <c r="J657" s="1050"/>
    </row>
    <row r="658">
      <c r="J658" s="1050"/>
    </row>
    <row r="659">
      <c r="J659" s="1050"/>
    </row>
    <row r="660">
      <c r="J660" s="1050"/>
    </row>
    <row r="661">
      <c r="J661" s="1050"/>
    </row>
    <row r="662">
      <c r="J662" s="1050"/>
    </row>
    <row r="663">
      <c r="J663" s="1050"/>
    </row>
    <row r="664">
      <c r="J664" s="1050"/>
    </row>
    <row r="665">
      <c r="J665" s="1050"/>
    </row>
    <row r="666">
      <c r="J666" s="1050"/>
    </row>
    <row r="667">
      <c r="J667" s="1050"/>
    </row>
    <row r="668">
      <c r="J668" s="1050"/>
    </row>
    <row r="669">
      <c r="J669" s="1050"/>
    </row>
    <row r="670">
      <c r="J670" s="1050"/>
    </row>
    <row r="671">
      <c r="J671" s="1050"/>
    </row>
    <row r="672">
      <c r="J672" s="1050"/>
    </row>
    <row r="673">
      <c r="J673" s="1050"/>
    </row>
    <row r="674">
      <c r="J674" s="1050"/>
    </row>
    <row r="675">
      <c r="J675" s="1050"/>
    </row>
    <row r="676">
      <c r="J676" s="1050"/>
    </row>
    <row r="677">
      <c r="J677" s="1050"/>
    </row>
    <row r="678">
      <c r="J678" s="1050"/>
    </row>
    <row r="679">
      <c r="J679" s="1050"/>
    </row>
    <row r="680">
      <c r="J680" s="1050"/>
    </row>
    <row r="681">
      <c r="J681" s="1050"/>
    </row>
    <row r="682">
      <c r="J682" s="1050"/>
    </row>
    <row r="683">
      <c r="J683" s="1050"/>
    </row>
    <row r="684">
      <c r="J684" s="1050"/>
    </row>
    <row r="685">
      <c r="J685" s="1050"/>
    </row>
    <row r="686">
      <c r="J686" s="1050"/>
    </row>
    <row r="687">
      <c r="J687" s="1050"/>
    </row>
    <row r="688">
      <c r="J688" s="1050"/>
    </row>
    <row r="689">
      <c r="J689" s="1050"/>
    </row>
    <row r="690">
      <c r="J690" s="1050"/>
    </row>
    <row r="691">
      <c r="J691" s="1050"/>
    </row>
    <row r="692">
      <c r="J692" s="1050"/>
    </row>
    <row r="693">
      <c r="J693" s="1050"/>
    </row>
    <row r="694">
      <c r="J694" s="1050"/>
    </row>
    <row r="695">
      <c r="J695" s="1050"/>
    </row>
    <row r="696">
      <c r="J696" s="1050"/>
    </row>
    <row r="697">
      <c r="J697" s="1050"/>
    </row>
    <row r="698">
      <c r="J698" s="1050"/>
    </row>
    <row r="699">
      <c r="J699" s="1050"/>
    </row>
    <row r="700">
      <c r="J700" s="1050"/>
    </row>
    <row r="701">
      <c r="J701" s="1050"/>
    </row>
    <row r="702">
      <c r="J702" s="1050"/>
    </row>
    <row r="703">
      <c r="J703" s="1050"/>
    </row>
    <row r="704">
      <c r="J704" s="1050"/>
    </row>
    <row r="705">
      <c r="J705" s="1050"/>
    </row>
    <row r="706">
      <c r="J706" s="1050"/>
    </row>
    <row r="707">
      <c r="J707" s="1050"/>
    </row>
    <row r="708">
      <c r="J708" s="1050"/>
    </row>
    <row r="709">
      <c r="J709" s="1050"/>
    </row>
    <row r="710">
      <c r="J710" s="1050"/>
    </row>
    <row r="711">
      <c r="J711" s="1050"/>
    </row>
    <row r="712">
      <c r="J712" s="1050"/>
    </row>
    <row r="713">
      <c r="J713" s="1050"/>
    </row>
    <row r="714">
      <c r="J714" s="1050"/>
    </row>
    <row r="715">
      <c r="J715" s="1050"/>
    </row>
    <row r="716">
      <c r="J716" s="1050"/>
    </row>
    <row r="717">
      <c r="J717" s="1050"/>
    </row>
    <row r="718">
      <c r="J718" s="1050"/>
    </row>
    <row r="719">
      <c r="J719" s="1050"/>
    </row>
    <row r="720">
      <c r="J720" s="1050"/>
    </row>
    <row r="721">
      <c r="J721" s="1050"/>
    </row>
    <row r="722">
      <c r="J722" s="1050"/>
    </row>
    <row r="723">
      <c r="J723" s="1050"/>
    </row>
    <row r="724">
      <c r="J724" s="1050"/>
    </row>
    <row r="725">
      <c r="J725" s="1050"/>
    </row>
    <row r="726">
      <c r="J726" s="1050"/>
    </row>
    <row r="727">
      <c r="J727" s="1050"/>
    </row>
    <row r="728">
      <c r="J728" s="1050"/>
    </row>
    <row r="729">
      <c r="J729" s="1050"/>
    </row>
    <row r="730">
      <c r="J730" s="1050"/>
    </row>
    <row r="731">
      <c r="J731" s="1050"/>
    </row>
    <row r="732">
      <c r="J732" s="1050"/>
    </row>
    <row r="733">
      <c r="J733" s="1050"/>
    </row>
    <row r="734">
      <c r="J734" s="1050"/>
    </row>
    <row r="735">
      <c r="J735" s="1050"/>
    </row>
    <row r="736">
      <c r="J736" s="1050"/>
    </row>
    <row r="737">
      <c r="J737" s="1050"/>
    </row>
    <row r="738">
      <c r="J738" s="1050"/>
    </row>
    <row r="739">
      <c r="J739" s="1050"/>
    </row>
    <row r="740">
      <c r="J740" s="1050"/>
    </row>
    <row r="741">
      <c r="J741" s="1050"/>
    </row>
    <row r="742">
      <c r="J742" s="1050"/>
    </row>
    <row r="743">
      <c r="J743" s="1050"/>
    </row>
    <row r="744">
      <c r="J744" s="1050"/>
    </row>
    <row r="745">
      <c r="J745" s="1050"/>
    </row>
    <row r="746">
      <c r="J746" s="1050"/>
    </row>
    <row r="747">
      <c r="J747" s="1050"/>
    </row>
    <row r="748">
      <c r="J748" s="1050"/>
    </row>
    <row r="749">
      <c r="J749" s="1050"/>
    </row>
    <row r="750">
      <c r="J750" s="1050"/>
    </row>
    <row r="751">
      <c r="J751" s="1050"/>
    </row>
    <row r="752">
      <c r="J752" s="1050"/>
    </row>
    <row r="753">
      <c r="J753" s="1050"/>
    </row>
    <row r="754">
      <c r="J754" s="1050"/>
    </row>
    <row r="755">
      <c r="J755" s="1050"/>
    </row>
    <row r="756">
      <c r="J756" s="1050"/>
    </row>
    <row r="757">
      <c r="J757" s="1050"/>
    </row>
    <row r="758">
      <c r="J758" s="1050"/>
    </row>
    <row r="759">
      <c r="J759" s="1050"/>
    </row>
    <row r="760">
      <c r="J760" s="1050"/>
    </row>
    <row r="761">
      <c r="J761" s="1050"/>
    </row>
    <row r="762">
      <c r="J762" s="1050"/>
    </row>
    <row r="763">
      <c r="J763" s="1050"/>
    </row>
    <row r="764">
      <c r="J764" s="1050"/>
    </row>
    <row r="765">
      <c r="J765" s="1050"/>
    </row>
    <row r="766">
      <c r="J766" s="1050"/>
    </row>
    <row r="767">
      <c r="J767" s="1050"/>
    </row>
    <row r="768">
      <c r="J768" s="1050"/>
    </row>
    <row r="769">
      <c r="J769" s="1050"/>
    </row>
    <row r="770">
      <c r="J770" s="1050"/>
    </row>
    <row r="771">
      <c r="J771" s="1050"/>
    </row>
    <row r="772">
      <c r="J772" s="1050"/>
    </row>
    <row r="773">
      <c r="J773" s="1050"/>
    </row>
    <row r="774">
      <c r="J774" s="1050"/>
    </row>
    <row r="775">
      <c r="J775" s="1050"/>
    </row>
    <row r="776">
      <c r="J776" s="1050"/>
    </row>
    <row r="777">
      <c r="J777" s="1050"/>
    </row>
    <row r="778">
      <c r="J778" s="1050"/>
    </row>
    <row r="779">
      <c r="J779" s="1050"/>
    </row>
    <row r="780">
      <c r="J780" s="1050"/>
    </row>
    <row r="781">
      <c r="J781" s="1050"/>
    </row>
    <row r="782">
      <c r="J782" s="1050"/>
    </row>
    <row r="783">
      <c r="J783" s="1050"/>
    </row>
    <row r="784">
      <c r="J784" s="1050"/>
    </row>
    <row r="785">
      <c r="J785" s="1050"/>
    </row>
    <row r="786">
      <c r="J786" s="1050"/>
    </row>
    <row r="787">
      <c r="J787" s="1050"/>
    </row>
    <row r="788">
      <c r="J788" s="1050"/>
    </row>
    <row r="789">
      <c r="J789" s="1050"/>
    </row>
    <row r="790">
      <c r="J790" s="1050"/>
    </row>
    <row r="791">
      <c r="J791" s="1050"/>
    </row>
    <row r="792">
      <c r="J792" s="1050"/>
    </row>
    <row r="793">
      <c r="J793" s="1050"/>
    </row>
    <row r="794">
      <c r="J794" s="1050"/>
    </row>
    <row r="795">
      <c r="J795" s="1050"/>
    </row>
    <row r="796">
      <c r="J796" s="1050"/>
    </row>
    <row r="797">
      <c r="J797" s="1050"/>
    </row>
    <row r="798">
      <c r="J798" s="1050"/>
    </row>
    <row r="799">
      <c r="J799" s="1050"/>
    </row>
    <row r="800">
      <c r="J800" s="1050"/>
    </row>
    <row r="801">
      <c r="J801" s="1050"/>
    </row>
    <row r="802">
      <c r="J802" s="1050"/>
    </row>
    <row r="803">
      <c r="J803" s="1050"/>
    </row>
    <row r="804">
      <c r="J804" s="1050"/>
    </row>
    <row r="805">
      <c r="J805" s="1050"/>
    </row>
    <row r="806">
      <c r="J806" s="1050"/>
    </row>
    <row r="807">
      <c r="J807" s="1050"/>
    </row>
    <row r="808">
      <c r="J808" s="1050"/>
    </row>
    <row r="809">
      <c r="J809" s="1050"/>
    </row>
    <row r="810">
      <c r="J810" s="1050"/>
    </row>
    <row r="811">
      <c r="J811" s="1050"/>
    </row>
    <row r="812">
      <c r="J812" s="1050"/>
    </row>
    <row r="813">
      <c r="J813" s="1050"/>
    </row>
    <row r="814">
      <c r="J814" s="1050"/>
    </row>
    <row r="815">
      <c r="J815" s="1050"/>
    </row>
    <row r="816">
      <c r="J816" s="1050"/>
    </row>
    <row r="817">
      <c r="J817" s="1050"/>
    </row>
    <row r="818">
      <c r="J818" s="1050"/>
    </row>
    <row r="819">
      <c r="J819" s="1050"/>
    </row>
    <row r="820">
      <c r="J820" s="1050"/>
    </row>
    <row r="821">
      <c r="J821" s="1050"/>
    </row>
    <row r="822">
      <c r="J822" s="1050"/>
    </row>
    <row r="823">
      <c r="J823" s="1050"/>
    </row>
    <row r="824">
      <c r="J824" s="1050"/>
    </row>
    <row r="825">
      <c r="J825" s="1050"/>
    </row>
    <row r="826">
      <c r="J826" s="1050"/>
    </row>
    <row r="827">
      <c r="J827" s="1050"/>
    </row>
    <row r="828">
      <c r="J828" s="1050"/>
    </row>
    <row r="829">
      <c r="J829" s="1050"/>
    </row>
    <row r="830">
      <c r="J830" s="1050"/>
    </row>
    <row r="831">
      <c r="J831" s="1050"/>
    </row>
    <row r="832">
      <c r="J832" s="1050"/>
    </row>
    <row r="833">
      <c r="J833" s="1050"/>
    </row>
    <row r="834">
      <c r="J834" s="1050"/>
    </row>
    <row r="835">
      <c r="J835" s="1050"/>
    </row>
    <row r="836">
      <c r="J836" s="1050"/>
    </row>
    <row r="837">
      <c r="J837" s="1050"/>
    </row>
    <row r="838">
      <c r="J838" s="1050"/>
    </row>
    <row r="839">
      <c r="J839" s="1050"/>
    </row>
    <row r="840">
      <c r="J840" s="1050"/>
    </row>
    <row r="841">
      <c r="J841" s="1050"/>
    </row>
    <row r="842">
      <c r="J842" s="1050"/>
    </row>
    <row r="843">
      <c r="J843" s="1050"/>
    </row>
    <row r="844">
      <c r="J844" s="1050"/>
    </row>
    <row r="845">
      <c r="J845" s="1050"/>
    </row>
    <row r="846">
      <c r="J846" s="1050"/>
    </row>
    <row r="847">
      <c r="J847" s="1050"/>
    </row>
    <row r="848">
      <c r="J848" s="1050"/>
    </row>
    <row r="849">
      <c r="J849" s="1050"/>
    </row>
    <row r="850">
      <c r="J850" s="1050"/>
    </row>
    <row r="851">
      <c r="J851" s="1050"/>
    </row>
    <row r="852">
      <c r="J852" s="1050"/>
    </row>
    <row r="853">
      <c r="J853" s="1050"/>
    </row>
    <row r="854">
      <c r="J854" s="1050"/>
    </row>
    <row r="855">
      <c r="J855" s="1050"/>
    </row>
    <row r="856">
      <c r="J856" s="1050"/>
    </row>
    <row r="857">
      <c r="J857" s="1050"/>
    </row>
    <row r="858">
      <c r="J858" s="1050"/>
    </row>
    <row r="859">
      <c r="J859" s="1050"/>
    </row>
    <row r="860">
      <c r="J860" s="1050"/>
    </row>
    <row r="861">
      <c r="J861" s="1050"/>
    </row>
    <row r="862">
      <c r="J862" s="1050"/>
    </row>
    <row r="863">
      <c r="J863" s="1050"/>
    </row>
    <row r="864">
      <c r="J864" s="1050"/>
    </row>
    <row r="865">
      <c r="J865" s="1050"/>
    </row>
    <row r="866">
      <c r="J866" s="1050"/>
    </row>
    <row r="867">
      <c r="J867" s="1050"/>
    </row>
    <row r="868">
      <c r="J868" s="1050"/>
    </row>
    <row r="869">
      <c r="J869" s="1050"/>
    </row>
    <row r="870">
      <c r="J870" s="1050"/>
    </row>
    <row r="871">
      <c r="J871" s="1050"/>
    </row>
    <row r="872">
      <c r="J872" s="1050"/>
    </row>
    <row r="873">
      <c r="J873" s="1050"/>
    </row>
    <row r="874">
      <c r="J874" s="1050"/>
    </row>
  </sheetData>
  <mergeCells count="3">
    <mergeCell ref="A2:A9"/>
    <mergeCell ref="A11:A18"/>
    <mergeCell ref="A20:A27"/>
  </mergeCells>
  <printOptions horizontalCentered="1"/>
  <pageMargins bottom="0.75" footer="0.0" header="0.0" left="0.7" right="0.7" top="0.75"/>
  <pageSetup paperSize="9" orientation="portrait" pageOrder="overThenDown"/>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17.75"/>
    <col customWidth="1" min="3" max="6" width="8.88"/>
    <col customWidth="1" min="7" max="7" width="22.0"/>
    <col customWidth="1" min="8" max="8" width="25.63"/>
    <col customWidth="1" min="10" max="10" width="21.75"/>
    <col customWidth="1" min="11" max="11" width="17.0"/>
    <col customWidth="1" min="12" max="12" width="27.25"/>
  </cols>
  <sheetData>
    <row r="1">
      <c r="A1" s="475" t="s">
        <v>832</v>
      </c>
      <c r="B1" s="476" t="s">
        <v>833</v>
      </c>
      <c r="C1" s="477" t="s">
        <v>834</v>
      </c>
      <c r="D1" s="478" t="s">
        <v>835</v>
      </c>
      <c r="E1" s="478" t="s">
        <v>2177</v>
      </c>
      <c r="F1" s="478" t="s">
        <v>2178</v>
      </c>
      <c r="G1" s="476" t="s">
        <v>838</v>
      </c>
      <c r="H1" s="479" t="s">
        <v>724</v>
      </c>
      <c r="I1" s="477" t="s">
        <v>1916</v>
      </c>
      <c r="J1" s="733" t="s">
        <v>839</v>
      </c>
      <c r="K1" s="1205" t="s">
        <v>840</v>
      </c>
      <c r="L1" s="479" t="s">
        <v>841</v>
      </c>
    </row>
    <row r="2">
      <c r="A2" s="657" t="s">
        <v>2179</v>
      </c>
      <c r="B2" s="621" t="s">
        <v>67</v>
      </c>
      <c r="C2" s="630" t="s">
        <v>851</v>
      </c>
      <c r="D2" s="1248"/>
      <c r="E2" s="1248"/>
      <c r="F2" s="1248"/>
      <c r="G2" s="1249" t="s">
        <v>2180</v>
      </c>
      <c r="H2" s="630" t="s">
        <v>2181</v>
      </c>
      <c r="I2" s="1248">
        <v>44453.0</v>
      </c>
      <c r="J2" s="1230">
        <v>43833.0</v>
      </c>
      <c r="K2" s="1209"/>
      <c r="L2" s="483"/>
    </row>
    <row r="3">
      <c r="A3" s="457"/>
      <c r="B3" s="1250" t="s">
        <v>85</v>
      </c>
      <c r="C3" s="509" t="s">
        <v>851</v>
      </c>
      <c r="D3" s="1251"/>
      <c r="E3" s="1251"/>
      <c r="F3" s="1251"/>
      <c r="G3" s="1240" t="s">
        <v>2182</v>
      </c>
      <c r="H3" s="509" t="s">
        <v>2183</v>
      </c>
      <c r="I3" s="1251">
        <v>44235.0</v>
      </c>
      <c r="J3" s="1230">
        <v>43833.0</v>
      </c>
      <c r="K3" s="1209"/>
      <c r="L3" s="483"/>
    </row>
    <row r="4">
      <c r="A4" s="457"/>
      <c r="B4" s="1252" t="s">
        <v>103</v>
      </c>
      <c r="C4" s="509" t="s">
        <v>851</v>
      </c>
      <c r="D4" s="1251"/>
      <c r="E4" s="1251"/>
      <c r="F4" s="1251"/>
      <c r="G4" s="1240" t="s">
        <v>2184</v>
      </c>
      <c r="H4" s="509" t="s">
        <v>2185</v>
      </c>
      <c r="I4" s="1251">
        <v>44340.0</v>
      </c>
      <c r="J4" s="1230">
        <v>43913.0</v>
      </c>
      <c r="K4" s="1209"/>
      <c r="L4" s="483"/>
    </row>
    <row r="5">
      <c r="A5" s="457"/>
      <c r="B5" s="1250" t="s">
        <v>2186</v>
      </c>
      <c r="C5" s="509" t="s">
        <v>851</v>
      </c>
      <c r="D5" s="1251"/>
      <c r="E5" s="1251"/>
      <c r="F5" s="1251"/>
      <c r="G5" s="1240" t="s">
        <v>2187</v>
      </c>
      <c r="H5" s="509" t="s">
        <v>2188</v>
      </c>
      <c r="I5" s="1251">
        <v>44320.0</v>
      </c>
      <c r="J5" s="1230">
        <v>43832.0</v>
      </c>
      <c r="K5" s="1209"/>
      <c r="L5" s="1253" t="s">
        <v>2189</v>
      </c>
    </row>
    <row r="6">
      <c r="A6" s="457"/>
      <c r="B6" s="1250" t="s">
        <v>138</v>
      </c>
      <c r="C6" s="509" t="s">
        <v>851</v>
      </c>
      <c r="D6" s="1251"/>
      <c r="E6" s="1251"/>
      <c r="F6" s="1251"/>
      <c r="G6" s="1254" t="s">
        <v>2190</v>
      </c>
      <c r="H6" s="1255" t="s">
        <v>2191</v>
      </c>
      <c r="I6" s="1251">
        <v>44490.0</v>
      </c>
      <c r="J6" s="1230">
        <v>43832.0</v>
      </c>
      <c r="K6" s="1209"/>
      <c r="L6" s="483"/>
    </row>
    <row r="7">
      <c r="A7" s="457"/>
      <c r="B7" s="163"/>
      <c r="C7" s="509"/>
      <c r="D7" s="1222"/>
      <c r="E7" s="1222"/>
      <c r="F7" s="1222"/>
      <c r="G7" s="41"/>
      <c r="H7" s="41"/>
      <c r="I7" s="483"/>
      <c r="J7" s="492"/>
      <c r="K7" s="1209"/>
      <c r="L7" s="483"/>
    </row>
    <row r="8">
      <c r="A8" s="457"/>
      <c r="B8" s="18"/>
      <c r="C8" s="509"/>
      <c r="D8" s="485"/>
      <c r="E8" s="485"/>
      <c r="F8" s="485"/>
      <c r="G8" s="534"/>
      <c r="H8" s="630"/>
      <c r="I8" s="483"/>
      <c r="J8" s="484"/>
      <c r="K8" s="487"/>
      <c r="L8" s="483"/>
    </row>
    <row r="9">
      <c r="A9" s="430"/>
      <c r="B9" s="18"/>
      <c r="C9" s="509"/>
      <c r="D9" s="485"/>
      <c r="E9" s="485"/>
      <c r="F9" s="485"/>
      <c r="G9" s="534"/>
      <c r="H9" s="630"/>
      <c r="I9" s="483"/>
      <c r="J9" s="484"/>
      <c r="K9" s="487"/>
      <c r="L9" s="483"/>
    </row>
    <row r="10">
      <c r="A10" s="561"/>
      <c r="B10" s="561"/>
      <c r="C10" s="559"/>
      <c r="D10" s="1256"/>
      <c r="E10" s="1256"/>
      <c r="F10" s="1256"/>
      <c r="G10" s="1257"/>
      <c r="H10" s="559"/>
      <c r="I10" s="559"/>
      <c r="J10" s="560"/>
      <c r="K10" s="559"/>
      <c r="L10" s="559"/>
    </row>
    <row r="11">
      <c r="A11" s="561"/>
      <c r="B11" s="561"/>
      <c r="C11" s="559"/>
      <c r="D11" s="1256"/>
      <c r="E11" s="1256"/>
      <c r="F11" s="1256"/>
      <c r="G11" s="1257"/>
      <c r="H11" s="559"/>
      <c r="I11" s="559"/>
      <c r="J11" s="560"/>
      <c r="K11" s="559"/>
      <c r="L11" s="559"/>
    </row>
    <row r="12">
      <c r="A12" s="561"/>
      <c r="B12" s="561"/>
      <c r="C12" s="559"/>
      <c r="D12" s="1256"/>
      <c r="E12" s="1256"/>
      <c r="F12" s="1256"/>
      <c r="G12" s="1257"/>
      <c r="H12" s="559"/>
      <c r="I12" s="559"/>
      <c r="J12" s="560"/>
      <c r="K12" s="559"/>
      <c r="L12" s="559"/>
    </row>
    <row r="13">
      <c r="A13" s="561"/>
      <c r="B13" s="561"/>
      <c r="C13" s="559"/>
      <c r="D13" s="1256"/>
      <c r="E13" s="1256"/>
      <c r="F13" s="1256"/>
      <c r="G13" s="1257"/>
      <c r="H13" s="559"/>
      <c r="I13" s="559"/>
      <c r="J13" s="560"/>
      <c r="K13" s="559"/>
      <c r="L13" s="559"/>
    </row>
    <row r="14">
      <c r="A14" s="561"/>
      <c r="B14" s="561"/>
      <c r="C14" s="559"/>
      <c r="D14" s="1256"/>
      <c r="E14" s="1256"/>
      <c r="F14" s="1256"/>
      <c r="G14" s="1257"/>
      <c r="H14" s="559"/>
      <c r="I14" s="559"/>
      <c r="J14" s="560"/>
      <c r="K14" s="559"/>
      <c r="L14" s="559"/>
    </row>
    <row r="15">
      <c r="A15" s="561"/>
      <c r="B15" s="561"/>
      <c r="C15" s="559"/>
      <c r="D15" s="1256"/>
      <c r="E15" s="1256"/>
      <c r="F15" s="1256"/>
      <c r="G15" s="1257"/>
      <c r="H15" s="559"/>
      <c r="I15" s="559"/>
      <c r="J15" s="560"/>
      <c r="K15" s="559"/>
      <c r="L15" s="559"/>
    </row>
    <row r="16">
      <c r="A16" s="559"/>
      <c r="B16" s="559"/>
      <c r="C16" s="560"/>
      <c r="D16" s="560"/>
      <c r="E16" s="560"/>
      <c r="F16" s="560"/>
      <c r="G16" s="559"/>
      <c r="H16" s="559"/>
      <c r="I16" s="559"/>
      <c r="J16" s="560"/>
      <c r="K16" s="559"/>
      <c r="L16" s="559"/>
    </row>
    <row r="17">
      <c r="A17" s="559"/>
      <c r="B17" s="559"/>
      <c r="C17" s="560"/>
      <c r="D17" s="560"/>
      <c r="E17" s="560"/>
      <c r="F17" s="560"/>
      <c r="G17" s="559"/>
      <c r="H17" s="559"/>
      <c r="I17" s="559"/>
      <c r="J17" s="560"/>
      <c r="K17" s="559"/>
      <c r="L17" s="559"/>
    </row>
    <row r="18">
      <c r="A18" s="561"/>
      <c r="B18" s="561"/>
      <c r="C18" s="559"/>
      <c r="D18" s="1256"/>
      <c r="E18" s="1256"/>
      <c r="F18" s="1256"/>
      <c r="G18" s="1257"/>
      <c r="H18" s="559"/>
      <c r="I18" s="559"/>
      <c r="J18" s="560"/>
      <c r="K18" s="559"/>
      <c r="L18" s="559"/>
    </row>
    <row r="19">
      <c r="A19" s="561"/>
      <c r="B19" s="561"/>
      <c r="C19" s="559"/>
      <c r="D19" s="1256"/>
      <c r="E19" s="1256"/>
      <c r="F19" s="1256"/>
      <c r="G19" s="559"/>
      <c r="H19" s="559"/>
      <c r="I19" s="559"/>
      <c r="J19" s="560"/>
      <c r="K19" s="559"/>
      <c r="L19" s="559"/>
    </row>
    <row r="20">
      <c r="A20" s="561"/>
      <c r="B20" s="561"/>
      <c r="C20" s="559"/>
      <c r="D20" s="1256"/>
      <c r="E20" s="1256"/>
      <c r="F20" s="1256"/>
      <c r="G20" s="559"/>
      <c r="H20" s="559"/>
      <c r="I20" s="559"/>
      <c r="J20" s="560"/>
      <c r="K20" s="559"/>
      <c r="L20" s="559"/>
    </row>
    <row r="21">
      <c r="A21" s="561"/>
      <c r="B21" s="561"/>
      <c r="C21" s="559"/>
      <c r="D21" s="1256"/>
      <c r="E21" s="1256"/>
      <c r="F21" s="1256"/>
      <c r="G21" s="559"/>
      <c r="H21" s="559"/>
      <c r="I21" s="559"/>
      <c r="J21" s="560"/>
      <c r="K21" s="559"/>
      <c r="L21" s="559"/>
    </row>
    <row r="22">
      <c r="A22" s="561"/>
      <c r="B22" s="561"/>
      <c r="C22" s="559"/>
      <c r="D22" s="1256"/>
      <c r="E22" s="1256"/>
      <c r="F22" s="1256"/>
      <c r="G22" s="559"/>
      <c r="H22" s="559"/>
      <c r="I22" s="559"/>
      <c r="J22" s="560"/>
      <c r="K22" s="559"/>
      <c r="L22" s="559"/>
    </row>
    <row r="23">
      <c r="A23" s="561"/>
      <c r="B23" s="561"/>
      <c r="C23" s="559"/>
      <c r="D23" s="1256"/>
      <c r="E23" s="1256"/>
      <c r="F23" s="1256"/>
      <c r="G23" s="559"/>
      <c r="H23" s="559"/>
      <c r="I23" s="559"/>
      <c r="J23" s="560"/>
      <c r="K23" s="559"/>
      <c r="L23" s="559"/>
    </row>
    <row r="24">
      <c r="A24" s="561"/>
      <c r="B24" s="561"/>
      <c r="C24" s="559"/>
      <c r="D24" s="1256"/>
      <c r="E24" s="1256"/>
      <c r="F24" s="1256"/>
      <c r="G24" s="559"/>
      <c r="H24" s="559"/>
      <c r="I24" s="559"/>
      <c r="J24" s="560"/>
      <c r="K24" s="559"/>
      <c r="L24" s="559"/>
    </row>
    <row r="25">
      <c r="A25" s="561"/>
      <c r="B25" s="561"/>
      <c r="C25" s="559"/>
      <c r="D25" s="1256"/>
      <c r="E25" s="1256"/>
      <c r="F25" s="1256"/>
      <c r="G25" s="1257"/>
      <c r="H25" s="559"/>
      <c r="I25" s="559"/>
      <c r="J25" s="560"/>
      <c r="K25" s="559"/>
      <c r="L25" s="559"/>
    </row>
    <row r="26">
      <c r="A26" s="559"/>
      <c r="B26" s="559"/>
      <c r="C26" s="560"/>
      <c r="D26" s="560"/>
      <c r="E26" s="560"/>
      <c r="F26" s="560"/>
      <c r="G26" s="559"/>
      <c r="H26" s="559"/>
      <c r="I26" s="559"/>
      <c r="J26" s="560"/>
      <c r="K26" s="559"/>
      <c r="L26" s="559"/>
    </row>
    <row r="27">
      <c r="A27" s="559"/>
      <c r="B27" s="559"/>
      <c r="C27" s="560"/>
      <c r="D27" s="560"/>
      <c r="E27" s="560"/>
      <c r="F27" s="560"/>
      <c r="G27" s="559"/>
      <c r="H27" s="559"/>
      <c r="I27" s="559"/>
      <c r="J27" s="560"/>
      <c r="K27" s="559"/>
      <c r="L27" s="559"/>
    </row>
    <row r="28">
      <c r="A28" s="561"/>
      <c r="B28" s="561"/>
      <c r="C28" s="559"/>
      <c r="D28" s="1256"/>
      <c r="E28" s="1256"/>
      <c r="F28" s="1256"/>
      <c r="G28" s="1257"/>
      <c r="H28" s="559"/>
      <c r="I28" s="559"/>
      <c r="J28" s="560"/>
      <c r="K28" s="559"/>
      <c r="L28" s="559"/>
    </row>
    <row r="29">
      <c r="A29" s="561"/>
      <c r="B29" s="561"/>
      <c r="C29" s="559"/>
      <c r="D29" s="1256"/>
      <c r="E29" s="1256"/>
      <c r="F29" s="1256"/>
      <c r="G29" s="1257"/>
      <c r="H29" s="559"/>
      <c r="I29" s="559"/>
      <c r="J29" s="560"/>
      <c r="K29" s="559"/>
      <c r="L29" s="559"/>
    </row>
    <row r="30">
      <c r="A30" s="561"/>
      <c r="B30" s="561"/>
      <c r="C30" s="559"/>
      <c r="D30" s="1256"/>
      <c r="E30" s="1256"/>
      <c r="F30" s="1256"/>
      <c r="G30" s="1257"/>
      <c r="H30" s="559"/>
      <c r="I30" s="559"/>
      <c r="J30" s="560"/>
      <c r="K30" s="559"/>
      <c r="L30" s="559"/>
    </row>
    <row r="31">
      <c r="A31" s="561"/>
      <c r="B31" s="561"/>
      <c r="C31" s="559"/>
      <c r="D31" s="1256"/>
      <c r="E31" s="1256"/>
      <c r="F31" s="1256"/>
      <c r="G31" s="1257"/>
      <c r="H31" s="559"/>
      <c r="I31" s="559"/>
      <c r="J31" s="560"/>
      <c r="K31" s="559"/>
      <c r="L31" s="559"/>
    </row>
    <row r="32">
      <c r="A32" s="561"/>
      <c r="B32" s="561"/>
      <c r="C32" s="559"/>
      <c r="D32" s="1256"/>
      <c r="E32" s="1256"/>
      <c r="F32" s="1256"/>
      <c r="G32" s="1257"/>
      <c r="H32" s="559"/>
      <c r="I32" s="559"/>
      <c r="J32" s="560"/>
      <c r="K32" s="559"/>
      <c r="L32" s="559"/>
    </row>
    <row r="33">
      <c r="A33" s="561"/>
      <c r="B33" s="561"/>
      <c r="C33" s="559"/>
      <c r="D33" s="1256"/>
      <c r="E33" s="1256"/>
      <c r="F33" s="1256"/>
      <c r="G33" s="1257"/>
      <c r="H33" s="559"/>
      <c r="I33" s="559"/>
      <c r="J33" s="560"/>
      <c r="K33" s="559"/>
      <c r="L33" s="559"/>
    </row>
    <row r="34">
      <c r="A34" s="561"/>
      <c r="B34" s="561"/>
      <c r="C34" s="559"/>
      <c r="D34" s="1256"/>
      <c r="E34" s="1256"/>
      <c r="F34" s="1256"/>
      <c r="G34" s="1257"/>
      <c r="H34" s="559"/>
      <c r="I34" s="559"/>
      <c r="J34" s="560"/>
      <c r="K34" s="559"/>
      <c r="L34" s="559"/>
    </row>
    <row r="35">
      <c r="A35" s="561"/>
      <c r="B35" s="561"/>
      <c r="C35" s="559"/>
      <c r="D35" s="560"/>
      <c r="E35" s="560"/>
      <c r="F35" s="560"/>
      <c r="G35" s="1257"/>
      <c r="H35" s="559"/>
      <c r="I35" s="559"/>
      <c r="J35" s="560"/>
      <c r="K35" s="559"/>
      <c r="L35" s="559"/>
    </row>
    <row r="36">
      <c r="A36" s="559"/>
      <c r="B36" s="559"/>
      <c r="C36" s="560"/>
      <c r="D36" s="560"/>
      <c r="E36" s="560"/>
      <c r="F36" s="560"/>
      <c r="G36" s="559"/>
      <c r="H36" s="559"/>
      <c r="I36" s="559"/>
      <c r="J36" s="560"/>
      <c r="K36" s="559"/>
      <c r="L36" s="559"/>
    </row>
    <row r="37">
      <c r="A37" s="559"/>
      <c r="B37" s="559"/>
      <c r="C37" s="560"/>
      <c r="D37" s="560"/>
      <c r="E37" s="560"/>
      <c r="F37" s="560"/>
      <c r="G37" s="559"/>
      <c r="H37" s="559"/>
      <c r="I37" s="559"/>
      <c r="J37" s="560"/>
      <c r="K37" s="559"/>
      <c r="L37" s="559"/>
    </row>
    <row r="38">
      <c r="A38" s="561"/>
      <c r="B38" s="561"/>
      <c r="C38" s="559"/>
      <c r="D38" s="1258"/>
      <c r="E38" s="1258"/>
      <c r="F38" s="1258"/>
      <c r="G38" s="1257"/>
      <c r="H38" s="559"/>
      <c r="I38" s="559"/>
      <c r="J38" s="560"/>
      <c r="K38" s="559"/>
      <c r="L38" s="559"/>
    </row>
    <row r="39">
      <c r="A39" s="561"/>
      <c r="B39" s="561"/>
      <c r="C39" s="559"/>
      <c r="D39" s="1256"/>
      <c r="E39" s="1256"/>
      <c r="F39" s="1256"/>
      <c r="G39" s="1257"/>
      <c r="H39" s="559"/>
      <c r="I39" s="559"/>
      <c r="J39" s="560"/>
      <c r="K39" s="559"/>
      <c r="L39" s="559"/>
    </row>
    <row r="40">
      <c r="A40" s="561"/>
      <c r="B40" s="561"/>
      <c r="C40" s="559"/>
      <c r="D40" s="1258"/>
      <c r="E40" s="1258"/>
      <c r="F40" s="1258"/>
      <c r="G40" s="1257"/>
      <c r="H40" s="559"/>
      <c r="I40" s="559"/>
      <c r="J40" s="560"/>
      <c r="K40" s="559"/>
      <c r="L40" s="559"/>
    </row>
    <row r="41">
      <c r="A41" s="561"/>
      <c r="B41" s="561"/>
      <c r="C41" s="559"/>
      <c r="D41" s="1256"/>
      <c r="E41" s="1256"/>
      <c r="F41" s="1256"/>
      <c r="G41" s="1257"/>
      <c r="H41" s="559"/>
      <c r="I41" s="559"/>
      <c r="J41" s="560"/>
      <c r="K41" s="559"/>
      <c r="L41" s="559"/>
    </row>
    <row r="42">
      <c r="A42" s="561"/>
      <c r="B42" s="561"/>
      <c r="C42" s="559"/>
      <c r="D42" s="1256"/>
      <c r="E42" s="1256"/>
      <c r="F42" s="1256"/>
      <c r="G42" s="1257"/>
      <c r="H42" s="559"/>
      <c r="I42" s="559"/>
      <c r="J42" s="560"/>
      <c r="K42" s="559"/>
      <c r="L42" s="559"/>
    </row>
    <row r="43">
      <c r="A43" s="561"/>
      <c r="B43" s="561"/>
      <c r="C43" s="559"/>
      <c r="D43" s="560"/>
      <c r="E43" s="560"/>
      <c r="F43" s="560"/>
      <c r="G43" s="1257"/>
      <c r="H43" s="559"/>
      <c r="I43" s="559"/>
      <c r="J43" s="560"/>
      <c r="K43" s="559"/>
      <c r="L43" s="559"/>
    </row>
    <row r="44">
      <c r="A44" s="561"/>
      <c r="B44" s="561"/>
      <c r="C44" s="559"/>
      <c r="D44" s="559"/>
      <c r="E44" s="559"/>
      <c r="F44" s="559"/>
      <c r="G44" s="1257"/>
      <c r="H44" s="559"/>
      <c r="I44" s="559"/>
      <c r="J44" s="560"/>
      <c r="K44" s="559"/>
      <c r="L44" s="559"/>
    </row>
    <row r="45">
      <c r="A45" s="561"/>
      <c r="B45" s="561"/>
      <c r="C45" s="559"/>
      <c r="D45" s="560"/>
      <c r="E45" s="560"/>
      <c r="F45" s="560"/>
      <c r="G45" s="1257"/>
      <c r="H45" s="559"/>
      <c r="I45" s="559"/>
      <c r="J45" s="560"/>
      <c r="K45" s="559"/>
      <c r="L45" s="559"/>
    </row>
    <row r="46">
      <c r="A46" s="559"/>
      <c r="B46" s="559"/>
      <c r="C46" s="560"/>
      <c r="D46" s="560"/>
      <c r="E46" s="560"/>
      <c r="F46" s="560"/>
      <c r="G46" s="559"/>
      <c r="H46" s="559"/>
      <c r="I46" s="559"/>
      <c r="J46" s="560"/>
      <c r="K46" s="559"/>
      <c r="L46" s="559"/>
    </row>
    <row r="47">
      <c r="A47" s="559"/>
      <c r="B47" s="559"/>
      <c r="C47" s="560"/>
      <c r="D47" s="560"/>
      <c r="E47" s="560"/>
      <c r="F47" s="560"/>
      <c r="G47" s="559"/>
      <c r="H47" s="559"/>
      <c r="I47" s="559"/>
      <c r="J47" s="560"/>
      <c r="K47" s="559"/>
      <c r="L47" s="559"/>
    </row>
    <row r="48">
      <c r="A48" s="561"/>
      <c r="B48" s="559"/>
      <c r="C48" s="559"/>
      <c r="D48" s="1256"/>
      <c r="E48" s="1256"/>
      <c r="F48" s="1256"/>
      <c r="G48" s="559"/>
      <c r="H48" s="559"/>
      <c r="I48" s="559"/>
      <c r="J48" s="560"/>
      <c r="K48" s="559"/>
      <c r="L48" s="559"/>
    </row>
    <row r="49">
      <c r="A49" s="561"/>
      <c r="B49" s="559"/>
      <c r="C49" s="559"/>
      <c r="D49" s="1256"/>
      <c r="E49" s="1256"/>
      <c r="F49" s="1256"/>
      <c r="G49" s="1257"/>
      <c r="H49" s="559"/>
      <c r="I49" s="559"/>
      <c r="J49" s="560"/>
      <c r="K49" s="559"/>
      <c r="L49" s="559"/>
    </row>
    <row r="50">
      <c r="A50" s="561"/>
      <c r="B50" s="559"/>
      <c r="C50" s="559"/>
      <c r="D50" s="1256"/>
      <c r="E50" s="1256"/>
      <c r="F50" s="1256"/>
      <c r="G50" s="1257"/>
      <c r="H50" s="559"/>
      <c r="I50" s="559"/>
      <c r="J50" s="560"/>
      <c r="K50" s="559"/>
      <c r="L50" s="559"/>
    </row>
    <row r="51">
      <c r="A51" s="561"/>
      <c r="B51" s="559"/>
      <c r="C51" s="559"/>
      <c r="D51" s="1257"/>
      <c r="E51" s="1257"/>
      <c r="F51" s="1257"/>
      <c r="G51" s="1257"/>
      <c r="H51" s="559"/>
      <c r="I51" s="559"/>
      <c r="J51" s="560"/>
      <c r="K51" s="559"/>
      <c r="L51" s="559"/>
    </row>
    <row r="52">
      <c r="A52" s="561"/>
      <c r="B52" s="559"/>
      <c r="C52" s="559"/>
      <c r="D52" s="1257"/>
      <c r="E52" s="1257"/>
      <c r="F52" s="1257"/>
      <c r="G52" s="1257"/>
      <c r="H52" s="559"/>
      <c r="I52" s="559"/>
      <c r="J52" s="560"/>
      <c r="K52" s="559"/>
      <c r="L52" s="559"/>
    </row>
    <row r="53">
      <c r="A53" s="561"/>
      <c r="B53" s="559"/>
      <c r="C53" s="559"/>
      <c r="D53" s="1257"/>
      <c r="E53" s="1257"/>
      <c r="F53" s="1257"/>
      <c r="G53" s="559"/>
      <c r="H53" s="559"/>
      <c r="I53" s="559"/>
      <c r="J53" s="560"/>
      <c r="K53" s="559"/>
      <c r="L53" s="559"/>
    </row>
    <row r="54">
      <c r="A54" s="561"/>
      <c r="B54" s="559"/>
      <c r="C54" s="1257"/>
      <c r="D54" s="1257"/>
      <c r="E54" s="1257"/>
      <c r="F54" s="1257"/>
      <c r="G54" s="559"/>
      <c r="H54" s="559"/>
      <c r="I54" s="559"/>
      <c r="J54" s="560"/>
      <c r="K54" s="559"/>
      <c r="L54" s="559"/>
    </row>
    <row r="55">
      <c r="A55" s="561"/>
      <c r="B55" s="559"/>
      <c r="C55" s="559"/>
      <c r="D55" s="1256"/>
      <c r="E55" s="1256"/>
      <c r="F55" s="1256"/>
      <c r="G55" s="559"/>
      <c r="H55" s="559"/>
      <c r="I55" s="559"/>
      <c r="J55" s="560"/>
      <c r="K55" s="559"/>
      <c r="L55" s="559"/>
    </row>
    <row r="56">
      <c r="A56" s="559"/>
      <c r="B56" s="559"/>
      <c r="C56" s="560"/>
      <c r="D56" s="560"/>
      <c r="E56" s="560"/>
      <c r="F56" s="560"/>
      <c r="G56" s="559"/>
      <c r="H56" s="559"/>
      <c r="I56" s="559"/>
      <c r="J56" s="560"/>
      <c r="K56" s="559"/>
      <c r="L56" s="559"/>
    </row>
    <row r="57">
      <c r="A57" s="559"/>
      <c r="B57" s="559"/>
      <c r="C57" s="560"/>
      <c r="D57" s="560"/>
      <c r="E57" s="560"/>
      <c r="F57" s="560"/>
      <c r="G57" s="559"/>
      <c r="H57" s="559"/>
      <c r="I57" s="559"/>
      <c r="J57" s="560"/>
      <c r="K57" s="559"/>
      <c r="L57" s="559"/>
    </row>
    <row r="58">
      <c r="A58" s="561"/>
      <c r="B58" s="561"/>
      <c r="C58" s="559"/>
      <c r="D58" s="1258"/>
      <c r="E58" s="1258"/>
      <c r="F58" s="1258"/>
      <c r="G58" s="1257"/>
      <c r="H58" s="559"/>
      <c r="I58" s="559"/>
      <c r="J58" s="560"/>
      <c r="K58" s="559"/>
      <c r="L58" s="559"/>
    </row>
    <row r="59">
      <c r="A59" s="561"/>
      <c r="B59" s="561"/>
      <c r="C59" s="559"/>
      <c r="D59" s="560"/>
      <c r="E59" s="560"/>
      <c r="F59" s="560"/>
      <c r="G59" s="1257"/>
      <c r="H59" s="559"/>
      <c r="I59" s="559"/>
      <c r="J59" s="560"/>
      <c r="K59" s="559"/>
      <c r="L59" s="559"/>
    </row>
    <row r="60">
      <c r="A60" s="561"/>
      <c r="B60" s="561"/>
      <c r="C60" s="559"/>
      <c r="D60" s="560"/>
      <c r="E60" s="560"/>
      <c r="F60" s="560"/>
      <c r="G60" s="1257"/>
      <c r="H60" s="559"/>
      <c r="I60" s="559"/>
      <c r="J60" s="560"/>
      <c r="K60" s="559"/>
      <c r="L60" s="559"/>
    </row>
    <row r="61">
      <c r="A61" s="561"/>
      <c r="B61" s="561"/>
      <c r="C61" s="559"/>
      <c r="D61" s="560"/>
      <c r="E61" s="560"/>
      <c r="F61" s="560"/>
      <c r="G61" s="1257"/>
      <c r="H61" s="1257"/>
      <c r="I61" s="559"/>
      <c r="J61" s="560"/>
      <c r="K61" s="559"/>
      <c r="L61" s="559"/>
    </row>
    <row r="62">
      <c r="A62" s="561"/>
      <c r="B62" s="561"/>
      <c r="C62" s="559"/>
      <c r="D62" s="560"/>
      <c r="E62" s="560"/>
      <c r="F62" s="560"/>
      <c r="G62" s="1257"/>
      <c r="H62" s="559"/>
      <c r="I62" s="559"/>
      <c r="J62" s="560"/>
      <c r="K62" s="559"/>
      <c r="L62" s="559"/>
    </row>
    <row r="63">
      <c r="A63" s="561"/>
      <c r="B63" s="561"/>
      <c r="C63" s="559"/>
      <c r="D63" s="560"/>
      <c r="E63" s="560"/>
      <c r="F63" s="560"/>
      <c r="G63" s="1257"/>
      <c r="H63" s="559"/>
      <c r="I63" s="559"/>
      <c r="J63" s="560"/>
      <c r="K63" s="559"/>
      <c r="L63" s="559"/>
    </row>
    <row r="64">
      <c r="A64" s="561"/>
      <c r="B64" s="561"/>
      <c r="C64" s="559"/>
      <c r="D64" s="559"/>
      <c r="E64" s="559"/>
      <c r="F64" s="559"/>
      <c r="G64" s="1257"/>
      <c r="H64" s="559"/>
      <c r="I64" s="559"/>
      <c r="J64" s="560"/>
      <c r="K64" s="559"/>
      <c r="L64" s="559"/>
    </row>
    <row r="65">
      <c r="A65" s="561"/>
      <c r="B65" s="561"/>
      <c r="C65" s="559"/>
      <c r="D65" s="560"/>
      <c r="E65" s="560"/>
      <c r="F65" s="560"/>
      <c r="G65" s="1257"/>
      <c r="H65" s="559"/>
      <c r="I65" s="559"/>
      <c r="J65" s="560"/>
      <c r="K65" s="559"/>
      <c r="L65" s="559"/>
    </row>
    <row r="66">
      <c r="A66" s="559"/>
      <c r="B66" s="559"/>
      <c r="C66" s="560"/>
      <c r="D66" s="560"/>
      <c r="E66" s="560"/>
      <c r="F66" s="560"/>
      <c r="G66" s="559"/>
      <c r="H66" s="559"/>
      <c r="I66" s="559"/>
      <c r="J66" s="560"/>
      <c r="K66" s="559"/>
      <c r="L66" s="559"/>
    </row>
    <row r="67">
      <c r="A67" s="559"/>
      <c r="B67" s="559"/>
      <c r="C67" s="560"/>
      <c r="D67" s="560"/>
      <c r="E67" s="560"/>
      <c r="F67" s="560"/>
      <c r="G67" s="559"/>
      <c r="H67" s="559"/>
      <c r="I67" s="559"/>
      <c r="J67" s="560"/>
      <c r="K67" s="559"/>
      <c r="L67" s="559"/>
    </row>
    <row r="68">
      <c r="A68" s="561"/>
      <c r="B68" s="559"/>
      <c r="C68" s="559"/>
      <c r="D68" s="560"/>
      <c r="E68" s="560"/>
      <c r="F68" s="560"/>
      <c r="G68" s="1257"/>
      <c r="H68" s="559"/>
      <c r="I68" s="559"/>
      <c r="J68" s="560"/>
      <c r="K68" s="559"/>
      <c r="L68" s="559"/>
    </row>
    <row r="69">
      <c r="A69" s="561"/>
      <c r="B69" s="561"/>
      <c r="C69" s="559"/>
      <c r="D69" s="560"/>
      <c r="E69" s="560"/>
      <c r="F69" s="560"/>
      <c r="G69" s="1257"/>
      <c r="H69" s="559"/>
      <c r="I69" s="559"/>
      <c r="J69" s="560"/>
      <c r="K69" s="559"/>
      <c r="L69" s="559"/>
    </row>
    <row r="70">
      <c r="A70" s="561"/>
      <c r="B70" s="561"/>
      <c r="C70" s="559"/>
      <c r="D70" s="560"/>
      <c r="E70" s="560"/>
      <c r="F70" s="560"/>
      <c r="G70" s="1257"/>
      <c r="H70" s="559"/>
      <c r="I70" s="559"/>
      <c r="J70" s="560"/>
      <c r="K70" s="559"/>
      <c r="L70" s="559"/>
    </row>
    <row r="71">
      <c r="A71" s="561"/>
      <c r="B71" s="561"/>
      <c r="C71" s="559"/>
      <c r="D71" s="560"/>
      <c r="E71" s="560"/>
      <c r="F71" s="560"/>
      <c r="G71" s="1257"/>
      <c r="H71" s="559"/>
      <c r="I71" s="559"/>
      <c r="J71" s="560"/>
      <c r="K71" s="559"/>
      <c r="L71" s="559"/>
    </row>
    <row r="72">
      <c r="A72" s="561"/>
      <c r="B72" s="561"/>
      <c r="C72" s="559"/>
      <c r="D72" s="560"/>
      <c r="E72" s="560"/>
      <c r="F72" s="560"/>
      <c r="G72" s="1257"/>
      <c r="H72" s="559"/>
      <c r="I72" s="559"/>
      <c r="J72" s="560"/>
      <c r="K72" s="559"/>
      <c r="L72" s="559"/>
    </row>
    <row r="73">
      <c r="A73" s="561"/>
      <c r="B73" s="561"/>
      <c r="C73" s="559"/>
      <c r="D73" s="560"/>
      <c r="E73" s="560"/>
      <c r="F73" s="560"/>
      <c r="G73" s="1257"/>
      <c r="H73" s="559"/>
      <c r="I73" s="559"/>
      <c r="J73" s="560"/>
      <c r="K73" s="559"/>
      <c r="L73" s="559"/>
    </row>
    <row r="74">
      <c r="A74" s="561"/>
      <c r="B74" s="561"/>
      <c r="C74" s="559"/>
      <c r="D74" s="559"/>
      <c r="E74" s="559"/>
      <c r="F74" s="559"/>
      <c r="G74" s="1257"/>
      <c r="H74" s="559"/>
      <c r="I74" s="559"/>
      <c r="J74" s="560"/>
      <c r="K74" s="559"/>
      <c r="L74" s="559"/>
    </row>
    <row r="75">
      <c r="A75" s="561"/>
      <c r="B75" s="561"/>
      <c r="C75" s="559"/>
      <c r="D75" s="560"/>
      <c r="E75" s="560"/>
      <c r="F75" s="560"/>
      <c r="G75" s="1257"/>
      <c r="H75" s="559"/>
      <c r="I75" s="559"/>
      <c r="J75" s="560"/>
      <c r="K75" s="559"/>
      <c r="L75" s="559"/>
    </row>
    <row r="76">
      <c r="A76" s="559"/>
      <c r="B76" s="559"/>
      <c r="C76" s="560"/>
      <c r="D76" s="560"/>
      <c r="E76" s="560"/>
      <c r="F76" s="560"/>
      <c r="G76" s="559"/>
      <c r="H76" s="559"/>
      <c r="I76" s="559"/>
      <c r="J76" s="560"/>
      <c r="K76" s="559"/>
      <c r="L76" s="559"/>
    </row>
    <row r="77">
      <c r="A77" s="559"/>
      <c r="B77" s="559"/>
      <c r="C77" s="560"/>
      <c r="D77" s="560"/>
      <c r="E77" s="560"/>
      <c r="F77" s="560"/>
      <c r="G77" s="559"/>
      <c r="H77" s="559"/>
      <c r="I77" s="559"/>
      <c r="J77" s="560"/>
      <c r="K77" s="559"/>
      <c r="L77" s="559"/>
    </row>
    <row r="78">
      <c r="A78" s="561"/>
      <c r="B78" s="559"/>
      <c r="C78" s="559"/>
      <c r="D78" s="560"/>
      <c r="E78" s="560"/>
      <c r="F78" s="560"/>
      <c r="G78" s="559"/>
      <c r="H78" s="559"/>
      <c r="I78" s="559"/>
      <c r="J78" s="560"/>
      <c r="K78" s="559"/>
      <c r="L78" s="559"/>
    </row>
    <row r="79">
      <c r="A79" s="561"/>
      <c r="B79" s="559"/>
      <c r="C79" s="559"/>
      <c r="D79" s="560"/>
      <c r="E79" s="560"/>
      <c r="F79" s="560"/>
      <c r="G79" s="559"/>
      <c r="H79" s="559"/>
      <c r="I79" s="559"/>
      <c r="J79" s="560"/>
      <c r="K79" s="559"/>
      <c r="L79" s="559"/>
    </row>
    <row r="80">
      <c r="A80" s="561"/>
      <c r="B80" s="559"/>
      <c r="C80" s="559"/>
      <c r="D80" s="560"/>
      <c r="E80" s="560"/>
      <c r="F80" s="560"/>
      <c r="G80" s="559"/>
      <c r="H80" s="559"/>
      <c r="I80" s="559"/>
      <c r="J80" s="560"/>
      <c r="K80" s="559"/>
      <c r="L80" s="559"/>
    </row>
    <row r="81">
      <c r="A81" s="561"/>
      <c r="B81" s="559"/>
      <c r="C81" s="559"/>
      <c r="D81" s="560"/>
      <c r="E81" s="560"/>
      <c r="F81" s="560"/>
      <c r="G81" s="559"/>
      <c r="H81" s="559"/>
      <c r="I81" s="559"/>
      <c r="J81" s="560"/>
      <c r="K81" s="559"/>
      <c r="L81" s="559"/>
    </row>
    <row r="82">
      <c r="A82" s="561"/>
      <c r="B82" s="559"/>
      <c r="C82" s="559"/>
      <c r="D82" s="560"/>
      <c r="E82" s="560"/>
      <c r="F82" s="560"/>
      <c r="G82" s="1257"/>
      <c r="H82" s="559"/>
      <c r="I82" s="559"/>
      <c r="J82" s="560"/>
      <c r="K82" s="559"/>
      <c r="L82" s="559"/>
    </row>
    <row r="83">
      <c r="A83" s="561"/>
      <c r="B83" s="559"/>
      <c r="C83" s="559"/>
      <c r="D83" s="560"/>
      <c r="E83" s="560"/>
      <c r="F83" s="560"/>
      <c r="G83" s="559"/>
      <c r="H83" s="559"/>
      <c r="I83" s="559"/>
      <c r="J83" s="560"/>
      <c r="K83" s="559"/>
      <c r="L83" s="559"/>
    </row>
    <row r="84">
      <c r="A84" s="561"/>
      <c r="B84" s="559"/>
      <c r="C84" s="559"/>
      <c r="D84" s="559"/>
      <c r="E84" s="559"/>
      <c r="F84" s="559"/>
      <c r="G84" s="559"/>
      <c r="H84" s="559"/>
      <c r="I84" s="559"/>
      <c r="J84" s="560"/>
      <c r="K84" s="559"/>
      <c r="L84" s="559"/>
    </row>
    <row r="85">
      <c r="A85" s="561"/>
      <c r="B85" s="559"/>
      <c r="C85" s="559"/>
      <c r="D85" s="560"/>
      <c r="E85" s="560"/>
      <c r="F85" s="560"/>
      <c r="G85" s="559"/>
      <c r="H85" s="559"/>
      <c r="I85" s="559"/>
      <c r="J85" s="560"/>
      <c r="K85" s="559"/>
      <c r="L85" s="559"/>
    </row>
    <row r="86">
      <c r="A86" s="559"/>
      <c r="B86" s="559"/>
      <c r="C86" s="559"/>
      <c r="D86" s="559"/>
      <c r="E86" s="559"/>
      <c r="F86" s="559"/>
      <c r="G86" s="559"/>
      <c r="H86" s="559"/>
      <c r="I86" s="559"/>
      <c r="J86" s="560"/>
      <c r="K86" s="559"/>
      <c r="L86" s="559"/>
    </row>
    <row r="87">
      <c r="A87" s="559"/>
      <c r="B87" s="559"/>
      <c r="C87" s="560"/>
      <c r="D87" s="560"/>
      <c r="E87" s="560"/>
      <c r="F87" s="560"/>
      <c r="G87" s="559"/>
      <c r="H87" s="559"/>
      <c r="I87" s="559"/>
      <c r="J87" s="560"/>
      <c r="K87" s="559"/>
      <c r="L87" s="559"/>
    </row>
    <row r="88">
      <c r="A88" s="561"/>
      <c r="B88" s="559"/>
      <c r="C88" s="559"/>
      <c r="D88" s="560"/>
      <c r="E88" s="560"/>
      <c r="F88" s="560"/>
      <c r="G88" s="559"/>
      <c r="H88" s="559"/>
      <c r="I88" s="559"/>
      <c r="J88" s="560"/>
      <c r="K88" s="559"/>
      <c r="L88" s="559"/>
    </row>
    <row r="89">
      <c r="A89" s="561"/>
      <c r="B89" s="559"/>
      <c r="C89" s="559"/>
      <c r="D89" s="560"/>
      <c r="E89" s="560"/>
      <c r="F89" s="560"/>
      <c r="G89" s="559"/>
      <c r="H89" s="559"/>
      <c r="I89" s="559"/>
      <c r="J89" s="560"/>
      <c r="K89" s="559"/>
      <c r="L89" s="559"/>
    </row>
    <row r="90">
      <c r="A90" s="561"/>
      <c r="B90" s="559"/>
      <c r="C90" s="559"/>
      <c r="D90" s="560"/>
      <c r="E90" s="560"/>
      <c r="F90" s="560"/>
      <c r="G90" s="559"/>
      <c r="H90" s="559"/>
      <c r="I90" s="559"/>
      <c r="J90" s="560"/>
      <c r="K90" s="559"/>
      <c r="L90" s="559"/>
    </row>
    <row r="91">
      <c r="A91" s="561"/>
      <c r="B91" s="559"/>
      <c r="C91" s="559"/>
      <c r="D91" s="560"/>
      <c r="E91" s="560"/>
      <c r="F91" s="560"/>
      <c r="G91" s="559"/>
      <c r="H91" s="559"/>
      <c r="I91" s="559"/>
      <c r="J91" s="560"/>
      <c r="K91" s="559"/>
      <c r="L91" s="559"/>
    </row>
    <row r="92">
      <c r="A92" s="561"/>
      <c r="B92" s="559"/>
      <c r="C92" s="559"/>
      <c r="D92" s="560"/>
      <c r="E92" s="560"/>
      <c r="F92" s="560"/>
      <c r="G92" s="1257"/>
      <c r="H92" s="559"/>
      <c r="I92" s="559"/>
      <c r="J92" s="560"/>
      <c r="K92" s="559"/>
      <c r="L92" s="559"/>
    </row>
    <row r="93">
      <c r="A93" s="561"/>
      <c r="B93" s="559"/>
      <c r="C93" s="559"/>
      <c r="D93" s="560"/>
      <c r="E93" s="560"/>
      <c r="F93" s="560"/>
      <c r="G93" s="559"/>
      <c r="H93" s="559"/>
      <c r="I93" s="559"/>
      <c r="J93" s="560"/>
      <c r="K93" s="559"/>
      <c r="L93" s="559"/>
    </row>
    <row r="94">
      <c r="A94" s="561"/>
      <c r="B94" s="559"/>
      <c r="C94" s="559"/>
      <c r="D94" s="559"/>
      <c r="E94" s="559"/>
      <c r="F94" s="559"/>
      <c r="G94" s="559"/>
      <c r="H94" s="559"/>
      <c r="I94" s="559"/>
      <c r="J94" s="560"/>
      <c r="K94" s="559"/>
      <c r="L94" s="559"/>
    </row>
    <row r="95">
      <c r="A95" s="561"/>
      <c r="B95" s="559"/>
      <c r="C95" s="559"/>
      <c r="D95" s="560"/>
      <c r="E95" s="560"/>
      <c r="F95" s="560"/>
      <c r="G95" s="559"/>
      <c r="H95" s="559"/>
      <c r="I95" s="559"/>
      <c r="J95" s="560"/>
      <c r="K95" s="559"/>
      <c r="L95" s="559"/>
    </row>
    <row r="96">
      <c r="A96" s="559"/>
      <c r="B96" s="559"/>
      <c r="C96" s="560"/>
      <c r="D96" s="560"/>
      <c r="E96" s="560"/>
      <c r="F96" s="560"/>
      <c r="G96" s="559"/>
      <c r="H96" s="559"/>
      <c r="I96" s="559"/>
      <c r="J96" s="560"/>
      <c r="K96" s="559"/>
      <c r="L96" s="559"/>
    </row>
    <row r="97">
      <c r="A97" s="559"/>
      <c r="B97" s="559"/>
      <c r="C97" s="560"/>
      <c r="D97" s="560"/>
      <c r="E97" s="560"/>
      <c r="F97" s="560"/>
      <c r="G97" s="559"/>
      <c r="H97" s="559"/>
      <c r="I97" s="559"/>
      <c r="J97" s="560"/>
      <c r="K97" s="559"/>
      <c r="L97" s="559"/>
    </row>
    <row r="98">
      <c r="A98" s="561"/>
      <c r="B98" s="559"/>
      <c r="C98" s="559"/>
      <c r="D98" s="560"/>
      <c r="E98" s="560"/>
      <c r="F98" s="560"/>
      <c r="G98" s="559"/>
      <c r="H98" s="559"/>
      <c r="I98" s="559"/>
      <c r="J98" s="560"/>
      <c r="K98" s="559"/>
      <c r="L98" s="559"/>
    </row>
    <row r="99">
      <c r="A99" s="561"/>
      <c r="B99" s="559"/>
      <c r="C99" s="559"/>
      <c r="D99" s="560"/>
      <c r="E99" s="560"/>
      <c r="F99" s="560"/>
      <c r="G99" s="559"/>
      <c r="H99" s="559"/>
      <c r="I99" s="559"/>
      <c r="J99" s="560"/>
      <c r="K99" s="559"/>
      <c r="L99" s="559"/>
    </row>
    <row r="100">
      <c r="A100" s="561"/>
      <c r="B100" s="559"/>
      <c r="C100" s="559"/>
      <c r="D100" s="560"/>
      <c r="E100" s="560"/>
      <c r="F100" s="560"/>
      <c r="G100" s="559"/>
      <c r="H100" s="559"/>
      <c r="I100" s="559"/>
      <c r="J100" s="560"/>
      <c r="K100" s="559"/>
      <c r="L100" s="559"/>
    </row>
    <row r="101">
      <c r="A101" s="561"/>
      <c r="B101" s="559"/>
      <c r="C101" s="559"/>
      <c r="D101" s="560"/>
      <c r="E101" s="560"/>
      <c r="F101" s="560"/>
      <c r="G101" s="559"/>
      <c r="H101" s="559"/>
      <c r="I101" s="559"/>
      <c r="J101" s="560"/>
      <c r="K101" s="559"/>
      <c r="L101" s="559"/>
    </row>
    <row r="102">
      <c r="A102" s="561"/>
      <c r="B102" s="559"/>
      <c r="C102" s="559"/>
      <c r="D102" s="560"/>
      <c r="E102" s="560"/>
      <c r="F102" s="560"/>
      <c r="G102" s="1257"/>
      <c r="H102" s="559"/>
      <c r="I102" s="559"/>
      <c r="J102" s="560"/>
      <c r="K102" s="559"/>
      <c r="L102" s="559"/>
    </row>
    <row r="103">
      <c r="A103" s="561"/>
      <c r="B103" s="559"/>
      <c r="C103" s="559"/>
      <c r="D103" s="560"/>
      <c r="E103" s="560"/>
      <c r="F103" s="560"/>
      <c r="G103" s="559"/>
      <c r="H103" s="559"/>
      <c r="I103" s="559"/>
      <c r="J103" s="560"/>
      <c r="K103" s="559"/>
      <c r="L103" s="559"/>
    </row>
    <row r="104">
      <c r="A104" s="561"/>
      <c r="B104" s="559"/>
      <c r="C104" s="559"/>
      <c r="D104" s="559"/>
      <c r="E104" s="559"/>
      <c r="F104" s="559"/>
      <c r="G104" s="559"/>
      <c r="H104" s="559"/>
      <c r="I104" s="559"/>
      <c r="J104" s="560"/>
      <c r="K104" s="559"/>
      <c r="L104" s="559"/>
    </row>
    <row r="105">
      <c r="A105" s="561"/>
      <c r="B105" s="559"/>
      <c r="C105" s="559"/>
      <c r="D105" s="560"/>
      <c r="E105" s="560"/>
      <c r="F105" s="560"/>
      <c r="G105" s="559"/>
      <c r="H105" s="559"/>
      <c r="I105" s="559"/>
      <c r="J105" s="560"/>
      <c r="K105" s="559"/>
      <c r="L105" s="559"/>
    </row>
    <row r="106">
      <c r="A106" s="559"/>
      <c r="B106" s="559"/>
      <c r="C106" s="560"/>
      <c r="D106" s="560"/>
      <c r="E106" s="560"/>
      <c r="F106" s="560"/>
      <c r="G106" s="559"/>
      <c r="H106" s="559"/>
      <c r="I106" s="559"/>
      <c r="J106" s="560"/>
      <c r="K106" s="559"/>
      <c r="L106" s="559"/>
    </row>
    <row r="107">
      <c r="A107" s="559"/>
      <c r="B107" s="559"/>
      <c r="C107" s="560"/>
      <c r="D107" s="560"/>
      <c r="E107" s="560"/>
      <c r="F107" s="560"/>
      <c r="G107" s="559"/>
      <c r="H107" s="559"/>
      <c r="I107" s="559"/>
      <c r="J107" s="560"/>
      <c r="K107" s="559"/>
      <c r="L107" s="559"/>
    </row>
    <row r="108">
      <c r="A108" s="561"/>
      <c r="B108" s="559"/>
      <c r="C108" s="559"/>
      <c r="D108" s="560"/>
      <c r="E108" s="560"/>
      <c r="F108" s="560"/>
      <c r="G108" s="559"/>
      <c r="H108" s="559"/>
      <c r="I108" s="559"/>
      <c r="J108" s="560"/>
      <c r="K108" s="559"/>
      <c r="L108" s="559"/>
    </row>
    <row r="109">
      <c r="A109" s="561"/>
      <c r="B109" s="559"/>
      <c r="C109" s="559"/>
      <c r="D109" s="560"/>
      <c r="E109" s="560"/>
      <c r="F109" s="560"/>
      <c r="G109" s="559"/>
      <c r="H109" s="559"/>
      <c r="I109" s="559"/>
      <c r="J109" s="560"/>
      <c r="K109" s="559"/>
      <c r="L109" s="559"/>
    </row>
    <row r="110">
      <c r="A110" s="561"/>
      <c r="B110" s="559"/>
      <c r="C110" s="559"/>
      <c r="D110" s="560"/>
      <c r="E110" s="560"/>
      <c r="F110" s="560"/>
      <c r="G110" s="559"/>
      <c r="H110" s="559"/>
      <c r="I110" s="559"/>
      <c r="J110" s="560"/>
      <c r="K110" s="559"/>
      <c r="L110" s="559"/>
    </row>
    <row r="111">
      <c r="A111" s="561"/>
      <c r="B111" s="559"/>
      <c r="C111" s="559"/>
      <c r="D111" s="560"/>
      <c r="E111" s="560"/>
      <c r="F111" s="560"/>
      <c r="G111" s="559"/>
      <c r="H111" s="559"/>
      <c r="I111" s="559"/>
      <c r="J111" s="560"/>
      <c r="K111" s="559"/>
      <c r="L111" s="559"/>
    </row>
    <row r="112">
      <c r="A112" s="561"/>
      <c r="B112" s="559"/>
      <c r="C112" s="559"/>
      <c r="D112" s="560"/>
      <c r="E112" s="560"/>
      <c r="F112" s="560"/>
      <c r="G112" s="1257"/>
      <c r="H112" s="559"/>
      <c r="I112" s="559"/>
      <c r="J112" s="560"/>
      <c r="K112" s="559"/>
      <c r="L112" s="559"/>
    </row>
    <row r="113">
      <c r="A113" s="561"/>
      <c r="B113" s="559"/>
      <c r="C113" s="559"/>
      <c r="D113" s="560"/>
      <c r="E113" s="560"/>
      <c r="F113" s="560"/>
      <c r="G113" s="559"/>
      <c r="H113" s="559"/>
      <c r="I113" s="559"/>
      <c r="J113" s="560"/>
      <c r="K113" s="559"/>
      <c r="L113" s="559"/>
    </row>
    <row r="114">
      <c r="A114" s="561"/>
      <c r="B114" s="559"/>
      <c r="C114" s="559"/>
      <c r="D114" s="559"/>
      <c r="E114" s="559"/>
      <c r="F114" s="559"/>
      <c r="G114" s="559"/>
      <c r="H114" s="559"/>
      <c r="I114" s="559"/>
      <c r="J114" s="560"/>
      <c r="K114" s="559"/>
      <c r="L114" s="559"/>
    </row>
    <row r="115">
      <c r="A115" s="561"/>
      <c r="B115" s="559"/>
      <c r="C115" s="559"/>
      <c r="D115" s="560"/>
      <c r="E115" s="560"/>
      <c r="F115" s="560"/>
      <c r="G115" s="559"/>
      <c r="H115" s="559"/>
      <c r="I115" s="559"/>
      <c r="J115" s="560"/>
      <c r="K115" s="559"/>
      <c r="L115" s="559"/>
    </row>
    <row r="116">
      <c r="A116" s="559"/>
      <c r="B116" s="559"/>
      <c r="C116" s="560"/>
      <c r="D116" s="560"/>
      <c r="E116" s="560"/>
      <c r="F116" s="560"/>
      <c r="G116" s="559"/>
      <c r="H116" s="559"/>
      <c r="I116" s="559"/>
      <c r="J116" s="560"/>
      <c r="K116" s="559"/>
      <c r="L116" s="559"/>
    </row>
    <row r="117">
      <c r="A117" s="559"/>
      <c r="B117" s="559"/>
      <c r="C117" s="560"/>
      <c r="D117" s="560"/>
      <c r="E117" s="560"/>
      <c r="F117" s="560"/>
      <c r="G117" s="559"/>
      <c r="H117" s="559"/>
      <c r="I117" s="559"/>
      <c r="J117" s="560"/>
      <c r="K117" s="559"/>
      <c r="L117" s="559"/>
    </row>
    <row r="118">
      <c r="A118" s="561"/>
      <c r="B118" s="559"/>
      <c r="C118" s="559"/>
      <c r="D118" s="560"/>
      <c r="E118" s="560"/>
      <c r="F118" s="560"/>
      <c r="G118" s="559"/>
      <c r="H118" s="559"/>
      <c r="I118" s="559"/>
      <c r="J118" s="560"/>
      <c r="K118" s="559"/>
      <c r="L118" s="559"/>
    </row>
    <row r="119">
      <c r="A119" s="561"/>
      <c r="B119" s="559"/>
      <c r="C119" s="559"/>
      <c r="D119" s="560"/>
      <c r="E119" s="560"/>
      <c r="F119" s="560"/>
      <c r="G119" s="559"/>
      <c r="H119" s="559"/>
      <c r="I119" s="559"/>
      <c r="J119" s="560"/>
      <c r="K119" s="559"/>
      <c r="L119" s="559"/>
    </row>
    <row r="120">
      <c r="A120" s="561"/>
      <c r="B120" s="559"/>
      <c r="C120" s="559"/>
      <c r="D120" s="560"/>
      <c r="E120" s="560"/>
      <c r="F120" s="560"/>
      <c r="G120" s="559"/>
      <c r="H120" s="559"/>
      <c r="I120" s="559"/>
      <c r="J120" s="560"/>
      <c r="K120" s="559"/>
      <c r="L120" s="559"/>
    </row>
    <row r="121">
      <c r="A121" s="561"/>
      <c r="B121" s="559"/>
      <c r="C121" s="559"/>
      <c r="D121" s="560"/>
      <c r="E121" s="560"/>
      <c r="F121" s="560"/>
      <c r="G121" s="559"/>
      <c r="H121" s="559"/>
      <c r="I121" s="559"/>
      <c r="J121" s="560"/>
      <c r="K121" s="559"/>
      <c r="L121" s="559"/>
    </row>
    <row r="122">
      <c r="A122" s="561"/>
      <c r="B122" s="559"/>
      <c r="C122" s="559"/>
      <c r="D122" s="560"/>
      <c r="E122" s="560"/>
      <c r="F122" s="560"/>
      <c r="G122" s="1257"/>
      <c r="H122" s="559"/>
      <c r="I122" s="559"/>
      <c r="J122" s="560"/>
      <c r="K122" s="559"/>
      <c r="L122" s="559"/>
    </row>
    <row r="123">
      <c r="A123" s="561"/>
      <c r="B123" s="559"/>
      <c r="C123" s="559"/>
      <c r="D123" s="560"/>
      <c r="E123" s="560"/>
      <c r="F123" s="560"/>
      <c r="G123" s="559"/>
      <c r="H123" s="559"/>
      <c r="I123" s="559"/>
      <c r="J123" s="560"/>
      <c r="K123" s="559"/>
      <c r="L123" s="559"/>
    </row>
    <row r="124">
      <c r="A124" s="561"/>
      <c r="B124" s="559"/>
      <c r="C124" s="559"/>
      <c r="D124" s="559"/>
      <c r="E124" s="559"/>
      <c r="F124" s="559"/>
      <c r="G124" s="559"/>
      <c r="H124" s="559"/>
      <c r="I124" s="559"/>
      <c r="J124" s="560"/>
      <c r="K124" s="559"/>
      <c r="L124" s="559"/>
    </row>
    <row r="125">
      <c r="A125" s="561"/>
      <c r="B125" s="559"/>
      <c r="C125" s="559"/>
      <c r="D125" s="560"/>
      <c r="E125" s="560"/>
      <c r="F125" s="560"/>
      <c r="G125" s="559"/>
      <c r="H125" s="559"/>
      <c r="I125" s="559"/>
      <c r="J125" s="560"/>
      <c r="K125" s="559"/>
      <c r="L125" s="559"/>
    </row>
    <row r="126">
      <c r="A126" s="559"/>
      <c r="B126" s="559"/>
      <c r="C126" s="560"/>
      <c r="D126" s="560"/>
      <c r="E126" s="560"/>
      <c r="F126" s="560"/>
      <c r="G126" s="559"/>
      <c r="H126" s="559"/>
      <c r="I126" s="559"/>
      <c r="J126" s="560"/>
      <c r="K126" s="559"/>
      <c r="L126" s="559"/>
    </row>
    <row r="127">
      <c r="A127" s="559"/>
      <c r="B127" s="559"/>
      <c r="C127" s="560"/>
      <c r="D127" s="560"/>
      <c r="E127" s="560"/>
      <c r="F127" s="560"/>
      <c r="G127" s="559"/>
      <c r="H127" s="559"/>
      <c r="I127" s="559"/>
      <c r="J127" s="560"/>
      <c r="K127" s="559"/>
      <c r="L127" s="559"/>
    </row>
    <row r="128">
      <c r="A128" s="561"/>
      <c r="B128" s="559"/>
      <c r="C128" s="559"/>
      <c r="D128" s="560"/>
      <c r="E128" s="560"/>
      <c r="F128" s="560"/>
      <c r="G128" s="559"/>
      <c r="H128" s="559"/>
      <c r="I128" s="559"/>
      <c r="J128" s="560"/>
      <c r="K128" s="559"/>
      <c r="L128" s="559"/>
    </row>
    <row r="129">
      <c r="A129" s="561"/>
      <c r="B129" s="559"/>
      <c r="C129" s="559"/>
      <c r="D129" s="560"/>
      <c r="E129" s="560"/>
      <c r="F129" s="560"/>
      <c r="G129" s="559"/>
      <c r="H129" s="559"/>
      <c r="I129" s="559"/>
      <c r="J129" s="560"/>
      <c r="K129" s="559"/>
      <c r="L129" s="559"/>
    </row>
    <row r="130">
      <c r="A130" s="561"/>
      <c r="B130" s="559"/>
      <c r="C130" s="559"/>
      <c r="D130" s="560"/>
      <c r="E130" s="560"/>
      <c r="F130" s="560"/>
      <c r="G130" s="559"/>
      <c r="H130" s="559"/>
      <c r="I130" s="559"/>
      <c r="J130" s="560"/>
      <c r="K130" s="559"/>
      <c r="L130" s="559"/>
    </row>
    <row r="131">
      <c r="A131" s="561"/>
      <c r="B131" s="559"/>
      <c r="C131" s="559"/>
      <c r="D131" s="560"/>
      <c r="E131" s="560"/>
      <c r="F131" s="560"/>
      <c r="G131" s="559"/>
      <c r="H131" s="559"/>
      <c r="I131" s="559"/>
      <c r="J131" s="560"/>
      <c r="K131" s="559"/>
      <c r="L131" s="559"/>
    </row>
    <row r="132">
      <c r="A132" s="561"/>
      <c r="B132" s="559"/>
      <c r="C132" s="559"/>
      <c r="D132" s="560"/>
      <c r="E132" s="560"/>
      <c r="F132" s="560"/>
      <c r="G132" s="1257"/>
      <c r="H132" s="559"/>
      <c r="I132" s="559"/>
      <c r="J132" s="560"/>
      <c r="K132" s="559"/>
      <c r="L132" s="559"/>
    </row>
    <row r="133">
      <c r="A133" s="561"/>
      <c r="B133" s="559"/>
      <c r="C133" s="559"/>
      <c r="D133" s="560"/>
      <c r="E133" s="560"/>
      <c r="F133" s="560"/>
      <c r="G133" s="559"/>
      <c r="H133" s="559"/>
      <c r="I133" s="559"/>
      <c r="J133" s="560"/>
      <c r="K133" s="559"/>
      <c r="L133" s="559"/>
    </row>
    <row r="134">
      <c r="A134" s="561"/>
      <c r="B134" s="559"/>
      <c r="C134" s="559"/>
      <c r="D134" s="559"/>
      <c r="E134" s="559"/>
      <c r="F134" s="559"/>
      <c r="G134" s="559"/>
      <c r="H134" s="559"/>
      <c r="I134" s="559"/>
      <c r="J134" s="560"/>
      <c r="K134" s="559"/>
      <c r="L134" s="559"/>
    </row>
    <row r="135">
      <c r="A135" s="561"/>
      <c r="B135" s="559"/>
      <c r="C135" s="559"/>
      <c r="D135" s="560"/>
      <c r="E135" s="560"/>
      <c r="F135" s="560"/>
      <c r="G135" s="559"/>
      <c r="H135" s="559"/>
      <c r="I135" s="559"/>
      <c r="J135" s="560"/>
      <c r="K135" s="559"/>
      <c r="L135" s="559"/>
    </row>
    <row r="136">
      <c r="A136" s="559"/>
      <c r="B136" s="559"/>
      <c r="C136" s="560"/>
      <c r="D136" s="560"/>
      <c r="E136" s="560"/>
      <c r="F136" s="560"/>
      <c r="G136" s="559"/>
      <c r="H136" s="559"/>
      <c r="I136" s="559"/>
      <c r="J136" s="560"/>
      <c r="K136" s="559"/>
      <c r="L136" s="559"/>
    </row>
    <row r="137">
      <c r="A137" s="559"/>
      <c r="B137" s="559"/>
      <c r="C137" s="560"/>
      <c r="D137" s="560"/>
      <c r="E137" s="560"/>
      <c r="F137" s="560"/>
      <c r="G137" s="559"/>
      <c r="H137" s="559"/>
      <c r="I137" s="559"/>
      <c r="J137" s="560"/>
      <c r="K137" s="559"/>
      <c r="L137" s="559"/>
    </row>
    <row r="138">
      <c r="A138" s="561"/>
      <c r="B138" s="559"/>
      <c r="C138" s="559"/>
      <c r="D138" s="560"/>
      <c r="E138" s="560"/>
      <c r="F138" s="560"/>
      <c r="G138" s="559"/>
      <c r="H138" s="559"/>
      <c r="I138" s="559"/>
      <c r="J138" s="560"/>
      <c r="K138" s="559"/>
      <c r="L138" s="559"/>
    </row>
    <row r="139">
      <c r="A139" s="561"/>
      <c r="B139" s="559"/>
      <c r="C139" s="559"/>
      <c r="D139" s="560"/>
      <c r="E139" s="560"/>
      <c r="F139" s="560"/>
      <c r="G139" s="559"/>
      <c r="H139" s="559"/>
      <c r="I139" s="559"/>
      <c r="J139" s="560"/>
      <c r="K139" s="559"/>
      <c r="L139" s="559"/>
    </row>
    <row r="140">
      <c r="A140" s="561"/>
      <c r="B140" s="559"/>
      <c r="C140" s="559"/>
      <c r="D140" s="560"/>
      <c r="E140" s="560"/>
      <c r="F140" s="560"/>
      <c r="G140" s="559"/>
      <c r="H140" s="559"/>
      <c r="I140" s="559"/>
      <c r="J140" s="560"/>
      <c r="K140" s="559"/>
      <c r="L140" s="559"/>
    </row>
    <row r="141">
      <c r="A141" s="561"/>
      <c r="B141" s="559"/>
      <c r="C141" s="559"/>
      <c r="D141" s="560"/>
      <c r="E141" s="560"/>
      <c r="F141" s="560"/>
      <c r="G141" s="559"/>
      <c r="H141" s="559"/>
      <c r="I141" s="559"/>
      <c r="J141" s="560"/>
      <c r="K141" s="559"/>
      <c r="L141" s="559"/>
    </row>
    <row r="142">
      <c r="A142" s="561"/>
      <c r="B142" s="559"/>
      <c r="C142" s="559"/>
      <c r="D142" s="560"/>
      <c r="E142" s="560"/>
      <c r="F142" s="560"/>
      <c r="G142" s="1257"/>
      <c r="H142" s="559"/>
      <c r="I142" s="559"/>
      <c r="J142" s="560"/>
      <c r="K142" s="559"/>
      <c r="L142" s="559"/>
    </row>
    <row r="143">
      <c r="A143" s="561"/>
      <c r="B143" s="559"/>
      <c r="C143" s="559"/>
      <c r="D143" s="560"/>
      <c r="E143" s="560"/>
      <c r="F143" s="560"/>
      <c r="G143" s="559"/>
      <c r="H143" s="559"/>
      <c r="I143" s="559"/>
      <c r="J143" s="560"/>
      <c r="K143" s="559"/>
      <c r="L143" s="559"/>
    </row>
    <row r="144">
      <c r="A144" s="561"/>
      <c r="B144" s="559"/>
      <c r="C144" s="559"/>
      <c r="D144" s="559"/>
      <c r="E144" s="559"/>
      <c r="F144" s="559"/>
      <c r="G144" s="559"/>
      <c r="H144" s="559"/>
      <c r="I144" s="559"/>
      <c r="J144" s="560"/>
      <c r="K144" s="559"/>
      <c r="L144" s="559"/>
    </row>
    <row r="145">
      <c r="A145" s="561"/>
      <c r="B145" s="559"/>
      <c r="C145" s="559"/>
      <c r="D145" s="560"/>
      <c r="E145" s="560"/>
      <c r="F145" s="560"/>
      <c r="G145" s="559"/>
      <c r="H145" s="559"/>
      <c r="I145" s="559"/>
      <c r="J145" s="560"/>
      <c r="K145" s="559"/>
      <c r="L145" s="559"/>
    </row>
    <row r="146">
      <c r="A146" s="559"/>
      <c r="B146" s="559"/>
      <c r="C146" s="559"/>
      <c r="D146" s="559"/>
      <c r="E146" s="559"/>
      <c r="F146" s="559"/>
      <c r="G146" s="559"/>
      <c r="H146" s="559"/>
      <c r="I146" s="559"/>
      <c r="J146" s="560"/>
      <c r="K146" s="559"/>
      <c r="L146" s="559"/>
    </row>
    <row r="147">
      <c r="A147" s="559"/>
      <c r="B147" s="559"/>
      <c r="C147" s="559"/>
      <c r="D147" s="559"/>
      <c r="E147" s="559"/>
      <c r="F147" s="559"/>
      <c r="G147" s="559"/>
      <c r="H147" s="559"/>
      <c r="I147" s="559"/>
      <c r="J147" s="560"/>
      <c r="K147" s="559"/>
      <c r="L147" s="559"/>
    </row>
    <row r="148">
      <c r="A148" s="559"/>
      <c r="B148" s="559"/>
      <c r="C148" s="559"/>
      <c r="D148" s="559"/>
      <c r="E148" s="559"/>
      <c r="F148" s="559"/>
      <c r="G148" s="559"/>
      <c r="H148" s="559"/>
      <c r="I148" s="559"/>
      <c r="J148" s="560"/>
      <c r="K148" s="559"/>
      <c r="L148" s="559"/>
    </row>
    <row r="149">
      <c r="A149" s="559"/>
      <c r="B149" s="559"/>
      <c r="C149" s="559"/>
      <c r="D149" s="559"/>
      <c r="E149" s="559"/>
      <c r="F149" s="559"/>
      <c r="G149" s="559"/>
      <c r="H149" s="559"/>
      <c r="I149" s="559"/>
      <c r="J149" s="560"/>
      <c r="K149" s="559"/>
      <c r="L149" s="559"/>
    </row>
    <row r="150">
      <c r="A150" s="559"/>
      <c r="B150" s="559"/>
      <c r="C150" s="559"/>
      <c r="D150" s="559"/>
      <c r="E150" s="559"/>
      <c r="F150" s="559"/>
      <c r="G150" s="559"/>
      <c r="H150" s="559"/>
      <c r="I150" s="559"/>
      <c r="J150" s="560"/>
      <c r="K150" s="559"/>
      <c r="L150" s="559"/>
    </row>
    <row r="151">
      <c r="A151" s="559"/>
      <c r="B151" s="559"/>
      <c r="C151" s="559"/>
      <c r="D151" s="559"/>
      <c r="E151" s="559"/>
      <c r="F151" s="559"/>
      <c r="G151" s="559"/>
      <c r="H151" s="559"/>
      <c r="I151" s="559"/>
      <c r="J151" s="560"/>
      <c r="K151" s="559"/>
      <c r="L151" s="559"/>
    </row>
    <row r="152">
      <c r="A152" s="559"/>
      <c r="B152" s="559"/>
      <c r="C152" s="559"/>
      <c r="D152" s="559"/>
      <c r="E152" s="559"/>
      <c r="F152" s="559"/>
      <c r="G152" s="559"/>
      <c r="H152" s="559"/>
      <c r="I152" s="559"/>
      <c r="J152" s="560"/>
      <c r="K152" s="559"/>
      <c r="L152" s="559"/>
    </row>
    <row r="153">
      <c r="A153" s="559"/>
      <c r="B153" s="559"/>
      <c r="C153" s="559"/>
      <c r="D153" s="559"/>
      <c r="E153" s="559"/>
      <c r="F153" s="559"/>
      <c r="G153" s="559"/>
      <c r="H153" s="559"/>
      <c r="I153" s="559"/>
      <c r="J153" s="560"/>
      <c r="K153" s="559"/>
      <c r="L153" s="559"/>
    </row>
    <row r="154">
      <c r="A154" s="559"/>
      <c r="B154" s="559"/>
      <c r="C154" s="559"/>
      <c r="D154" s="559"/>
      <c r="E154" s="559"/>
      <c r="F154" s="559"/>
      <c r="G154" s="559"/>
      <c r="H154" s="559"/>
      <c r="I154" s="559"/>
      <c r="J154" s="560"/>
      <c r="K154" s="559"/>
      <c r="L154" s="559"/>
    </row>
    <row r="155">
      <c r="A155" s="559"/>
      <c r="B155" s="559"/>
      <c r="C155" s="559"/>
      <c r="D155" s="559"/>
      <c r="E155" s="559"/>
      <c r="F155" s="559"/>
      <c r="G155" s="559"/>
      <c r="H155" s="559"/>
      <c r="I155" s="559"/>
      <c r="J155" s="560"/>
      <c r="K155" s="559"/>
      <c r="L155" s="559"/>
    </row>
    <row r="156">
      <c r="A156" s="559"/>
      <c r="B156" s="559"/>
      <c r="C156" s="559"/>
      <c r="D156" s="559"/>
      <c r="E156" s="559"/>
      <c r="F156" s="559"/>
      <c r="G156" s="559"/>
      <c r="H156" s="559"/>
      <c r="I156" s="559"/>
      <c r="J156" s="560"/>
      <c r="K156" s="559"/>
      <c r="L156" s="559"/>
    </row>
    <row r="157">
      <c r="A157" s="559"/>
      <c r="B157" s="559"/>
      <c r="C157" s="559"/>
      <c r="D157" s="559"/>
      <c r="E157" s="559"/>
      <c r="F157" s="559"/>
      <c r="G157" s="559"/>
      <c r="H157" s="559"/>
      <c r="I157" s="559"/>
      <c r="J157" s="560"/>
      <c r="K157" s="559"/>
      <c r="L157" s="559"/>
    </row>
    <row r="158">
      <c r="J158" s="1050"/>
    </row>
    <row r="159">
      <c r="J159" s="1050"/>
    </row>
    <row r="160">
      <c r="J160" s="1050"/>
    </row>
    <row r="161">
      <c r="J161" s="1050"/>
    </row>
    <row r="162">
      <c r="J162" s="1050"/>
    </row>
    <row r="163">
      <c r="J163" s="1050"/>
    </row>
    <row r="164">
      <c r="J164" s="1050"/>
    </row>
    <row r="165">
      <c r="J165" s="1050"/>
    </row>
    <row r="166">
      <c r="J166" s="1050"/>
    </row>
    <row r="167">
      <c r="J167" s="1050"/>
    </row>
    <row r="168">
      <c r="J168" s="1050"/>
    </row>
    <row r="169">
      <c r="J169" s="1050"/>
    </row>
    <row r="170">
      <c r="J170" s="1050"/>
    </row>
    <row r="171">
      <c r="J171" s="1050"/>
    </row>
    <row r="172">
      <c r="J172" s="1050"/>
    </row>
    <row r="173">
      <c r="J173" s="1050"/>
    </row>
    <row r="174">
      <c r="J174" s="1050"/>
    </row>
    <row r="175">
      <c r="J175" s="1050"/>
    </row>
    <row r="176">
      <c r="J176" s="1050"/>
    </row>
    <row r="177">
      <c r="J177" s="1050"/>
    </row>
    <row r="178">
      <c r="J178" s="1050"/>
    </row>
    <row r="179">
      <c r="J179" s="1050"/>
    </row>
    <row r="180">
      <c r="J180" s="1050"/>
    </row>
    <row r="181">
      <c r="J181" s="1050"/>
    </row>
    <row r="182">
      <c r="J182" s="1050"/>
    </row>
    <row r="183">
      <c r="J183" s="1050"/>
    </row>
    <row r="184">
      <c r="J184" s="1050"/>
    </row>
    <row r="185">
      <c r="J185" s="1050"/>
    </row>
    <row r="186">
      <c r="J186" s="1050"/>
    </row>
    <row r="187">
      <c r="J187" s="1050"/>
    </row>
    <row r="188">
      <c r="J188" s="1050"/>
    </row>
    <row r="189">
      <c r="J189" s="1050"/>
    </row>
    <row r="190">
      <c r="J190" s="1050"/>
    </row>
    <row r="191">
      <c r="J191" s="1050"/>
    </row>
    <row r="192">
      <c r="J192" s="1050"/>
    </row>
    <row r="193">
      <c r="J193" s="1050"/>
    </row>
    <row r="194">
      <c r="J194" s="1050"/>
    </row>
    <row r="195">
      <c r="J195" s="1050"/>
    </row>
    <row r="196">
      <c r="J196" s="1050"/>
    </row>
    <row r="197">
      <c r="J197" s="1050"/>
    </row>
    <row r="198">
      <c r="J198" s="1050"/>
    </row>
    <row r="199">
      <c r="J199" s="1050"/>
    </row>
    <row r="200">
      <c r="J200" s="1050"/>
    </row>
    <row r="201">
      <c r="J201" s="1050"/>
    </row>
    <row r="202">
      <c r="J202" s="1050"/>
    </row>
    <row r="203">
      <c r="J203" s="1050"/>
    </row>
    <row r="204">
      <c r="J204" s="1050"/>
    </row>
    <row r="205">
      <c r="J205" s="1050"/>
    </row>
    <row r="206">
      <c r="J206" s="1050"/>
    </row>
    <row r="207">
      <c r="J207" s="1050"/>
    </row>
    <row r="208">
      <c r="J208" s="1050"/>
    </row>
    <row r="209">
      <c r="J209" s="1050"/>
    </row>
    <row r="210">
      <c r="J210" s="1050"/>
    </row>
    <row r="211">
      <c r="J211" s="1050"/>
    </row>
    <row r="212">
      <c r="J212" s="1050"/>
    </row>
    <row r="213">
      <c r="J213" s="1050"/>
    </row>
    <row r="214">
      <c r="J214" s="1050"/>
    </row>
    <row r="215">
      <c r="J215" s="1050"/>
    </row>
    <row r="216">
      <c r="J216" s="1050"/>
    </row>
    <row r="217">
      <c r="J217" s="1050"/>
    </row>
    <row r="218">
      <c r="J218" s="1050"/>
    </row>
    <row r="219">
      <c r="J219" s="1050"/>
    </row>
    <row r="220">
      <c r="J220" s="1050"/>
    </row>
    <row r="221">
      <c r="J221" s="1050"/>
    </row>
    <row r="222">
      <c r="J222" s="1050"/>
    </row>
    <row r="223">
      <c r="J223" s="1050"/>
    </row>
    <row r="224">
      <c r="J224" s="1050"/>
    </row>
    <row r="225">
      <c r="J225" s="1050"/>
    </row>
    <row r="226">
      <c r="J226" s="1050"/>
    </row>
    <row r="227">
      <c r="J227" s="1050"/>
    </row>
    <row r="228">
      <c r="J228" s="1050"/>
    </row>
    <row r="229">
      <c r="J229" s="1050"/>
    </row>
    <row r="230">
      <c r="J230" s="1050"/>
    </row>
    <row r="231">
      <c r="J231" s="1050"/>
    </row>
    <row r="232">
      <c r="J232" s="1050"/>
    </row>
    <row r="233">
      <c r="J233" s="1050"/>
    </row>
    <row r="234">
      <c r="J234" s="1050"/>
    </row>
    <row r="235">
      <c r="J235" s="1050"/>
    </row>
    <row r="236">
      <c r="J236" s="1050"/>
    </row>
    <row r="237">
      <c r="J237" s="1050"/>
    </row>
    <row r="238">
      <c r="J238" s="1050"/>
    </row>
    <row r="239">
      <c r="J239" s="1050"/>
    </row>
    <row r="240">
      <c r="J240" s="1050"/>
    </row>
    <row r="241">
      <c r="J241" s="1050"/>
    </row>
    <row r="242">
      <c r="J242" s="1050"/>
    </row>
    <row r="243">
      <c r="J243" s="1050"/>
    </row>
    <row r="244">
      <c r="J244" s="1050"/>
    </row>
    <row r="245">
      <c r="J245" s="1050"/>
    </row>
    <row r="246">
      <c r="J246" s="1050"/>
    </row>
    <row r="247">
      <c r="J247" s="1050"/>
    </row>
    <row r="248">
      <c r="J248" s="1050"/>
    </row>
    <row r="249">
      <c r="J249" s="1050"/>
    </row>
    <row r="250">
      <c r="J250" s="1050"/>
    </row>
    <row r="251">
      <c r="J251" s="1050"/>
    </row>
    <row r="252">
      <c r="J252" s="1050"/>
    </row>
    <row r="253">
      <c r="J253" s="1050"/>
    </row>
    <row r="254">
      <c r="J254" s="1050"/>
    </row>
    <row r="255">
      <c r="J255" s="1050"/>
    </row>
    <row r="256">
      <c r="J256" s="1050"/>
    </row>
    <row r="257">
      <c r="J257" s="1050"/>
    </row>
    <row r="258">
      <c r="J258" s="1050"/>
    </row>
    <row r="259">
      <c r="J259" s="1050"/>
    </row>
    <row r="260">
      <c r="J260" s="1050"/>
    </row>
    <row r="261">
      <c r="J261" s="1050"/>
    </row>
    <row r="262">
      <c r="J262" s="1050"/>
    </row>
    <row r="263">
      <c r="J263" s="1050"/>
    </row>
    <row r="264">
      <c r="J264" s="1050"/>
    </row>
    <row r="265">
      <c r="J265" s="1050"/>
    </row>
    <row r="266">
      <c r="J266" s="1050"/>
    </row>
    <row r="267">
      <c r="J267" s="1050"/>
    </row>
    <row r="268">
      <c r="J268" s="1050"/>
    </row>
    <row r="269">
      <c r="J269" s="1050"/>
    </row>
    <row r="270">
      <c r="J270" s="1050"/>
    </row>
    <row r="271">
      <c r="J271" s="1050"/>
    </row>
    <row r="272">
      <c r="J272" s="1050"/>
    </row>
    <row r="273">
      <c r="J273" s="1050"/>
    </row>
    <row r="274">
      <c r="J274" s="1050"/>
    </row>
    <row r="275">
      <c r="J275" s="1050"/>
    </row>
    <row r="276">
      <c r="J276" s="1050"/>
    </row>
    <row r="277">
      <c r="J277" s="1050"/>
    </row>
    <row r="278">
      <c r="J278" s="1050"/>
    </row>
    <row r="279">
      <c r="J279" s="1050"/>
    </row>
    <row r="280">
      <c r="J280" s="1050"/>
    </row>
    <row r="281">
      <c r="J281" s="1050"/>
    </row>
    <row r="282">
      <c r="J282" s="1050"/>
    </row>
    <row r="283">
      <c r="J283" s="1050"/>
    </row>
    <row r="284">
      <c r="J284" s="1050"/>
    </row>
    <row r="285">
      <c r="J285" s="1050"/>
    </row>
    <row r="286">
      <c r="J286" s="1050"/>
    </row>
    <row r="287">
      <c r="J287" s="1050"/>
    </row>
    <row r="288">
      <c r="J288" s="1050"/>
    </row>
    <row r="289">
      <c r="J289" s="1050"/>
    </row>
    <row r="290">
      <c r="J290" s="1050"/>
    </row>
    <row r="291">
      <c r="J291" s="1050"/>
    </row>
    <row r="292">
      <c r="J292" s="1050"/>
    </row>
    <row r="293">
      <c r="J293" s="1050"/>
    </row>
    <row r="294">
      <c r="J294" s="1050"/>
    </row>
    <row r="295">
      <c r="J295" s="1050"/>
    </row>
    <row r="296">
      <c r="J296" s="1050"/>
    </row>
    <row r="297">
      <c r="J297" s="1050"/>
    </row>
    <row r="298">
      <c r="J298" s="1050"/>
    </row>
    <row r="299">
      <c r="J299" s="1050"/>
    </row>
    <row r="300">
      <c r="J300" s="1050"/>
    </row>
    <row r="301">
      <c r="J301" s="1050"/>
    </row>
    <row r="302">
      <c r="J302" s="1050"/>
    </row>
    <row r="303">
      <c r="J303" s="1050"/>
    </row>
    <row r="304">
      <c r="J304" s="1050"/>
    </row>
    <row r="305">
      <c r="J305" s="1050"/>
    </row>
    <row r="306">
      <c r="J306" s="1050"/>
    </row>
    <row r="307">
      <c r="J307" s="1050"/>
    </row>
    <row r="308">
      <c r="J308" s="1050"/>
    </row>
    <row r="309">
      <c r="J309" s="1050"/>
    </row>
    <row r="310">
      <c r="J310" s="1050"/>
    </row>
    <row r="311">
      <c r="J311" s="1050"/>
    </row>
    <row r="312">
      <c r="J312" s="1050"/>
    </row>
    <row r="313">
      <c r="J313" s="1050"/>
    </row>
    <row r="314">
      <c r="J314" s="1050"/>
    </row>
    <row r="315">
      <c r="J315" s="1050"/>
    </row>
    <row r="316">
      <c r="J316" s="1050"/>
    </row>
    <row r="317">
      <c r="J317" s="1050"/>
    </row>
    <row r="318">
      <c r="J318" s="1050"/>
    </row>
    <row r="319">
      <c r="J319" s="1050"/>
    </row>
    <row r="320">
      <c r="J320" s="1050"/>
    </row>
    <row r="321">
      <c r="J321" s="1050"/>
    </row>
    <row r="322">
      <c r="J322" s="1050"/>
    </row>
    <row r="323">
      <c r="J323" s="1050"/>
    </row>
    <row r="324">
      <c r="J324" s="1050"/>
    </row>
    <row r="325">
      <c r="J325" s="1050"/>
    </row>
    <row r="326">
      <c r="J326" s="1050"/>
    </row>
    <row r="327">
      <c r="J327" s="1050"/>
    </row>
    <row r="328">
      <c r="J328" s="1050"/>
    </row>
    <row r="329">
      <c r="J329" s="1050"/>
    </row>
    <row r="330">
      <c r="J330" s="1050"/>
    </row>
    <row r="331">
      <c r="J331" s="1050"/>
    </row>
    <row r="332">
      <c r="J332" s="1050"/>
    </row>
    <row r="333">
      <c r="J333" s="1050"/>
    </row>
    <row r="334">
      <c r="J334" s="1050"/>
    </row>
    <row r="335">
      <c r="J335" s="1050"/>
    </row>
    <row r="336">
      <c r="J336" s="1050"/>
    </row>
    <row r="337">
      <c r="J337" s="1050"/>
    </row>
    <row r="338">
      <c r="J338" s="1050"/>
    </row>
    <row r="339">
      <c r="J339" s="1050"/>
    </row>
    <row r="340">
      <c r="J340" s="1050"/>
    </row>
    <row r="341">
      <c r="J341" s="1050"/>
    </row>
    <row r="342">
      <c r="J342" s="1050"/>
    </row>
    <row r="343">
      <c r="J343" s="1050"/>
    </row>
    <row r="344">
      <c r="J344" s="1050"/>
    </row>
    <row r="345">
      <c r="J345" s="1050"/>
    </row>
    <row r="346">
      <c r="J346" s="1050"/>
    </row>
    <row r="347">
      <c r="J347" s="1050"/>
    </row>
    <row r="348">
      <c r="J348" s="1050"/>
    </row>
    <row r="349">
      <c r="J349" s="1050"/>
    </row>
    <row r="350">
      <c r="J350" s="1050"/>
    </row>
    <row r="351">
      <c r="J351" s="1050"/>
    </row>
    <row r="352">
      <c r="J352" s="1050"/>
    </row>
    <row r="353">
      <c r="J353" s="1050"/>
    </row>
    <row r="354">
      <c r="J354" s="1050"/>
    </row>
    <row r="355">
      <c r="J355" s="1050"/>
    </row>
    <row r="356">
      <c r="J356" s="1050"/>
    </row>
    <row r="357">
      <c r="J357" s="1050"/>
    </row>
    <row r="358">
      <c r="J358" s="1050"/>
    </row>
    <row r="359">
      <c r="J359" s="1050"/>
    </row>
    <row r="360">
      <c r="J360" s="1050"/>
    </row>
    <row r="361">
      <c r="J361" s="1050"/>
    </row>
    <row r="362">
      <c r="J362" s="1050"/>
    </row>
    <row r="363">
      <c r="J363" s="1050"/>
    </row>
    <row r="364">
      <c r="J364" s="1050"/>
    </row>
    <row r="365">
      <c r="J365" s="1050"/>
    </row>
    <row r="366">
      <c r="J366" s="1050"/>
    </row>
    <row r="367">
      <c r="J367" s="1050"/>
    </row>
    <row r="368">
      <c r="J368" s="1050"/>
    </row>
    <row r="369">
      <c r="J369" s="1050"/>
    </row>
    <row r="370">
      <c r="J370" s="1050"/>
    </row>
    <row r="371">
      <c r="J371" s="1050"/>
    </row>
    <row r="372">
      <c r="J372" s="1050"/>
    </row>
    <row r="373">
      <c r="J373" s="1050"/>
    </row>
    <row r="374">
      <c r="J374" s="1050"/>
    </row>
    <row r="375">
      <c r="J375" s="1050"/>
    </row>
    <row r="376">
      <c r="J376" s="1050"/>
    </row>
    <row r="377">
      <c r="J377" s="1050"/>
    </row>
    <row r="378">
      <c r="J378" s="1050"/>
    </row>
    <row r="379">
      <c r="J379" s="1050"/>
    </row>
    <row r="380">
      <c r="J380" s="1050"/>
    </row>
    <row r="381">
      <c r="J381" s="1050"/>
    </row>
    <row r="382">
      <c r="J382" s="1050"/>
    </row>
    <row r="383">
      <c r="J383" s="1050"/>
    </row>
    <row r="384">
      <c r="J384" s="1050"/>
    </row>
    <row r="385">
      <c r="J385" s="1050"/>
    </row>
    <row r="386">
      <c r="J386" s="1050"/>
    </row>
    <row r="387">
      <c r="J387" s="1050"/>
    </row>
    <row r="388">
      <c r="J388" s="1050"/>
    </row>
    <row r="389">
      <c r="J389" s="1050"/>
    </row>
    <row r="390">
      <c r="J390" s="1050"/>
    </row>
    <row r="391">
      <c r="J391" s="1050"/>
    </row>
    <row r="392">
      <c r="J392" s="1050"/>
    </row>
    <row r="393">
      <c r="J393" s="1050"/>
    </row>
    <row r="394">
      <c r="J394" s="1050"/>
    </row>
    <row r="395">
      <c r="J395" s="1050"/>
    </row>
    <row r="396">
      <c r="J396" s="1050"/>
    </row>
    <row r="397">
      <c r="J397" s="1050"/>
    </row>
    <row r="398">
      <c r="J398" s="1050"/>
    </row>
    <row r="399">
      <c r="J399" s="1050"/>
    </row>
    <row r="400">
      <c r="J400" s="1050"/>
    </row>
    <row r="401">
      <c r="J401" s="1050"/>
    </row>
    <row r="402">
      <c r="J402" s="1050"/>
    </row>
    <row r="403">
      <c r="J403" s="1050"/>
    </row>
    <row r="404">
      <c r="J404" s="1050"/>
    </row>
    <row r="405">
      <c r="J405" s="1050"/>
    </row>
    <row r="406">
      <c r="J406" s="1050"/>
    </row>
    <row r="407">
      <c r="J407" s="1050"/>
    </row>
    <row r="408">
      <c r="J408" s="1050"/>
    </row>
    <row r="409">
      <c r="J409" s="1050"/>
    </row>
    <row r="410">
      <c r="J410" s="1050"/>
    </row>
    <row r="411">
      <c r="J411" s="1050"/>
    </row>
    <row r="412">
      <c r="J412" s="1050"/>
    </row>
    <row r="413">
      <c r="J413" s="1050"/>
    </row>
    <row r="414">
      <c r="J414" s="1050"/>
    </row>
    <row r="415">
      <c r="J415" s="1050"/>
    </row>
    <row r="416">
      <c r="J416" s="1050"/>
    </row>
    <row r="417">
      <c r="J417" s="1050"/>
    </row>
    <row r="418">
      <c r="J418" s="1050"/>
    </row>
    <row r="419">
      <c r="J419" s="1050"/>
    </row>
    <row r="420">
      <c r="J420" s="1050"/>
    </row>
    <row r="421">
      <c r="J421" s="1050"/>
    </row>
    <row r="422">
      <c r="J422" s="1050"/>
    </row>
    <row r="423">
      <c r="J423" s="1050"/>
    </row>
    <row r="424">
      <c r="J424" s="1050"/>
    </row>
    <row r="425">
      <c r="J425" s="1050"/>
    </row>
    <row r="426">
      <c r="J426" s="1050"/>
    </row>
    <row r="427">
      <c r="J427" s="1050"/>
    </row>
    <row r="428">
      <c r="J428" s="1050"/>
    </row>
    <row r="429">
      <c r="J429" s="1050"/>
    </row>
    <row r="430">
      <c r="J430" s="1050"/>
    </row>
    <row r="431">
      <c r="J431" s="1050"/>
    </row>
    <row r="432">
      <c r="J432" s="1050"/>
    </row>
    <row r="433">
      <c r="J433" s="1050"/>
    </row>
    <row r="434">
      <c r="J434" s="1050"/>
    </row>
    <row r="435">
      <c r="J435" s="1050"/>
    </row>
    <row r="436">
      <c r="J436" s="1050"/>
    </row>
    <row r="437">
      <c r="J437" s="1050"/>
    </row>
    <row r="438">
      <c r="J438" s="1050"/>
    </row>
    <row r="439">
      <c r="J439" s="1050"/>
    </row>
    <row r="440">
      <c r="J440" s="1050"/>
    </row>
    <row r="441">
      <c r="J441" s="1050"/>
    </row>
    <row r="442">
      <c r="J442" s="1050"/>
    </row>
    <row r="443">
      <c r="J443" s="1050"/>
    </row>
    <row r="444">
      <c r="J444" s="1050"/>
    </row>
    <row r="445">
      <c r="J445" s="1050"/>
    </row>
    <row r="446">
      <c r="J446" s="1050"/>
    </row>
    <row r="447">
      <c r="J447" s="1050"/>
    </row>
    <row r="448">
      <c r="J448" s="1050"/>
    </row>
    <row r="449">
      <c r="J449" s="1050"/>
    </row>
    <row r="450">
      <c r="J450" s="1050"/>
    </row>
    <row r="451">
      <c r="J451" s="1050"/>
    </row>
    <row r="452">
      <c r="J452" s="1050"/>
    </row>
    <row r="453">
      <c r="J453" s="1050"/>
    </row>
    <row r="454">
      <c r="J454" s="1050"/>
    </row>
    <row r="455">
      <c r="J455" s="1050"/>
    </row>
    <row r="456">
      <c r="J456" s="1050"/>
    </row>
    <row r="457">
      <c r="J457" s="1050"/>
    </row>
    <row r="458">
      <c r="J458" s="1050"/>
    </row>
    <row r="459">
      <c r="J459" s="1050"/>
    </row>
    <row r="460">
      <c r="J460" s="1050"/>
    </row>
    <row r="461">
      <c r="J461" s="1050"/>
    </row>
    <row r="462">
      <c r="J462" s="1050"/>
    </row>
    <row r="463">
      <c r="J463" s="1050"/>
    </row>
    <row r="464">
      <c r="J464" s="1050"/>
    </row>
    <row r="465">
      <c r="J465" s="1050"/>
    </row>
    <row r="466">
      <c r="J466" s="1050"/>
    </row>
    <row r="467">
      <c r="J467" s="1050"/>
    </row>
    <row r="468">
      <c r="J468" s="1050"/>
    </row>
    <row r="469">
      <c r="J469" s="1050"/>
    </row>
    <row r="470">
      <c r="J470" s="1050"/>
    </row>
    <row r="471">
      <c r="J471" s="1050"/>
    </row>
    <row r="472">
      <c r="J472" s="1050"/>
    </row>
    <row r="473">
      <c r="J473" s="1050"/>
    </row>
    <row r="474">
      <c r="J474" s="1050"/>
    </row>
    <row r="475">
      <c r="J475" s="1050"/>
    </row>
    <row r="476">
      <c r="J476" s="1050"/>
    </row>
    <row r="477">
      <c r="J477" s="1050"/>
    </row>
    <row r="478">
      <c r="J478" s="1050"/>
    </row>
    <row r="479">
      <c r="J479" s="1050"/>
    </row>
    <row r="480">
      <c r="J480" s="1050"/>
    </row>
    <row r="481">
      <c r="J481" s="1050"/>
    </row>
    <row r="482">
      <c r="J482" s="1050"/>
    </row>
    <row r="483">
      <c r="J483" s="1050"/>
    </row>
    <row r="484">
      <c r="J484" s="1050"/>
    </row>
    <row r="485">
      <c r="J485" s="1050"/>
    </row>
    <row r="486">
      <c r="J486" s="1050"/>
    </row>
    <row r="487">
      <c r="J487" s="1050"/>
    </row>
    <row r="488">
      <c r="J488" s="1050"/>
    </row>
    <row r="489">
      <c r="J489" s="1050"/>
    </row>
    <row r="490">
      <c r="J490" s="1050"/>
    </row>
    <row r="491">
      <c r="J491" s="1050"/>
    </row>
    <row r="492">
      <c r="J492" s="1050"/>
    </row>
    <row r="493">
      <c r="J493" s="1050"/>
    </row>
    <row r="494">
      <c r="J494" s="1050"/>
    </row>
    <row r="495">
      <c r="J495" s="1050"/>
    </row>
    <row r="496">
      <c r="J496" s="1050"/>
    </row>
    <row r="497">
      <c r="J497" s="1050"/>
    </row>
    <row r="498">
      <c r="J498" s="1050"/>
    </row>
    <row r="499">
      <c r="J499" s="1050"/>
    </row>
    <row r="500">
      <c r="J500" s="1050"/>
    </row>
    <row r="501">
      <c r="J501" s="1050"/>
    </row>
    <row r="502">
      <c r="J502" s="1050"/>
    </row>
    <row r="503">
      <c r="J503" s="1050"/>
    </row>
    <row r="504">
      <c r="J504" s="1050"/>
    </row>
    <row r="505">
      <c r="J505" s="1050"/>
    </row>
    <row r="506">
      <c r="J506" s="1050"/>
    </row>
    <row r="507">
      <c r="J507" s="1050"/>
    </row>
    <row r="508">
      <c r="J508" s="1050"/>
    </row>
    <row r="509">
      <c r="J509" s="1050"/>
    </row>
    <row r="510">
      <c r="J510" s="1050"/>
    </row>
    <row r="511">
      <c r="J511" s="1050"/>
    </row>
    <row r="512">
      <c r="J512" s="1050"/>
    </row>
    <row r="513">
      <c r="J513" s="1050"/>
    </row>
    <row r="514">
      <c r="J514" s="1050"/>
    </row>
    <row r="515">
      <c r="J515" s="1050"/>
    </row>
    <row r="516">
      <c r="J516" s="1050"/>
    </row>
    <row r="517">
      <c r="J517" s="1050"/>
    </row>
    <row r="518">
      <c r="J518" s="1050"/>
    </row>
    <row r="519">
      <c r="J519" s="1050"/>
    </row>
    <row r="520">
      <c r="J520" s="1050"/>
    </row>
    <row r="521">
      <c r="J521" s="1050"/>
    </row>
    <row r="522">
      <c r="J522" s="1050"/>
    </row>
    <row r="523">
      <c r="J523" s="1050"/>
    </row>
    <row r="524">
      <c r="J524" s="1050"/>
    </row>
    <row r="525">
      <c r="J525" s="1050"/>
    </row>
    <row r="526">
      <c r="J526" s="1050"/>
    </row>
    <row r="527">
      <c r="J527" s="1050"/>
    </row>
    <row r="528">
      <c r="J528" s="1050"/>
    </row>
    <row r="529">
      <c r="J529" s="1050"/>
    </row>
    <row r="530">
      <c r="J530" s="1050"/>
    </row>
    <row r="531">
      <c r="J531" s="1050"/>
    </row>
    <row r="532">
      <c r="J532" s="1050"/>
    </row>
    <row r="533">
      <c r="J533" s="1050"/>
    </row>
    <row r="534">
      <c r="J534" s="1050"/>
    </row>
    <row r="535">
      <c r="J535" s="1050"/>
    </row>
    <row r="536">
      <c r="J536" s="1050"/>
    </row>
    <row r="537">
      <c r="J537" s="1050"/>
    </row>
    <row r="538">
      <c r="J538" s="1050"/>
    </row>
    <row r="539">
      <c r="J539" s="1050"/>
    </row>
    <row r="540">
      <c r="J540" s="1050"/>
    </row>
    <row r="541">
      <c r="J541" s="1050"/>
    </row>
    <row r="542">
      <c r="J542" s="1050"/>
    </row>
    <row r="543">
      <c r="J543" s="1050"/>
    </row>
    <row r="544">
      <c r="J544" s="1050"/>
    </row>
    <row r="545">
      <c r="J545" s="1050"/>
    </row>
    <row r="546">
      <c r="J546" s="1050"/>
    </row>
    <row r="547">
      <c r="J547" s="1050"/>
    </row>
    <row r="548">
      <c r="J548" s="1050"/>
    </row>
    <row r="549">
      <c r="J549" s="1050"/>
    </row>
    <row r="550">
      <c r="J550" s="1050"/>
    </row>
    <row r="551">
      <c r="J551" s="1050"/>
    </row>
    <row r="552">
      <c r="J552" s="1050"/>
    </row>
    <row r="553">
      <c r="J553" s="1050"/>
    </row>
    <row r="554">
      <c r="J554" s="1050"/>
    </row>
    <row r="555">
      <c r="J555" s="1050"/>
    </row>
    <row r="556">
      <c r="J556" s="1050"/>
    </row>
    <row r="557">
      <c r="J557" s="1050"/>
    </row>
    <row r="558">
      <c r="J558" s="1050"/>
    </row>
    <row r="559">
      <c r="J559" s="1050"/>
    </row>
    <row r="560">
      <c r="J560" s="1050"/>
    </row>
    <row r="561">
      <c r="J561" s="1050"/>
    </row>
    <row r="562">
      <c r="J562" s="1050"/>
    </row>
    <row r="563">
      <c r="J563" s="1050"/>
    </row>
    <row r="564">
      <c r="J564" s="1050"/>
    </row>
    <row r="565">
      <c r="J565" s="1050"/>
    </row>
    <row r="566">
      <c r="J566" s="1050"/>
    </row>
    <row r="567">
      <c r="J567" s="1050"/>
    </row>
    <row r="568">
      <c r="J568" s="1050"/>
    </row>
    <row r="569">
      <c r="J569" s="1050"/>
    </row>
    <row r="570">
      <c r="J570" s="1050"/>
    </row>
    <row r="571">
      <c r="J571" s="1050"/>
    </row>
    <row r="572">
      <c r="J572" s="1050"/>
    </row>
    <row r="573">
      <c r="J573" s="1050"/>
    </row>
    <row r="574">
      <c r="J574" s="1050"/>
    </row>
    <row r="575">
      <c r="J575" s="1050"/>
    </row>
    <row r="576">
      <c r="J576" s="1050"/>
    </row>
    <row r="577">
      <c r="J577" s="1050"/>
    </row>
    <row r="578">
      <c r="J578" s="1050"/>
    </row>
    <row r="579">
      <c r="J579" s="1050"/>
    </row>
    <row r="580">
      <c r="J580" s="1050"/>
    </row>
    <row r="581">
      <c r="J581" s="1050"/>
    </row>
    <row r="582">
      <c r="J582" s="1050"/>
    </row>
    <row r="583">
      <c r="J583" s="1050"/>
    </row>
    <row r="584">
      <c r="J584" s="1050"/>
    </row>
    <row r="585">
      <c r="J585" s="1050"/>
    </row>
    <row r="586">
      <c r="J586" s="1050"/>
    </row>
    <row r="587">
      <c r="J587" s="1050"/>
    </row>
    <row r="588">
      <c r="J588" s="1050"/>
    </row>
    <row r="589">
      <c r="J589" s="1050"/>
    </row>
    <row r="590">
      <c r="J590" s="1050"/>
    </row>
    <row r="591">
      <c r="J591" s="1050"/>
    </row>
    <row r="592">
      <c r="J592" s="1050"/>
    </row>
    <row r="593">
      <c r="J593" s="1050"/>
    </row>
    <row r="594">
      <c r="J594" s="1050"/>
    </row>
    <row r="595">
      <c r="J595" s="1050"/>
    </row>
    <row r="596">
      <c r="J596" s="1050"/>
    </row>
    <row r="597">
      <c r="J597" s="1050"/>
    </row>
    <row r="598">
      <c r="J598" s="1050"/>
    </row>
    <row r="599">
      <c r="J599" s="1050"/>
    </row>
    <row r="600">
      <c r="J600" s="1050"/>
    </row>
    <row r="601">
      <c r="J601" s="1050"/>
    </row>
    <row r="602">
      <c r="J602" s="1050"/>
    </row>
    <row r="603">
      <c r="J603" s="1050"/>
    </row>
    <row r="604">
      <c r="J604" s="1050"/>
    </row>
    <row r="605">
      <c r="J605" s="1050"/>
    </row>
    <row r="606">
      <c r="J606" s="1050"/>
    </row>
    <row r="607">
      <c r="J607" s="1050"/>
    </row>
    <row r="608">
      <c r="J608" s="1050"/>
    </row>
    <row r="609">
      <c r="J609" s="1050"/>
    </row>
    <row r="610">
      <c r="J610" s="1050"/>
    </row>
    <row r="611">
      <c r="J611" s="1050"/>
    </row>
    <row r="612">
      <c r="J612" s="1050"/>
    </row>
    <row r="613">
      <c r="J613" s="1050"/>
    </row>
    <row r="614">
      <c r="J614" s="1050"/>
    </row>
    <row r="615">
      <c r="J615" s="1050"/>
    </row>
    <row r="616">
      <c r="J616" s="1050"/>
    </row>
    <row r="617">
      <c r="J617" s="1050"/>
    </row>
    <row r="618">
      <c r="J618" s="1050"/>
    </row>
    <row r="619">
      <c r="J619" s="1050"/>
    </row>
    <row r="620">
      <c r="J620" s="1050"/>
    </row>
    <row r="621">
      <c r="J621" s="1050"/>
    </row>
    <row r="622">
      <c r="J622" s="1050"/>
    </row>
    <row r="623">
      <c r="J623" s="1050"/>
    </row>
    <row r="624">
      <c r="J624" s="1050"/>
    </row>
    <row r="625">
      <c r="J625" s="1050"/>
    </row>
    <row r="626">
      <c r="J626" s="1050"/>
    </row>
    <row r="627">
      <c r="J627" s="1050"/>
    </row>
    <row r="628">
      <c r="J628" s="1050"/>
    </row>
    <row r="629">
      <c r="J629" s="1050"/>
    </row>
    <row r="630">
      <c r="J630" s="1050"/>
    </row>
    <row r="631">
      <c r="J631" s="1050"/>
    </row>
    <row r="632">
      <c r="J632" s="1050"/>
    </row>
    <row r="633">
      <c r="J633" s="1050"/>
    </row>
    <row r="634">
      <c r="J634" s="1050"/>
    </row>
    <row r="635">
      <c r="J635" s="1050"/>
    </row>
    <row r="636">
      <c r="J636" s="1050"/>
    </row>
    <row r="637">
      <c r="J637" s="1050"/>
    </row>
    <row r="638">
      <c r="J638" s="1050"/>
    </row>
    <row r="639">
      <c r="J639" s="1050"/>
    </row>
    <row r="640">
      <c r="J640" s="1050"/>
    </row>
    <row r="641">
      <c r="J641" s="1050"/>
    </row>
    <row r="642">
      <c r="J642" s="1050"/>
    </row>
    <row r="643">
      <c r="J643" s="1050"/>
    </row>
    <row r="644">
      <c r="J644" s="1050"/>
    </row>
    <row r="645">
      <c r="J645" s="1050"/>
    </row>
    <row r="646">
      <c r="J646" s="1050"/>
    </row>
    <row r="647">
      <c r="J647" s="1050"/>
    </row>
    <row r="648">
      <c r="J648" s="1050"/>
    </row>
    <row r="649">
      <c r="J649" s="1050"/>
    </row>
    <row r="650">
      <c r="J650" s="1050"/>
    </row>
    <row r="651">
      <c r="J651" s="1050"/>
    </row>
    <row r="652">
      <c r="J652" s="1050"/>
    </row>
    <row r="653">
      <c r="J653" s="1050"/>
    </row>
    <row r="654">
      <c r="J654" s="1050"/>
    </row>
    <row r="655">
      <c r="J655" s="1050"/>
    </row>
    <row r="656">
      <c r="J656" s="1050"/>
    </row>
    <row r="657">
      <c r="J657" s="1050"/>
    </row>
    <row r="658">
      <c r="J658" s="1050"/>
    </row>
    <row r="659">
      <c r="J659" s="1050"/>
    </row>
    <row r="660">
      <c r="J660" s="1050"/>
    </row>
    <row r="661">
      <c r="J661" s="1050"/>
    </row>
    <row r="662">
      <c r="J662" s="1050"/>
    </row>
    <row r="663">
      <c r="J663" s="1050"/>
    </row>
    <row r="664">
      <c r="J664" s="1050"/>
    </row>
    <row r="665">
      <c r="J665" s="1050"/>
    </row>
    <row r="666">
      <c r="J666" s="1050"/>
    </row>
    <row r="667">
      <c r="J667" s="1050"/>
    </row>
    <row r="668">
      <c r="J668" s="1050"/>
    </row>
    <row r="669">
      <c r="J669" s="1050"/>
    </row>
    <row r="670">
      <c r="J670" s="1050"/>
    </row>
    <row r="671">
      <c r="J671" s="1050"/>
    </row>
    <row r="672">
      <c r="J672" s="1050"/>
    </row>
    <row r="673">
      <c r="J673" s="1050"/>
    </row>
    <row r="674">
      <c r="J674" s="1050"/>
    </row>
    <row r="675">
      <c r="J675" s="1050"/>
    </row>
    <row r="676">
      <c r="J676" s="1050"/>
    </row>
    <row r="677">
      <c r="J677" s="1050"/>
    </row>
    <row r="678">
      <c r="J678" s="1050"/>
    </row>
    <row r="679">
      <c r="J679" s="1050"/>
    </row>
    <row r="680">
      <c r="J680" s="1050"/>
    </row>
    <row r="681">
      <c r="J681" s="1050"/>
    </row>
    <row r="682">
      <c r="J682" s="1050"/>
    </row>
    <row r="683">
      <c r="J683" s="1050"/>
    </row>
    <row r="684">
      <c r="J684" s="1050"/>
    </row>
    <row r="685">
      <c r="J685" s="1050"/>
    </row>
    <row r="686">
      <c r="J686" s="1050"/>
    </row>
    <row r="687">
      <c r="J687" s="1050"/>
    </row>
    <row r="688">
      <c r="J688" s="1050"/>
    </row>
    <row r="689">
      <c r="J689" s="1050"/>
    </row>
    <row r="690">
      <c r="J690" s="1050"/>
    </row>
    <row r="691">
      <c r="J691" s="1050"/>
    </row>
    <row r="692">
      <c r="J692" s="1050"/>
    </row>
    <row r="693">
      <c r="J693" s="1050"/>
    </row>
    <row r="694">
      <c r="J694" s="1050"/>
    </row>
    <row r="695">
      <c r="J695" s="1050"/>
    </row>
    <row r="696">
      <c r="J696" s="1050"/>
    </row>
    <row r="697">
      <c r="J697" s="1050"/>
    </row>
    <row r="698">
      <c r="J698" s="1050"/>
    </row>
    <row r="699">
      <c r="J699" s="1050"/>
    </row>
    <row r="700">
      <c r="J700" s="1050"/>
    </row>
    <row r="701">
      <c r="J701" s="1050"/>
    </row>
    <row r="702">
      <c r="J702" s="1050"/>
    </row>
    <row r="703">
      <c r="J703" s="1050"/>
    </row>
    <row r="704">
      <c r="J704" s="1050"/>
    </row>
    <row r="705">
      <c r="J705" s="1050"/>
    </row>
    <row r="706">
      <c r="J706" s="1050"/>
    </row>
    <row r="707">
      <c r="J707" s="1050"/>
    </row>
    <row r="708">
      <c r="J708" s="1050"/>
    </row>
    <row r="709">
      <c r="J709" s="1050"/>
    </row>
    <row r="710">
      <c r="J710" s="1050"/>
    </row>
    <row r="711">
      <c r="J711" s="1050"/>
    </row>
    <row r="712">
      <c r="J712" s="1050"/>
    </row>
    <row r="713">
      <c r="J713" s="1050"/>
    </row>
    <row r="714">
      <c r="J714" s="1050"/>
    </row>
    <row r="715">
      <c r="J715" s="1050"/>
    </row>
    <row r="716">
      <c r="J716" s="1050"/>
    </row>
    <row r="717">
      <c r="J717" s="1050"/>
    </row>
    <row r="718">
      <c r="J718" s="1050"/>
    </row>
    <row r="719">
      <c r="J719" s="1050"/>
    </row>
    <row r="720">
      <c r="J720" s="1050"/>
    </row>
    <row r="721">
      <c r="J721" s="1050"/>
    </row>
    <row r="722">
      <c r="J722" s="1050"/>
    </row>
    <row r="723">
      <c r="J723" s="1050"/>
    </row>
    <row r="724">
      <c r="J724" s="1050"/>
    </row>
    <row r="725">
      <c r="J725" s="1050"/>
    </row>
    <row r="726">
      <c r="J726" s="1050"/>
    </row>
    <row r="727">
      <c r="J727" s="1050"/>
    </row>
    <row r="728">
      <c r="J728" s="1050"/>
    </row>
    <row r="729">
      <c r="J729" s="1050"/>
    </row>
    <row r="730">
      <c r="J730" s="1050"/>
    </row>
    <row r="731">
      <c r="J731" s="1050"/>
    </row>
    <row r="732">
      <c r="J732" s="1050"/>
    </row>
    <row r="733">
      <c r="J733" s="1050"/>
    </row>
    <row r="734">
      <c r="J734" s="1050"/>
    </row>
    <row r="735">
      <c r="J735" s="1050"/>
    </row>
    <row r="736">
      <c r="J736" s="1050"/>
    </row>
    <row r="737">
      <c r="J737" s="1050"/>
    </row>
    <row r="738">
      <c r="J738" s="1050"/>
    </row>
    <row r="739">
      <c r="J739" s="1050"/>
    </row>
    <row r="740">
      <c r="J740" s="1050"/>
    </row>
    <row r="741">
      <c r="J741" s="1050"/>
    </row>
    <row r="742">
      <c r="J742" s="1050"/>
    </row>
    <row r="743">
      <c r="J743" s="1050"/>
    </row>
    <row r="744">
      <c r="J744" s="1050"/>
    </row>
    <row r="745">
      <c r="J745" s="1050"/>
    </row>
    <row r="746">
      <c r="J746" s="1050"/>
    </row>
    <row r="747">
      <c r="J747" s="1050"/>
    </row>
    <row r="748">
      <c r="J748" s="1050"/>
    </row>
    <row r="749">
      <c r="J749" s="1050"/>
    </row>
    <row r="750">
      <c r="J750" s="1050"/>
    </row>
    <row r="751">
      <c r="J751" s="1050"/>
    </row>
    <row r="752">
      <c r="J752" s="1050"/>
    </row>
    <row r="753">
      <c r="J753" s="1050"/>
    </row>
    <row r="754">
      <c r="J754" s="1050"/>
    </row>
    <row r="755">
      <c r="J755" s="1050"/>
    </row>
    <row r="756">
      <c r="J756" s="1050"/>
    </row>
    <row r="757">
      <c r="J757" s="1050"/>
    </row>
    <row r="758">
      <c r="J758" s="1050"/>
    </row>
    <row r="759">
      <c r="J759" s="1050"/>
    </row>
    <row r="760">
      <c r="J760" s="1050"/>
    </row>
    <row r="761">
      <c r="J761" s="1050"/>
    </row>
    <row r="762">
      <c r="J762" s="1050"/>
    </row>
    <row r="763">
      <c r="J763" s="1050"/>
    </row>
    <row r="764">
      <c r="J764" s="1050"/>
    </row>
    <row r="765">
      <c r="J765" s="1050"/>
    </row>
    <row r="766">
      <c r="J766" s="1050"/>
    </row>
    <row r="767">
      <c r="J767" s="1050"/>
    </row>
    <row r="768">
      <c r="J768" s="1050"/>
    </row>
    <row r="769">
      <c r="J769" s="1050"/>
    </row>
    <row r="770">
      <c r="J770" s="1050"/>
    </row>
    <row r="771">
      <c r="J771" s="1050"/>
    </row>
    <row r="772">
      <c r="J772" s="1050"/>
    </row>
    <row r="773">
      <c r="J773" s="1050"/>
    </row>
    <row r="774">
      <c r="J774" s="1050"/>
    </row>
    <row r="775">
      <c r="J775" s="1050"/>
    </row>
    <row r="776">
      <c r="J776" s="1050"/>
    </row>
    <row r="777">
      <c r="J777" s="1050"/>
    </row>
    <row r="778">
      <c r="J778" s="1050"/>
    </row>
    <row r="779">
      <c r="J779" s="1050"/>
    </row>
    <row r="780">
      <c r="J780" s="1050"/>
    </row>
    <row r="781">
      <c r="J781" s="1050"/>
    </row>
    <row r="782">
      <c r="J782" s="1050"/>
    </row>
    <row r="783">
      <c r="J783" s="1050"/>
    </row>
    <row r="784">
      <c r="J784" s="1050"/>
    </row>
    <row r="785">
      <c r="J785" s="1050"/>
    </row>
    <row r="786">
      <c r="J786" s="1050"/>
    </row>
    <row r="787">
      <c r="J787" s="1050"/>
    </row>
    <row r="788">
      <c r="J788" s="1050"/>
    </row>
    <row r="789">
      <c r="J789" s="1050"/>
    </row>
    <row r="790">
      <c r="J790" s="1050"/>
    </row>
    <row r="791">
      <c r="J791" s="1050"/>
    </row>
    <row r="792">
      <c r="J792" s="1050"/>
    </row>
    <row r="793">
      <c r="J793" s="1050"/>
    </row>
    <row r="794">
      <c r="J794" s="1050"/>
    </row>
    <row r="795">
      <c r="J795" s="1050"/>
    </row>
    <row r="796">
      <c r="J796" s="1050"/>
    </row>
    <row r="797">
      <c r="J797" s="1050"/>
    </row>
    <row r="798">
      <c r="J798" s="1050"/>
    </row>
    <row r="799">
      <c r="J799" s="1050"/>
    </row>
    <row r="800">
      <c r="J800" s="1050"/>
    </row>
    <row r="801">
      <c r="J801" s="1050"/>
    </row>
    <row r="802">
      <c r="J802" s="1050"/>
    </row>
    <row r="803">
      <c r="J803" s="1050"/>
    </row>
    <row r="804">
      <c r="J804" s="1050"/>
    </row>
    <row r="805">
      <c r="J805" s="1050"/>
    </row>
    <row r="806">
      <c r="J806" s="1050"/>
    </row>
    <row r="807">
      <c r="J807" s="1050"/>
    </row>
    <row r="808">
      <c r="J808" s="1050"/>
    </row>
    <row r="809">
      <c r="J809" s="1050"/>
    </row>
    <row r="810">
      <c r="J810" s="1050"/>
    </row>
    <row r="811">
      <c r="J811" s="1050"/>
    </row>
    <row r="812">
      <c r="J812" s="1050"/>
    </row>
    <row r="813">
      <c r="J813" s="1050"/>
    </row>
    <row r="814">
      <c r="J814" s="1050"/>
    </row>
    <row r="815">
      <c r="J815" s="1050"/>
    </row>
    <row r="816">
      <c r="J816" s="1050"/>
    </row>
    <row r="817">
      <c r="J817" s="1050"/>
    </row>
    <row r="818">
      <c r="J818" s="1050"/>
    </row>
    <row r="819">
      <c r="J819" s="1050"/>
    </row>
    <row r="820">
      <c r="J820" s="1050"/>
    </row>
    <row r="821">
      <c r="J821" s="1050"/>
    </row>
    <row r="822">
      <c r="J822" s="1050"/>
    </row>
    <row r="823">
      <c r="J823" s="1050"/>
    </row>
    <row r="824">
      <c r="J824" s="1050"/>
    </row>
    <row r="825">
      <c r="J825" s="1050"/>
    </row>
    <row r="826">
      <c r="J826" s="1050"/>
    </row>
    <row r="827">
      <c r="J827" s="1050"/>
    </row>
    <row r="828">
      <c r="J828" s="1050"/>
    </row>
    <row r="829">
      <c r="J829" s="1050"/>
    </row>
    <row r="830">
      <c r="J830" s="1050"/>
    </row>
    <row r="831">
      <c r="J831" s="1050"/>
    </row>
    <row r="832">
      <c r="J832" s="1050"/>
    </row>
    <row r="833">
      <c r="J833" s="1050"/>
    </row>
    <row r="834">
      <c r="J834" s="1050"/>
    </row>
    <row r="835">
      <c r="J835" s="1050"/>
    </row>
    <row r="836">
      <c r="J836" s="1050"/>
    </row>
    <row r="837">
      <c r="J837" s="1050"/>
    </row>
    <row r="838">
      <c r="J838" s="1050"/>
    </row>
    <row r="839">
      <c r="J839" s="1050"/>
    </row>
    <row r="840">
      <c r="J840" s="1050"/>
    </row>
    <row r="841">
      <c r="J841" s="1050"/>
    </row>
    <row r="842">
      <c r="J842" s="1050"/>
    </row>
    <row r="843">
      <c r="J843" s="1050"/>
    </row>
    <row r="844">
      <c r="J844" s="1050"/>
    </row>
    <row r="845">
      <c r="J845" s="1050"/>
    </row>
    <row r="846">
      <c r="J846" s="1050"/>
    </row>
    <row r="847">
      <c r="J847" s="1050"/>
    </row>
    <row r="848">
      <c r="J848" s="1050"/>
    </row>
    <row r="849">
      <c r="J849" s="1050"/>
    </row>
    <row r="850">
      <c r="J850" s="1050"/>
    </row>
    <row r="851">
      <c r="J851" s="1050"/>
    </row>
    <row r="852">
      <c r="J852" s="1050"/>
    </row>
    <row r="853">
      <c r="J853" s="1050"/>
    </row>
    <row r="854">
      <c r="J854" s="1050"/>
    </row>
    <row r="855">
      <c r="J855" s="1050"/>
    </row>
    <row r="856">
      <c r="J856" s="1050"/>
    </row>
    <row r="857">
      <c r="J857" s="1050"/>
    </row>
    <row r="858">
      <c r="J858" s="1050"/>
    </row>
    <row r="859">
      <c r="J859" s="1050"/>
    </row>
    <row r="860">
      <c r="J860" s="1050"/>
    </row>
    <row r="861">
      <c r="J861" s="1050"/>
    </row>
    <row r="862">
      <c r="J862" s="1050"/>
    </row>
    <row r="863">
      <c r="J863" s="1050"/>
    </row>
    <row r="864">
      <c r="J864" s="1050"/>
    </row>
    <row r="865">
      <c r="J865" s="1050"/>
    </row>
    <row r="866">
      <c r="J866" s="1050"/>
    </row>
    <row r="867">
      <c r="J867" s="1050"/>
    </row>
    <row r="868">
      <c r="J868" s="1050"/>
    </row>
    <row r="869">
      <c r="J869" s="1050"/>
    </row>
    <row r="870">
      <c r="J870" s="1050"/>
    </row>
    <row r="871">
      <c r="J871" s="1050"/>
    </row>
    <row r="872">
      <c r="J872" s="1050"/>
    </row>
    <row r="873">
      <c r="J873" s="1050"/>
    </row>
    <row r="874">
      <c r="J874" s="1050"/>
    </row>
    <row r="875">
      <c r="J875" s="1050"/>
    </row>
    <row r="876">
      <c r="J876" s="1050"/>
    </row>
    <row r="877">
      <c r="J877" s="1050"/>
    </row>
    <row r="878">
      <c r="J878" s="1050"/>
    </row>
    <row r="879">
      <c r="J879" s="1050"/>
    </row>
    <row r="880">
      <c r="J880" s="1050"/>
    </row>
    <row r="881">
      <c r="J881" s="1050"/>
    </row>
    <row r="882">
      <c r="J882" s="1050"/>
    </row>
    <row r="883">
      <c r="J883" s="1050"/>
    </row>
    <row r="884">
      <c r="J884" s="1050"/>
    </row>
    <row r="885">
      <c r="J885" s="1050"/>
    </row>
    <row r="886">
      <c r="J886" s="1050"/>
    </row>
    <row r="887">
      <c r="J887" s="1050"/>
    </row>
    <row r="888">
      <c r="J888" s="1050"/>
    </row>
    <row r="889">
      <c r="J889" s="1050"/>
    </row>
    <row r="890">
      <c r="J890" s="1050"/>
    </row>
    <row r="891">
      <c r="J891" s="1050"/>
    </row>
    <row r="892">
      <c r="J892" s="1050"/>
    </row>
    <row r="893">
      <c r="J893" s="1050"/>
    </row>
    <row r="894">
      <c r="J894" s="1050"/>
    </row>
    <row r="895">
      <c r="J895" s="1050"/>
    </row>
    <row r="896">
      <c r="J896" s="1050"/>
    </row>
    <row r="897">
      <c r="J897" s="1050"/>
    </row>
    <row r="898">
      <c r="J898" s="1050"/>
    </row>
    <row r="899">
      <c r="J899" s="1050"/>
    </row>
    <row r="900">
      <c r="J900" s="1050"/>
    </row>
    <row r="901">
      <c r="J901" s="1050"/>
    </row>
    <row r="902">
      <c r="J902" s="1050"/>
    </row>
    <row r="903">
      <c r="J903" s="1050"/>
    </row>
    <row r="904">
      <c r="J904" s="1050"/>
    </row>
    <row r="905">
      <c r="J905" s="1050"/>
    </row>
    <row r="906">
      <c r="J906" s="1050"/>
    </row>
    <row r="907">
      <c r="J907" s="1050"/>
    </row>
    <row r="908">
      <c r="J908" s="1050"/>
    </row>
    <row r="909">
      <c r="J909" s="1050"/>
    </row>
    <row r="910">
      <c r="J910" s="1050"/>
    </row>
    <row r="911">
      <c r="J911" s="1050"/>
    </row>
    <row r="912">
      <c r="J912" s="1050"/>
    </row>
    <row r="913">
      <c r="J913" s="1050"/>
    </row>
    <row r="914">
      <c r="J914" s="1050"/>
    </row>
    <row r="915">
      <c r="J915" s="1050"/>
    </row>
    <row r="916">
      <c r="J916" s="1050"/>
    </row>
    <row r="917">
      <c r="J917" s="1050"/>
    </row>
    <row r="918">
      <c r="J918" s="1050"/>
    </row>
    <row r="919">
      <c r="J919" s="1050"/>
    </row>
    <row r="920">
      <c r="J920" s="1050"/>
    </row>
    <row r="921">
      <c r="J921" s="1050"/>
    </row>
    <row r="922">
      <c r="J922" s="1050"/>
    </row>
    <row r="923">
      <c r="J923" s="1050"/>
    </row>
    <row r="924">
      <c r="J924" s="1050"/>
    </row>
    <row r="925">
      <c r="J925" s="1050"/>
    </row>
    <row r="926">
      <c r="J926" s="1050"/>
    </row>
    <row r="927">
      <c r="J927" s="1050"/>
    </row>
    <row r="928">
      <c r="J928" s="1050"/>
    </row>
    <row r="929">
      <c r="J929" s="1050"/>
    </row>
    <row r="930">
      <c r="J930" s="1050"/>
    </row>
    <row r="931">
      <c r="J931" s="1050"/>
    </row>
    <row r="932">
      <c r="J932" s="1050"/>
    </row>
    <row r="933">
      <c r="J933" s="1050"/>
    </row>
    <row r="934">
      <c r="J934" s="1050"/>
    </row>
    <row r="935">
      <c r="J935" s="1050"/>
    </row>
    <row r="936">
      <c r="J936" s="1050"/>
    </row>
    <row r="937">
      <c r="J937" s="1050"/>
    </row>
    <row r="938">
      <c r="J938" s="1050"/>
    </row>
    <row r="939">
      <c r="J939" s="1050"/>
    </row>
    <row r="940">
      <c r="J940" s="1050"/>
    </row>
    <row r="941">
      <c r="J941" s="1050"/>
    </row>
    <row r="942">
      <c r="J942" s="1050"/>
    </row>
    <row r="943">
      <c r="J943" s="1050"/>
    </row>
    <row r="944">
      <c r="J944" s="1050"/>
    </row>
    <row r="945">
      <c r="J945" s="1050"/>
    </row>
    <row r="946">
      <c r="J946" s="1050"/>
    </row>
    <row r="947">
      <c r="J947" s="1050"/>
    </row>
    <row r="948">
      <c r="J948" s="1050"/>
    </row>
    <row r="949">
      <c r="J949" s="1050"/>
    </row>
    <row r="950">
      <c r="J950" s="1050"/>
    </row>
    <row r="951">
      <c r="J951" s="1050"/>
    </row>
    <row r="952">
      <c r="J952" s="1050"/>
    </row>
    <row r="953">
      <c r="J953" s="1050"/>
    </row>
    <row r="954">
      <c r="J954" s="1050"/>
    </row>
    <row r="955">
      <c r="J955" s="1050"/>
    </row>
    <row r="956">
      <c r="J956" s="1050"/>
    </row>
    <row r="957">
      <c r="J957" s="1050"/>
    </row>
    <row r="958">
      <c r="J958" s="1050"/>
    </row>
    <row r="959">
      <c r="J959" s="1050"/>
    </row>
    <row r="960">
      <c r="J960" s="1050"/>
    </row>
    <row r="961">
      <c r="J961" s="1050"/>
    </row>
    <row r="962">
      <c r="J962" s="1050"/>
    </row>
    <row r="963">
      <c r="J963" s="1050"/>
    </row>
    <row r="964">
      <c r="J964" s="1050"/>
    </row>
    <row r="965">
      <c r="J965" s="1050"/>
    </row>
    <row r="966">
      <c r="J966" s="1050"/>
    </row>
    <row r="967">
      <c r="J967" s="1050"/>
    </row>
    <row r="968">
      <c r="J968" s="1050"/>
    </row>
    <row r="969">
      <c r="J969" s="1050"/>
    </row>
    <row r="970">
      <c r="J970" s="1050"/>
    </row>
    <row r="971">
      <c r="J971" s="1050"/>
    </row>
    <row r="972">
      <c r="J972" s="1050"/>
    </row>
    <row r="973">
      <c r="J973" s="1050"/>
    </row>
    <row r="974">
      <c r="J974" s="1050"/>
    </row>
    <row r="975">
      <c r="J975" s="1050"/>
    </row>
    <row r="976">
      <c r="J976" s="1050"/>
    </row>
    <row r="977">
      <c r="J977" s="1050"/>
    </row>
    <row r="978">
      <c r="J978" s="1050"/>
    </row>
    <row r="979">
      <c r="J979" s="1050"/>
    </row>
    <row r="980">
      <c r="J980" s="1050"/>
    </row>
    <row r="981">
      <c r="J981" s="1050"/>
    </row>
    <row r="982">
      <c r="J982" s="1050"/>
    </row>
    <row r="983">
      <c r="J983" s="1050"/>
    </row>
    <row r="984">
      <c r="J984" s="1050"/>
    </row>
    <row r="985">
      <c r="J985" s="1050"/>
    </row>
    <row r="986">
      <c r="J986" s="1050"/>
    </row>
    <row r="987">
      <c r="J987" s="1050"/>
    </row>
    <row r="988">
      <c r="J988" s="1050"/>
    </row>
    <row r="989">
      <c r="J989" s="1050"/>
    </row>
    <row r="990">
      <c r="J990" s="1050"/>
    </row>
    <row r="991">
      <c r="J991" s="1050"/>
    </row>
    <row r="992">
      <c r="J992" s="1050"/>
    </row>
    <row r="993">
      <c r="J993" s="1050"/>
    </row>
    <row r="994">
      <c r="J994" s="1050"/>
    </row>
    <row r="995">
      <c r="J995" s="1050"/>
    </row>
    <row r="996">
      <c r="J996" s="1050"/>
    </row>
    <row r="997">
      <c r="J997" s="1050"/>
    </row>
    <row r="998">
      <c r="J998" s="1050"/>
    </row>
    <row r="999">
      <c r="J999" s="1050"/>
    </row>
    <row r="1000">
      <c r="J1000" s="1050"/>
    </row>
    <row r="1001">
      <c r="J1001" s="1050"/>
    </row>
  </sheetData>
  <mergeCells count="1">
    <mergeCell ref="A2:A9"/>
  </mergeCells>
  <drawing r:id="rId2"/>
  <legacyDrawing r:id="rId3"/>
  <tableParts count="2">
    <tablePart r:id="rId6"/>
    <tablePart r:id="rId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0"/>
  <cols>
    <col customWidth="1" min="1" max="1" width="12.63"/>
    <col customWidth="1" min="2" max="2" width="10.63"/>
    <col customWidth="1" min="3" max="3" width="7.63"/>
    <col customWidth="1" min="4" max="4" width="19.13"/>
    <col customWidth="1" min="5" max="5" width="20.75"/>
    <col customWidth="1" min="6" max="6" width="17.0"/>
    <col customWidth="1" min="7" max="7" width="27.38"/>
    <col customWidth="1" min="8" max="8" width="24.25"/>
    <col customWidth="1" min="9" max="9" width="20.75"/>
    <col customWidth="1" min="10" max="10" width="86.88"/>
    <col customWidth="1" min="11" max="11" width="20.5"/>
    <col customWidth="1" min="12" max="12" width="21.13"/>
    <col customWidth="1" min="13" max="13" width="21.25"/>
    <col customWidth="1" min="14" max="14" width="22.13"/>
    <col customWidth="1" min="15" max="15" width="19.5"/>
  </cols>
  <sheetData>
    <row r="1" ht="15.75" customHeight="1">
      <c r="A1" s="1259" t="s">
        <v>2192</v>
      </c>
      <c r="B1" s="1260" t="s">
        <v>2193</v>
      </c>
      <c r="C1" s="1261" t="s">
        <v>2194</v>
      </c>
      <c r="D1" s="1262" t="s">
        <v>839</v>
      </c>
      <c r="E1" s="1261" t="s">
        <v>2195</v>
      </c>
      <c r="F1" s="1261" t="s">
        <v>2196</v>
      </c>
      <c r="G1" s="1261" t="s">
        <v>2197</v>
      </c>
      <c r="H1" s="1263" t="s">
        <v>2198</v>
      </c>
      <c r="I1" s="1263" t="s">
        <v>2199</v>
      </c>
      <c r="J1" s="1263" t="s">
        <v>2200</v>
      </c>
      <c r="K1" s="496" t="s">
        <v>2201</v>
      </c>
      <c r="L1" s="137"/>
      <c r="M1" s="137"/>
      <c r="N1" s="137"/>
      <c r="O1" s="137"/>
      <c r="P1" s="137"/>
      <c r="Q1" s="137"/>
      <c r="R1" s="137"/>
      <c r="S1" s="137"/>
      <c r="T1" s="137"/>
      <c r="U1" s="137"/>
      <c r="V1" s="137"/>
      <c r="W1" s="137"/>
      <c r="X1" s="137"/>
      <c r="Y1" s="137"/>
      <c r="Z1" s="137"/>
    </row>
    <row r="2" ht="15.75" customHeight="1">
      <c r="A2" s="1264">
        <v>45663.0</v>
      </c>
      <c r="B2" s="1129" t="s">
        <v>2202</v>
      </c>
      <c r="C2" s="22">
        <v>6.0</v>
      </c>
      <c r="D2" s="492">
        <v>45076.0</v>
      </c>
      <c r="E2" s="41" t="s">
        <v>2203</v>
      </c>
      <c r="F2" s="439" t="s">
        <v>2204</v>
      </c>
      <c r="G2" s="1148" t="s">
        <v>2205</v>
      </c>
      <c r="H2" s="1265" t="s">
        <v>2206</v>
      </c>
      <c r="I2" s="1266" t="s">
        <v>2207</v>
      </c>
      <c r="J2" s="767" t="s">
        <v>2208</v>
      </c>
      <c r="K2" s="929" t="s">
        <v>1791</v>
      </c>
      <c r="L2" s="137"/>
      <c r="M2" s="137"/>
      <c r="N2" s="137"/>
      <c r="O2" s="137"/>
      <c r="P2" s="137"/>
      <c r="Q2" s="137"/>
      <c r="R2" s="137"/>
      <c r="S2" s="137"/>
      <c r="T2" s="137"/>
      <c r="U2" s="137"/>
      <c r="V2" s="137"/>
      <c r="W2" s="137"/>
      <c r="X2" s="137"/>
      <c r="Y2" s="137"/>
      <c r="Z2" s="137"/>
    </row>
    <row r="3" ht="15.75" customHeight="1">
      <c r="A3" s="1264">
        <v>45663.0</v>
      </c>
      <c r="B3" s="1129" t="s">
        <v>2209</v>
      </c>
      <c r="C3" s="767">
        <v>3.0</v>
      </c>
      <c r="D3" s="803">
        <v>44928.0</v>
      </c>
      <c r="E3" s="22" t="s">
        <v>2210</v>
      </c>
      <c r="F3" s="749" t="s">
        <v>2211</v>
      </c>
      <c r="G3" s="749" t="s">
        <v>2212</v>
      </c>
      <c r="H3" s="1267" t="s">
        <v>2213</v>
      </c>
      <c r="I3" s="1266" t="s">
        <v>2207</v>
      </c>
      <c r="J3" s="767" t="s">
        <v>2214</v>
      </c>
      <c r="K3" s="780" t="s">
        <v>2215</v>
      </c>
      <c r="L3" s="137"/>
      <c r="M3" s="137"/>
      <c r="N3" s="137"/>
      <c r="O3" s="137"/>
      <c r="P3" s="137"/>
      <c r="Q3" s="137"/>
      <c r="R3" s="137"/>
      <c r="S3" s="137"/>
      <c r="T3" s="137"/>
    </row>
    <row r="4">
      <c r="A4" s="1264">
        <v>45663.0</v>
      </c>
      <c r="B4" s="1129" t="s">
        <v>2202</v>
      </c>
      <c r="C4" s="22">
        <v>2.0</v>
      </c>
      <c r="D4" s="629">
        <v>45394.0</v>
      </c>
      <c r="E4" s="767" t="s">
        <v>2216</v>
      </c>
      <c r="F4" s="439" t="s">
        <v>2217</v>
      </c>
      <c r="G4" s="236" t="s">
        <v>2218</v>
      </c>
      <c r="H4" s="599" t="s">
        <v>2219</v>
      </c>
      <c r="I4" s="1266" t="s">
        <v>2207</v>
      </c>
      <c r="J4" s="767" t="s">
        <v>2220</v>
      </c>
      <c r="K4" s="602" t="s">
        <v>1501</v>
      </c>
      <c r="L4" s="929" t="s">
        <v>1791</v>
      </c>
      <c r="M4" s="137"/>
      <c r="N4" s="137"/>
      <c r="O4" s="137"/>
      <c r="P4" s="137"/>
      <c r="Q4" s="137"/>
      <c r="R4" s="137"/>
      <c r="S4" s="137"/>
      <c r="T4" s="137"/>
      <c r="U4" s="137"/>
      <c r="V4" s="137"/>
      <c r="W4" s="137"/>
      <c r="X4" s="137"/>
      <c r="Y4" s="137"/>
      <c r="Z4" s="137"/>
    </row>
    <row r="5" ht="15.75" customHeight="1">
      <c r="A5" s="1264">
        <v>45664.0</v>
      </c>
      <c r="B5" s="1268" t="s">
        <v>2209</v>
      </c>
      <c r="C5" s="233">
        <v>2.0</v>
      </c>
      <c r="D5" s="1269">
        <v>45419.0</v>
      </c>
      <c r="E5" s="1270" t="s">
        <v>2221</v>
      </c>
      <c r="F5" s="513" t="s">
        <v>2222</v>
      </c>
      <c r="G5" s="514" t="s">
        <v>2223</v>
      </c>
      <c r="H5" s="624" t="s">
        <v>2224</v>
      </c>
      <c r="I5" s="1266" t="s">
        <v>2207</v>
      </c>
      <c r="J5" s="599" t="s">
        <v>2225</v>
      </c>
      <c r="K5" s="929" t="s">
        <v>1791</v>
      </c>
      <c r="L5" s="137"/>
      <c r="M5" s="137"/>
      <c r="N5" s="137"/>
      <c r="O5" s="137"/>
      <c r="P5" s="137"/>
      <c r="Q5" s="137"/>
      <c r="R5" s="137"/>
      <c r="S5" s="137"/>
      <c r="T5" s="137"/>
      <c r="U5" s="137"/>
      <c r="V5" s="137"/>
      <c r="W5" s="137"/>
      <c r="X5" s="137"/>
      <c r="Y5" s="137"/>
      <c r="Z5" s="137"/>
    </row>
    <row r="6" ht="15.75" customHeight="1">
      <c r="A6" s="1264">
        <v>45664.0</v>
      </c>
      <c r="B6" s="1129" t="s">
        <v>2209</v>
      </c>
      <c r="C6" s="767">
        <v>2.0</v>
      </c>
      <c r="D6" s="803">
        <v>45385.0</v>
      </c>
      <c r="E6" s="41" t="s">
        <v>2226</v>
      </c>
      <c r="F6" s="474" t="s">
        <v>2227</v>
      </c>
      <c r="G6" s="166" t="s">
        <v>2228</v>
      </c>
      <c r="H6" s="1271" t="s">
        <v>2229</v>
      </c>
      <c r="I6" s="1272" t="s">
        <v>2207</v>
      </c>
      <c r="J6" s="507" t="s">
        <v>2230</v>
      </c>
      <c r="K6" s="780" t="s">
        <v>2215</v>
      </c>
      <c r="L6" s="137"/>
      <c r="M6" s="137"/>
      <c r="N6" s="137"/>
      <c r="O6" s="137"/>
      <c r="P6" s="137"/>
      <c r="Q6" s="137"/>
      <c r="R6" s="137"/>
      <c r="S6" s="137"/>
      <c r="T6" s="137"/>
      <c r="U6" s="137"/>
      <c r="V6" s="137"/>
      <c r="W6" s="137"/>
      <c r="X6" s="137"/>
      <c r="Y6" s="137"/>
      <c r="Z6" s="137"/>
    </row>
    <row r="7" ht="15.75" customHeight="1">
      <c r="A7" s="1264">
        <v>45664.0</v>
      </c>
      <c r="B7" s="1129" t="s">
        <v>2209</v>
      </c>
      <c r="C7" s="767">
        <v>2.0</v>
      </c>
      <c r="D7" s="802">
        <v>45294.0</v>
      </c>
      <c r="E7" s="614" t="s">
        <v>2231</v>
      </c>
      <c r="F7" s="529" t="s">
        <v>2232</v>
      </c>
      <c r="G7" s="260" t="s">
        <v>2233</v>
      </c>
      <c r="H7" s="1273" t="s">
        <v>2234</v>
      </c>
      <c r="I7" s="1274" t="s">
        <v>2207</v>
      </c>
      <c r="J7" s="251" t="s">
        <v>2235</v>
      </c>
      <c r="K7" s="929" t="s">
        <v>1791</v>
      </c>
      <c r="L7" s="137"/>
      <c r="M7" s="137"/>
      <c r="N7" s="137"/>
      <c r="O7" s="137"/>
      <c r="P7" s="137"/>
      <c r="Q7" s="137"/>
      <c r="R7" s="137"/>
      <c r="S7" s="137"/>
      <c r="T7" s="137"/>
    </row>
    <row r="8" ht="15.75" customHeight="1">
      <c r="A8" s="1264">
        <v>45665.0</v>
      </c>
      <c r="B8" s="1129" t="s">
        <v>2209</v>
      </c>
      <c r="C8" s="767">
        <v>3.0</v>
      </c>
      <c r="D8" s="803">
        <v>45384.0</v>
      </c>
      <c r="E8" s="21" t="s">
        <v>1788</v>
      </c>
      <c r="F8" s="927" t="s">
        <v>1789</v>
      </c>
      <c r="G8" s="109" t="s">
        <v>1790</v>
      </c>
      <c r="H8" s="1275" t="s">
        <v>2236</v>
      </c>
      <c r="I8" s="1266" t="s">
        <v>2207</v>
      </c>
      <c r="J8" s="22" t="s">
        <v>2237</v>
      </c>
      <c r="K8" s="602" t="s">
        <v>1205</v>
      </c>
      <c r="L8" s="716" t="s">
        <v>1285</v>
      </c>
      <c r="M8" s="929" t="s">
        <v>1791</v>
      </c>
      <c r="N8" s="137"/>
      <c r="O8" s="137"/>
      <c r="P8" s="137"/>
      <c r="Q8" s="137"/>
      <c r="R8" s="137"/>
      <c r="S8" s="137"/>
      <c r="T8" s="137"/>
      <c r="U8" s="137"/>
      <c r="V8" s="137"/>
      <c r="W8" s="137"/>
      <c r="X8" s="137"/>
      <c r="Y8" s="137"/>
      <c r="Z8" s="137"/>
    </row>
    <row r="9" ht="15.75" customHeight="1">
      <c r="A9" s="1264">
        <v>45665.0</v>
      </c>
      <c r="B9" s="1129" t="s">
        <v>1172</v>
      </c>
      <c r="C9" s="767">
        <v>2.0</v>
      </c>
      <c r="D9" s="803">
        <v>45384.0</v>
      </c>
      <c r="E9" s="41" t="s">
        <v>2238</v>
      </c>
      <c r="F9" s="41" t="s">
        <v>2239</v>
      </c>
      <c r="G9" s="41" t="s">
        <v>2240</v>
      </c>
      <c r="H9" s="659" t="s">
        <v>2241</v>
      </c>
      <c r="I9" s="1266" t="s">
        <v>2207</v>
      </c>
      <c r="J9" s="767" t="s">
        <v>2242</v>
      </c>
      <c r="K9" s="726" t="s">
        <v>1464</v>
      </c>
      <c r="L9" s="489" t="s">
        <v>1392</v>
      </c>
      <c r="M9" s="780" t="s">
        <v>2243</v>
      </c>
      <c r="N9" s="137"/>
      <c r="O9" s="137"/>
      <c r="P9" s="137"/>
      <c r="Q9" s="137"/>
      <c r="R9" s="137"/>
      <c r="S9" s="137"/>
      <c r="T9" s="137"/>
    </row>
    <row r="10" ht="15.75" customHeight="1">
      <c r="A10" s="1264">
        <v>45665.0</v>
      </c>
      <c r="B10" s="1129" t="s">
        <v>2244</v>
      </c>
      <c r="C10" s="767">
        <v>3.0</v>
      </c>
      <c r="D10" s="737">
        <v>45076.0</v>
      </c>
      <c r="E10" s="22" t="s">
        <v>2245</v>
      </c>
      <c r="F10" s="41" t="s">
        <v>2246</v>
      </c>
      <c r="G10" s="1276" t="s">
        <v>2247</v>
      </c>
      <c r="H10" s="659" t="s">
        <v>2236</v>
      </c>
      <c r="I10" s="1266" t="s">
        <v>2207</v>
      </c>
      <c r="J10" s="506" t="s">
        <v>2248</v>
      </c>
      <c r="K10" s="780" t="s">
        <v>2243</v>
      </c>
      <c r="L10" s="137"/>
      <c r="M10" s="137"/>
      <c r="N10" s="137"/>
      <c r="O10" s="137"/>
      <c r="P10" s="137"/>
      <c r="Q10" s="137"/>
      <c r="R10" s="137"/>
      <c r="S10" s="137"/>
      <c r="T10" s="137"/>
    </row>
    <row r="11" ht="15.75" customHeight="1">
      <c r="A11" s="1264">
        <v>45665.0</v>
      </c>
      <c r="B11" s="1129" t="s">
        <v>2202</v>
      </c>
      <c r="C11" s="767">
        <v>4.0</v>
      </c>
      <c r="D11" s="1070">
        <v>45560.0</v>
      </c>
      <c r="E11" s="247" t="s">
        <v>2249</v>
      </c>
      <c r="F11" s="414" t="s">
        <v>2250</v>
      </c>
      <c r="G11" s="1277" t="s">
        <v>2251</v>
      </c>
      <c r="H11" s="659" t="s">
        <v>2252</v>
      </c>
      <c r="I11" s="1266" t="s">
        <v>2207</v>
      </c>
      <c r="J11" s="247" t="s">
        <v>2253</v>
      </c>
      <c r="K11" s="780" t="s">
        <v>2243</v>
      </c>
      <c r="L11" s="137"/>
      <c r="M11" s="137"/>
      <c r="N11" s="137"/>
      <c r="O11" s="137"/>
      <c r="P11" s="137"/>
      <c r="Q11" s="137"/>
      <c r="R11" s="137"/>
      <c r="S11" s="137"/>
      <c r="T11" s="137"/>
    </row>
    <row r="12" ht="15.75" customHeight="1">
      <c r="A12" s="1264">
        <v>45665.0</v>
      </c>
      <c r="B12" s="1129" t="s">
        <v>2202</v>
      </c>
      <c r="C12" s="767">
        <v>2.0</v>
      </c>
      <c r="D12" s="803">
        <v>45383.0</v>
      </c>
      <c r="E12" s="109" t="s">
        <v>2254</v>
      </c>
      <c r="F12" s="119" t="s">
        <v>2255</v>
      </c>
      <c r="G12" s="109" t="s">
        <v>2256</v>
      </c>
      <c r="H12" s="659" t="s">
        <v>2257</v>
      </c>
      <c r="I12" s="1266" t="s">
        <v>2207</v>
      </c>
      <c r="J12" s="166" t="s">
        <v>2258</v>
      </c>
      <c r="K12" s="780" t="s">
        <v>2243</v>
      </c>
      <c r="L12" s="137"/>
      <c r="M12" s="137"/>
      <c r="N12" s="137"/>
      <c r="O12" s="137"/>
      <c r="P12" s="137"/>
      <c r="Q12" s="137"/>
      <c r="R12" s="137"/>
      <c r="S12" s="137"/>
      <c r="T12" s="137"/>
    </row>
    <row r="13" ht="15.75" customHeight="1">
      <c r="A13" s="1264">
        <v>45666.0</v>
      </c>
      <c r="B13" s="1129" t="s">
        <v>2209</v>
      </c>
      <c r="C13" s="767">
        <v>2.0</v>
      </c>
      <c r="D13" s="1278">
        <v>45350.0</v>
      </c>
      <c r="E13" s="119" t="s">
        <v>2259</v>
      </c>
      <c r="F13" s="119" t="s">
        <v>2260</v>
      </c>
      <c r="G13" s="1279" t="s">
        <v>2261</v>
      </c>
      <c r="H13" s="659" t="s">
        <v>2262</v>
      </c>
      <c r="I13" s="1266" t="s">
        <v>2207</v>
      </c>
      <c r="J13" s="260" t="s">
        <v>2263</v>
      </c>
      <c r="K13" s="780" t="s">
        <v>2243</v>
      </c>
      <c r="L13" s="137"/>
      <c r="M13" s="137"/>
      <c r="N13" s="137"/>
      <c r="O13" s="137"/>
      <c r="P13" s="137"/>
      <c r="Q13" s="137"/>
      <c r="R13" s="137"/>
      <c r="S13" s="137"/>
      <c r="T13" s="137"/>
    </row>
    <row r="14" ht="15.75" customHeight="1">
      <c r="A14" s="1264">
        <v>45666.0</v>
      </c>
      <c r="B14" s="1129" t="s">
        <v>2209</v>
      </c>
      <c r="C14" s="767">
        <v>3.0</v>
      </c>
      <c r="D14" s="802">
        <v>45357.0</v>
      </c>
      <c r="E14" s="41" t="s">
        <v>2264</v>
      </c>
      <c r="F14" s="119" t="s">
        <v>2260</v>
      </c>
      <c r="G14" s="1279" t="s">
        <v>2261</v>
      </c>
      <c r="H14" s="659" t="s">
        <v>2265</v>
      </c>
      <c r="I14" s="1266" t="s">
        <v>2207</v>
      </c>
      <c r="J14" s="249" t="s">
        <v>2263</v>
      </c>
      <c r="K14" s="780" t="s">
        <v>2243</v>
      </c>
      <c r="L14" s="780"/>
      <c r="M14" s="137"/>
      <c r="N14" s="137"/>
      <c r="O14" s="137"/>
      <c r="P14" s="137"/>
      <c r="Q14" s="137"/>
      <c r="R14" s="137"/>
      <c r="S14" s="137"/>
      <c r="T14" s="137"/>
    </row>
    <row r="15" ht="15.75" customHeight="1">
      <c r="A15" s="1264">
        <v>45666.0</v>
      </c>
      <c r="B15" s="1129" t="s">
        <v>1172</v>
      </c>
      <c r="C15" s="767">
        <v>2.0</v>
      </c>
      <c r="D15" s="1280">
        <v>45664.0</v>
      </c>
      <c r="E15" s="23" t="s">
        <v>2266</v>
      </c>
      <c r="F15" s="409" t="s">
        <v>2267</v>
      </c>
      <c r="G15" s="724" t="s">
        <v>2268</v>
      </c>
      <c r="H15" s="1275" t="s">
        <v>2269</v>
      </c>
      <c r="I15" s="1266" t="s">
        <v>2207</v>
      </c>
      <c r="J15" s="793" t="s">
        <v>2270</v>
      </c>
      <c r="K15" s="623" t="s">
        <v>1261</v>
      </c>
      <c r="L15" s="780" t="s">
        <v>2243</v>
      </c>
      <c r="M15" s="137"/>
      <c r="N15" s="137"/>
      <c r="O15" s="137"/>
      <c r="P15" s="137"/>
      <c r="Q15" s="137"/>
      <c r="R15" s="137"/>
      <c r="S15" s="137"/>
      <c r="T15" s="137"/>
    </row>
    <row r="16" ht="15.75" customHeight="1">
      <c r="A16" s="1264">
        <v>45671.0</v>
      </c>
      <c r="B16" s="1129" t="s">
        <v>2202</v>
      </c>
      <c r="C16" s="767">
        <v>3.0</v>
      </c>
      <c r="D16" s="737">
        <v>45456.0</v>
      </c>
      <c r="E16" s="18" t="s">
        <v>2271</v>
      </c>
      <c r="F16" s="22" t="s">
        <v>2272</v>
      </c>
      <c r="G16" s="260" t="s">
        <v>2273</v>
      </c>
      <c r="H16" s="659" t="s">
        <v>2274</v>
      </c>
      <c r="I16" s="1266" t="s">
        <v>2207</v>
      </c>
      <c r="J16" s="793" t="s">
        <v>2275</v>
      </c>
      <c r="K16" s="929" t="s">
        <v>2276</v>
      </c>
      <c r="L16" s="137"/>
      <c r="M16" s="137"/>
      <c r="N16" s="137"/>
      <c r="O16" s="137"/>
      <c r="P16" s="137"/>
      <c r="Q16" s="137"/>
      <c r="R16" s="137"/>
      <c r="S16" s="137"/>
      <c r="T16" s="137"/>
    </row>
    <row r="17" ht="15.75" customHeight="1">
      <c r="A17" s="1264">
        <v>45673.0</v>
      </c>
      <c r="B17" s="1281" t="s">
        <v>2244</v>
      </c>
      <c r="C17" s="30">
        <v>2.0</v>
      </c>
      <c r="D17" s="629">
        <v>45387.0</v>
      </c>
      <c r="E17" s="19" t="s">
        <v>2277</v>
      </c>
      <c r="F17" s="414" t="s">
        <v>2278</v>
      </c>
      <c r="G17" s="668" t="s">
        <v>2279</v>
      </c>
      <c r="H17" s="659" t="s">
        <v>2219</v>
      </c>
      <c r="I17" s="1266" t="s">
        <v>2207</v>
      </c>
      <c r="J17" s="1282" t="s">
        <v>2280</v>
      </c>
      <c r="K17" s="602" t="s">
        <v>2281</v>
      </c>
      <c r="L17" s="1283" t="s">
        <v>2282</v>
      </c>
      <c r="M17" s="137"/>
      <c r="N17" s="137"/>
      <c r="O17" s="137"/>
      <c r="P17" s="137"/>
      <c r="Q17" s="137"/>
      <c r="R17" s="137"/>
      <c r="S17" s="137"/>
      <c r="T17" s="137"/>
    </row>
    <row r="18" ht="15.75" customHeight="1">
      <c r="A18" s="1264">
        <v>45679.0</v>
      </c>
      <c r="B18" s="1129" t="s">
        <v>2202</v>
      </c>
      <c r="C18" s="767">
        <v>4.0</v>
      </c>
      <c r="D18" s="1130">
        <v>45323.0</v>
      </c>
      <c r="E18" s="163" t="s">
        <v>2283</v>
      </c>
      <c r="F18" s="43" t="s">
        <v>2284</v>
      </c>
      <c r="G18" s="43" t="s">
        <v>2285</v>
      </c>
      <c r="H18" s="659" t="s">
        <v>2286</v>
      </c>
      <c r="I18" s="1266" t="s">
        <v>2207</v>
      </c>
      <c r="J18" s="41" t="s">
        <v>2287</v>
      </c>
      <c r="K18" s="511" t="s">
        <v>1088</v>
      </c>
      <c r="L18" s="929" t="s">
        <v>2276</v>
      </c>
      <c r="M18" s="137"/>
      <c r="N18" s="137"/>
      <c r="O18" s="137"/>
      <c r="P18" s="137"/>
      <c r="Q18" s="137"/>
    </row>
    <row r="19" ht="15.75" customHeight="1">
      <c r="A19" s="1130">
        <v>45681.0</v>
      </c>
      <c r="B19" s="1281" t="s">
        <v>2244</v>
      </c>
      <c r="C19" s="767">
        <v>1.0</v>
      </c>
      <c r="D19" s="802">
        <v>45664.0</v>
      </c>
      <c r="E19" s="119" t="s">
        <v>2288</v>
      </c>
      <c r="F19" s="41" t="s">
        <v>2289</v>
      </c>
      <c r="G19" s="41" t="s">
        <v>2290</v>
      </c>
      <c r="H19" s="659" t="s">
        <v>2291</v>
      </c>
      <c r="I19" s="1266" t="s">
        <v>2207</v>
      </c>
      <c r="J19" s="1284" t="s">
        <v>2292</v>
      </c>
      <c r="K19" s="780" t="s">
        <v>2243</v>
      </c>
      <c r="L19" s="137"/>
      <c r="M19" s="137"/>
      <c r="N19" s="137"/>
      <c r="O19" s="137"/>
      <c r="P19" s="137"/>
      <c r="Q19" s="137"/>
    </row>
    <row r="20" ht="15.75" customHeight="1">
      <c r="A20" s="1130">
        <v>45681.0</v>
      </c>
      <c r="B20" s="1129" t="s">
        <v>2202</v>
      </c>
      <c r="C20" s="767">
        <v>4.0</v>
      </c>
      <c r="D20" s="711">
        <v>44790.0</v>
      </c>
      <c r="E20" s="41" t="s">
        <v>2293</v>
      </c>
      <c r="F20" s="34" t="s">
        <v>1207</v>
      </c>
      <c r="G20" s="34" t="s">
        <v>1208</v>
      </c>
      <c r="H20" s="1275" t="s">
        <v>2294</v>
      </c>
      <c r="I20" s="1266" t="s">
        <v>2207</v>
      </c>
      <c r="J20" s="1284" t="s">
        <v>2295</v>
      </c>
      <c r="K20" s="929" t="s">
        <v>2276</v>
      </c>
      <c r="L20" s="1285"/>
      <c r="M20" s="780"/>
      <c r="N20" s="137"/>
      <c r="O20" s="137"/>
      <c r="P20" s="137"/>
      <c r="Q20" s="137"/>
    </row>
    <row r="21" ht="15.75" customHeight="1">
      <c r="A21" s="1130">
        <v>45691.0</v>
      </c>
      <c r="B21" s="1129" t="s">
        <v>2202</v>
      </c>
      <c r="C21" s="767">
        <v>1.0</v>
      </c>
      <c r="D21" s="492">
        <v>45663.0</v>
      </c>
      <c r="E21" s="18" t="s">
        <v>2296</v>
      </c>
      <c r="F21" s="506" t="s">
        <v>2297</v>
      </c>
      <c r="G21" s="260" t="s">
        <v>2298</v>
      </c>
      <c r="H21" s="1275" t="s">
        <v>2299</v>
      </c>
      <c r="I21" s="1266" t="s">
        <v>2207</v>
      </c>
      <c r="J21" s="41" t="s">
        <v>2300</v>
      </c>
      <c r="K21" s="137"/>
      <c r="L21" s="137"/>
      <c r="M21" s="780"/>
      <c r="N21" s="780"/>
      <c r="O21" s="137"/>
      <c r="P21" s="137"/>
      <c r="Q21" s="137"/>
    </row>
    <row r="22" ht="15.75" customHeight="1">
      <c r="A22" s="1130">
        <v>45691.0</v>
      </c>
      <c r="B22" s="1281" t="s">
        <v>2244</v>
      </c>
      <c r="C22" s="767">
        <v>2.0</v>
      </c>
      <c r="D22" s="802">
        <v>45350.0</v>
      </c>
      <c r="E22" s="41" t="s">
        <v>2301</v>
      </c>
      <c r="F22" s="414" t="s">
        <v>2302</v>
      </c>
      <c r="G22" s="689" t="s">
        <v>2303</v>
      </c>
      <c r="H22" s="1275" t="s">
        <v>2304</v>
      </c>
      <c r="I22" s="1266" t="s">
        <v>2207</v>
      </c>
      <c r="J22" s="254" t="s">
        <v>2305</v>
      </c>
      <c r="K22" s="780" t="s">
        <v>2243</v>
      </c>
      <c r="L22" s="137"/>
      <c r="M22" s="780"/>
      <c r="N22" s="780"/>
      <c r="O22" s="137"/>
      <c r="P22" s="137"/>
      <c r="Q22" s="137"/>
    </row>
    <row r="23" ht="15.75" customHeight="1">
      <c r="A23" s="1130">
        <v>45692.0</v>
      </c>
      <c r="B23" s="1129" t="s">
        <v>1172</v>
      </c>
      <c r="C23" s="767">
        <v>4.0</v>
      </c>
      <c r="D23" s="764">
        <v>45664.0</v>
      </c>
      <c r="E23" s="18" t="s">
        <v>2306</v>
      </c>
      <c r="F23" s="557" t="s">
        <v>2307</v>
      </c>
      <c r="G23" s="369" t="s">
        <v>2308</v>
      </c>
      <c r="H23" s="1275" t="s">
        <v>2309</v>
      </c>
      <c r="I23" s="1266" t="s">
        <v>2207</v>
      </c>
      <c r="J23" s="985" t="s">
        <v>2310</v>
      </c>
      <c r="K23" s="929" t="s">
        <v>2311</v>
      </c>
      <c r="L23" s="137"/>
      <c r="M23" s="137"/>
      <c r="N23" s="137"/>
      <c r="P23" s="137"/>
      <c r="Q23" s="137"/>
    </row>
    <row r="24" ht="30.75" customHeight="1">
      <c r="A24" s="1130">
        <v>45694.0</v>
      </c>
      <c r="B24" s="1129" t="s">
        <v>1172</v>
      </c>
      <c r="C24" s="767">
        <v>4.0</v>
      </c>
      <c r="D24" s="802">
        <v>44200.0</v>
      </c>
      <c r="E24" s="22" t="s">
        <v>2312</v>
      </c>
      <c r="F24" s="34" t="s">
        <v>2313</v>
      </c>
      <c r="G24" s="34" t="s">
        <v>2314</v>
      </c>
      <c r="H24" s="1275" t="s">
        <v>2315</v>
      </c>
      <c r="I24" s="1266" t="s">
        <v>2207</v>
      </c>
      <c r="J24" s="171" t="s">
        <v>2316</v>
      </c>
      <c r="K24" s="929" t="s">
        <v>2276</v>
      </c>
      <c r="L24" s="1286"/>
      <c r="M24" s="1287"/>
      <c r="N24" s="1287"/>
      <c r="O24" s="155"/>
      <c r="P24" s="1287"/>
      <c r="Q24" s="1287"/>
      <c r="R24" s="155"/>
      <c r="S24" s="155"/>
      <c r="T24" s="155"/>
      <c r="U24" s="155"/>
      <c r="V24" s="155"/>
    </row>
    <row r="25" ht="15.75" customHeight="1">
      <c r="A25" s="1130">
        <v>45694.0</v>
      </c>
      <c r="B25" s="1129" t="s">
        <v>1172</v>
      </c>
      <c r="C25" s="767">
        <v>4.0</v>
      </c>
      <c r="D25" s="802">
        <v>45323.0</v>
      </c>
      <c r="E25" s="23" t="s">
        <v>2317</v>
      </c>
      <c r="F25" s="471" t="s">
        <v>2318</v>
      </c>
      <c r="G25" s="1195" t="s">
        <v>2319</v>
      </c>
      <c r="H25" s="659" t="s">
        <v>2286</v>
      </c>
      <c r="I25" s="1266" t="s">
        <v>2207</v>
      </c>
      <c r="J25" s="1288" t="s">
        <v>2320</v>
      </c>
      <c r="K25" s="488" t="s">
        <v>2321</v>
      </c>
      <c r="L25" s="929" t="s">
        <v>2322</v>
      </c>
      <c r="M25" s="1289"/>
      <c r="N25" s="1287"/>
      <c r="O25" s="1287"/>
      <c r="P25" s="1287"/>
      <c r="Q25" s="1287"/>
      <c r="R25" s="155"/>
      <c r="S25" s="155"/>
      <c r="T25" s="155"/>
      <c r="U25" s="155"/>
      <c r="V25" s="155"/>
    </row>
    <row r="26" ht="15.75" customHeight="1">
      <c r="A26" s="1130">
        <v>45695.0</v>
      </c>
      <c r="B26" s="1129" t="s">
        <v>1172</v>
      </c>
      <c r="C26" s="767">
        <v>8.0</v>
      </c>
      <c r="D26" s="802">
        <v>45527.0</v>
      </c>
      <c r="E26" s="1290" t="s">
        <v>2323</v>
      </c>
      <c r="F26" s="41" t="s">
        <v>2324</v>
      </c>
      <c r="G26" s="41" t="s">
        <v>2325</v>
      </c>
      <c r="H26" s="659" t="s">
        <v>2326</v>
      </c>
      <c r="I26" s="1266" t="s">
        <v>2207</v>
      </c>
      <c r="J26" s="1291" t="s">
        <v>2327</v>
      </c>
      <c r="K26" s="1292"/>
      <c r="L26" s="1293"/>
      <c r="M26" s="1293"/>
      <c r="N26" s="1293"/>
      <c r="O26" s="1293"/>
      <c r="P26" s="1293"/>
      <c r="Q26" s="1293"/>
      <c r="R26" s="1293"/>
      <c r="S26" s="1293"/>
      <c r="T26" s="155"/>
      <c r="U26" s="155"/>
      <c r="V26" s="155"/>
    </row>
    <row r="27" ht="15.75" customHeight="1">
      <c r="A27" s="1130">
        <v>45698.0</v>
      </c>
      <c r="B27" s="1129" t="s">
        <v>1172</v>
      </c>
      <c r="C27" s="767">
        <v>3.0</v>
      </c>
      <c r="D27" s="737">
        <v>45664.0</v>
      </c>
      <c r="E27" s="1294" t="s">
        <v>2328</v>
      </c>
      <c r="F27" s="439" t="s">
        <v>2329</v>
      </c>
      <c r="G27" s="1294" t="s">
        <v>2330</v>
      </c>
      <c r="H27" s="1275" t="s">
        <v>2331</v>
      </c>
      <c r="I27" s="1266" t="s">
        <v>2207</v>
      </c>
      <c r="J27" s="1295" t="s">
        <v>2332</v>
      </c>
      <c r="K27" s="693" t="s">
        <v>2333</v>
      </c>
      <c r="L27" s="716" t="s">
        <v>1109</v>
      </c>
      <c r="M27" s="929" t="s">
        <v>2334</v>
      </c>
      <c r="N27" s="1287"/>
      <c r="O27" s="1287"/>
      <c r="P27" s="1287"/>
      <c r="Q27" s="1287"/>
      <c r="R27" s="155"/>
      <c r="S27" s="155"/>
      <c r="T27" s="155"/>
      <c r="U27" s="155"/>
      <c r="V27" s="155"/>
    </row>
    <row r="28" ht="15.75" customHeight="1">
      <c r="A28" s="1130">
        <v>45698.0</v>
      </c>
      <c r="B28" s="1129" t="s">
        <v>1172</v>
      </c>
      <c r="C28" s="767">
        <v>1.0</v>
      </c>
      <c r="D28" s="802">
        <v>45691.0</v>
      </c>
      <c r="E28" s="163" t="s">
        <v>2335</v>
      </c>
      <c r="F28" s="119" t="s">
        <v>2336</v>
      </c>
      <c r="G28" s="708" t="s">
        <v>2337</v>
      </c>
      <c r="H28" s="119" t="s">
        <v>2338</v>
      </c>
      <c r="I28" s="1266" t="s">
        <v>2207</v>
      </c>
      <c r="J28" s="1296" t="s">
        <v>2339</v>
      </c>
      <c r="K28" s="929" t="s">
        <v>2334</v>
      </c>
      <c r="L28" s="1293"/>
      <c r="M28" s="1293"/>
      <c r="N28" s="1293"/>
      <c r="O28" s="1293"/>
      <c r="P28" s="1293"/>
      <c r="Q28" s="1293"/>
      <c r="R28" s="1293"/>
      <c r="S28" s="1293"/>
      <c r="T28" s="155"/>
      <c r="U28" s="155"/>
      <c r="V28" s="155"/>
    </row>
    <row r="29" ht="15.75" customHeight="1">
      <c r="A29" s="1130">
        <v>45702.0</v>
      </c>
      <c r="B29" s="1129" t="s">
        <v>1172</v>
      </c>
      <c r="C29" s="767">
        <v>3.0</v>
      </c>
      <c r="D29" s="802">
        <v>45384.0</v>
      </c>
      <c r="E29" s="156" t="s">
        <v>2340</v>
      </c>
      <c r="F29" s="530" t="s">
        <v>2341</v>
      </c>
      <c r="G29" s="34" t="s">
        <v>2342</v>
      </c>
      <c r="H29" s="530" t="s">
        <v>2343</v>
      </c>
      <c r="I29" s="1266" t="s">
        <v>2207</v>
      </c>
      <c r="J29" s="1291" t="s">
        <v>2344</v>
      </c>
      <c r="K29" s="602" t="s">
        <v>1179</v>
      </c>
      <c r="L29" s="929" t="s">
        <v>2334</v>
      </c>
      <c r="M29" s="1293"/>
      <c r="N29" s="1293"/>
      <c r="O29" s="1293"/>
      <c r="P29" s="1293"/>
      <c r="Q29" s="1293"/>
      <c r="R29" s="1293"/>
      <c r="S29" s="1293"/>
      <c r="T29" s="155"/>
      <c r="U29" s="155"/>
      <c r="V29" s="155"/>
    </row>
    <row r="30" ht="15.75" customHeight="1">
      <c r="A30" s="1130">
        <v>45706.0</v>
      </c>
      <c r="B30" s="1129" t="s">
        <v>1172</v>
      </c>
      <c r="C30" s="767">
        <v>4.0</v>
      </c>
      <c r="D30" s="878">
        <v>44880.0</v>
      </c>
      <c r="E30" s="41" t="s">
        <v>2345</v>
      </c>
      <c r="F30" s="1078" t="s">
        <v>2346</v>
      </c>
      <c r="G30" s="1078" t="s">
        <v>2347</v>
      </c>
      <c r="H30" s="608" t="s">
        <v>2315</v>
      </c>
      <c r="I30" s="1266" t="s">
        <v>2207</v>
      </c>
      <c r="J30" s="1297" t="s">
        <v>2348</v>
      </c>
      <c r="K30" s="929" t="s">
        <v>2334</v>
      </c>
      <c r="L30" s="1293"/>
      <c r="M30" s="1293"/>
      <c r="N30" s="1293"/>
      <c r="O30" s="1293"/>
      <c r="P30" s="1293"/>
      <c r="Q30" s="1293"/>
      <c r="R30" s="1293"/>
      <c r="S30" s="1293"/>
      <c r="T30" s="155"/>
      <c r="U30" s="155"/>
      <c r="V30" s="155"/>
    </row>
    <row r="31" ht="15.75" customHeight="1">
      <c r="A31" s="1130">
        <v>45712.0</v>
      </c>
      <c r="B31" s="1129" t="s">
        <v>2202</v>
      </c>
      <c r="C31" s="767">
        <v>5.0</v>
      </c>
      <c r="D31" s="752">
        <v>45264.0</v>
      </c>
      <c r="E31" s="208" t="s">
        <v>2349</v>
      </c>
      <c r="F31" s="439" t="s">
        <v>2350</v>
      </c>
      <c r="G31" s="41" t="s">
        <v>2351</v>
      </c>
      <c r="H31" s="1298" t="s">
        <v>2352</v>
      </c>
      <c r="I31" s="1266" t="s">
        <v>2207</v>
      </c>
      <c r="J31" s="1296" t="s">
        <v>2353</v>
      </c>
      <c r="K31" s="1292"/>
      <c r="L31" s="1293"/>
      <c r="M31" s="1293"/>
      <c r="N31" s="1293"/>
      <c r="O31" s="1293"/>
      <c r="P31" s="1293"/>
      <c r="Q31" s="1293"/>
      <c r="R31" s="1293"/>
      <c r="S31" s="1293"/>
      <c r="T31" s="155"/>
      <c r="U31" s="155"/>
      <c r="V31" s="155"/>
    </row>
    <row r="32" ht="15.75" customHeight="1">
      <c r="A32" s="1130">
        <v>45716.0</v>
      </c>
      <c r="B32" s="1129" t="s">
        <v>1172</v>
      </c>
      <c r="C32" s="767">
        <v>3.0</v>
      </c>
      <c r="D32" s="802">
        <v>45240.0</v>
      </c>
      <c r="E32" s="767" t="s">
        <v>2354</v>
      </c>
      <c r="F32" s="749" t="s">
        <v>2355</v>
      </c>
      <c r="G32" s="697" t="s">
        <v>2356</v>
      </c>
      <c r="H32" s="789" t="s">
        <v>2357</v>
      </c>
      <c r="I32" s="1266" t="s">
        <v>2207</v>
      </c>
      <c r="J32" s="1299" t="s">
        <v>2358</v>
      </c>
      <c r="K32" s="750" t="s">
        <v>2359</v>
      </c>
      <c r="L32" s="1300" t="s">
        <v>1505</v>
      </c>
      <c r="M32" s="1293"/>
      <c r="N32" s="1293"/>
      <c r="O32" s="1293"/>
      <c r="P32" s="1293"/>
      <c r="Q32" s="1293"/>
      <c r="R32" s="1293"/>
      <c r="S32" s="1293"/>
      <c r="T32" s="155"/>
      <c r="U32" s="155"/>
      <c r="V32" s="155"/>
    </row>
    <row r="33" ht="15.75" customHeight="1">
      <c r="A33" s="1130">
        <v>45716.0</v>
      </c>
      <c r="B33" s="1129" t="s">
        <v>1172</v>
      </c>
      <c r="C33" s="767">
        <v>1.0</v>
      </c>
      <c r="D33" s="492">
        <v>45663.0</v>
      </c>
      <c r="E33" s="21" t="s">
        <v>955</v>
      </c>
      <c r="F33" s="41" t="s">
        <v>956</v>
      </c>
      <c r="G33" s="166" t="s">
        <v>957</v>
      </c>
      <c r="H33" s="1301" t="s">
        <v>2360</v>
      </c>
      <c r="I33" s="1266" t="s">
        <v>2207</v>
      </c>
      <c r="J33" s="1302" t="s">
        <v>2361</v>
      </c>
      <c r="K33" s="1292"/>
      <c r="L33" s="1293"/>
      <c r="M33" s="1293"/>
      <c r="N33" s="1293"/>
      <c r="O33" s="1293"/>
      <c r="P33" s="1293"/>
      <c r="Q33" s="1293"/>
      <c r="R33" s="1293"/>
      <c r="S33" s="1293"/>
      <c r="T33" s="155"/>
      <c r="U33" s="155"/>
      <c r="V33" s="155"/>
    </row>
    <row r="34" ht="15.75" customHeight="1">
      <c r="A34" s="1130">
        <v>45714.0</v>
      </c>
      <c r="B34" s="1129" t="s">
        <v>1172</v>
      </c>
      <c r="C34" s="767">
        <v>3.0</v>
      </c>
      <c r="D34" s="764">
        <v>44827.0</v>
      </c>
      <c r="E34" s="767" t="s">
        <v>2362</v>
      </c>
      <c r="F34" s="717" t="s">
        <v>2363</v>
      </c>
      <c r="G34" s="507" t="s">
        <v>2364</v>
      </c>
      <c r="H34" s="1301" t="s">
        <v>2213</v>
      </c>
      <c r="I34" s="1266" t="s">
        <v>2207</v>
      </c>
      <c r="J34" s="1299" t="s">
        <v>2365</v>
      </c>
      <c r="K34" s="726" t="s">
        <v>1848</v>
      </c>
      <c r="L34" s="850" t="s">
        <v>2366</v>
      </c>
      <c r="M34" s="853"/>
      <c r="N34" s="850" t="s">
        <v>1581</v>
      </c>
      <c r="O34" s="835" t="s">
        <v>2367</v>
      </c>
      <c r="P34" s="835" t="s">
        <v>1657</v>
      </c>
      <c r="Q34" s="1287"/>
      <c r="R34" s="155"/>
      <c r="S34" s="155"/>
      <c r="T34" s="155"/>
      <c r="U34" s="155"/>
      <c r="V34" s="155"/>
    </row>
    <row r="35" ht="31.5" customHeight="1">
      <c r="A35" s="1130">
        <v>45716.0</v>
      </c>
      <c r="B35" s="1129" t="s">
        <v>1172</v>
      </c>
      <c r="C35" s="767">
        <v>2.0</v>
      </c>
      <c r="D35" s="638">
        <v>45359.0</v>
      </c>
      <c r="E35" s="18" t="s">
        <v>539</v>
      </c>
      <c r="F35" s="414" t="s">
        <v>1304</v>
      </c>
      <c r="G35" s="692" t="s">
        <v>1305</v>
      </c>
      <c r="H35" s="506" t="s">
        <v>2368</v>
      </c>
      <c r="I35" s="1266" t="s">
        <v>2207</v>
      </c>
      <c r="J35" s="1303" t="s">
        <v>2369</v>
      </c>
      <c r="K35" s="602" t="s">
        <v>1224</v>
      </c>
      <c r="L35" s="1293"/>
      <c r="M35" s="1293"/>
      <c r="N35" s="1293"/>
      <c r="O35" s="1287"/>
      <c r="P35" s="1287"/>
      <c r="Q35" s="1287"/>
      <c r="R35" s="155"/>
      <c r="S35" s="155"/>
      <c r="T35" s="155"/>
      <c r="U35" s="155"/>
      <c r="V35" s="155"/>
    </row>
    <row r="36" ht="15.75" customHeight="1">
      <c r="A36" s="1130">
        <v>45714.0</v>
      </c>
      <c r="B36" s="1129" t="s">
        <v>1172</v>
      </c>
      <c r="C36" s="767">
        <v>3.0</v>
      </c>
      <c r="D36" s="502">
        <v>45439.0</v>
      </c>
      <c r="E36" s="22" t="s">
        <v>2370</v>
      </c>
      <c r="F36" s="41" t="s">
        <v>2371</v>
      </c>
      <c r="G36" s="41" t="s">
        <v>2372</v>
      </c>
      <c r="H36" s="41" t="s">
        <v>2373</v>
      </c>
      <c r="I36" s="1266" t="s">
        <v>2207</v>
      </c>
      <c r="J36" s="1303" t="s">
        <v>2374</v>
      </c>
      <c r="K36" s="1304" t="s">
        <v>2375</v>
      </c>
      <c r="L36" s="1305" t="s">
        <v>1322</v>
      </c>
      <c r="M36" s="1293"/>
      <c r="N36" s="1293"/>
      <c r="O36" s="1287"/>
      <c r="P36" s="1287"/>
      <c r="Q36" s="1287"/>
      <c r="R36" s="155"/>
      <c r="S36" s="155"/>
      <c r="T36" s="155"/>
      <c r="U36" s="155"/>
      <c r="V36" s="155"/>
    </row>
    <row r="37" ht="15.75" customHeight="1">
      <c r="A37" s="1130">
        <v>45716.0</v>
      </c>
      <c r="B37" s="1129" t="s">
        <v>1172</v>
      </c>
      <c r="C37" s="1129">
        <v>5.0</v>
      </c>
      <c r="D37" s="1130">
        <v>45296.0</v>
      </c>
      <c r="E37" s="21" t="s">
        <v>1947</v>
      </c>
      <c r="F37" s="467" t="s">
        <v>1786</v>
      </c>
      <c r="G37" s="668" t="s">
        <v>1787</v>
      </c>
      <c r="H37" s="474" t="s">
        <v>2376</v>
      </c>
      <c r="I37" s="1266" t="s">
        <v>2207</v>
      </c>
      <c r="J37" s="1306" t="s">
        <v>2377</v>
      </c>
      <c r="K37" s="1292"/>
      <c r="L37" s="1293"/>
      <c r="M37" s="1293"/>
      <c r="N37" s="1293"/>
      <c r="O37" s="1293"/>
      <c r="P37" s="1293"/>
      <c r="Q37" s="1293"/>
      <c r="R37" s="1293"/>
      <c r="S37" s="1293"/>
      <c r="T37" s="155"/>
      <c r="U37" s="155"/>
      <c r="V37" s="155"/>
    </row>
    <row r="38" ht="15.75" customHeight="1">
      <c r="A38" s="1130"/>
      <c r="B38" s="1130"/>
      <c r="C38" s="1129"/>
      <c r="D38" s="802"/>
      <c r="E38" s="22"/>
      <c r="F38" s="1307"/>
      <c r="G38" s="22"/>
      <c r="H38" s="1307"/>
      <c r="I38" s="41"/>
      <c r="J38" s="1296"/>
      <c r="K38" s="1292"/>
      <c r="L38" s="1293"/>
      <c r="M38" s="1293"/>
      <c r="N38" s="1293"/>
      <c r="O38" s="1287"/>
      <c r="P38" s="1287"/>
      <c r="Q38" s="1287"/>
      <c r="R38" s="155"/>
      <c r="S38" s="155"/>
      <c r="T38" s="155"/>
      <c r="U38" s="155"/>
      <c r="V38" s="155"/>
    </row>
    <row r="39" ht="15.75" customHeight="1">
      <c r="A39" s="1130"/>
      <c r="B39" s="1130"/>
      <c r="C39" s="1129"/>
      <c r="D39" s="802"/>
      <c r="E39" s="34"/>
      <c r="F39" s="1308"/>
      <c r="G39" s="1309"/>
      <c r="H39" s="1244"/>
      <c r="I39" s="41"/>
      <c r="J39" s="1310"/>
      <c r="K39" s="1292"/>
      <c r="L39" s="1293"/>
      <c r="M39" s="1293"/>
      <c r="N39" s="1293"/>
      <c r="O39" s="1287"/>
      <c r="P39" s="1287"/>
      <c r="Q39" s="1287"/>
      <c r="R39" s="155"/>
      <c r="S39" s="155"/>
      <c r="T39" s="155"/>
      <c r="U39" s="155"/>
      <c r="V39" s="155"/>
    </row>
    <row r="40" ht="15.75" customHeight="1">
      <c r="A40" s="1130"/>
      <c r="B40" s="1130"/>
      <c r="C40" s="767"/>
      <c r="D40" s="802"/>
      <c r="E40" s="30"/>
      <c r="F40" s="119"/>
      <c r="G40" s="109"/>
      <c r="H40" s="41"/>
      <c r="I40" s="109"/>
      <c r="J40" s="1311"/>
      <c r="K40" s="1292"/>
      <c r="L40" s="1293"/>
      <c r="M40" s="1293"/>
      <c r="N40" s="1293"/>
      <c r="O40" s="1287"/>
      <c r="P40" s="1287"/>
      <c r="Q40" s="1287"/>
      <c r="R40" s="155"/>
      <c r="S40" s="155"/>
      <c r="T40" s="155"/>
      <c r="U40" s="155"/>
      <c r="V40" s="155"/>
    </row>
    <row r="41" ht="13.5" customHeight="1">
      <c r="A41" s="1130"/>
      <c r="B41" s="1130"/>
      <c r="C41" s="1129"/>
      <c r="D41" s="1130"/>
      <c r="E41" s="545"/>
      <c r="F41" s="34"/>
      <c r="G41" s="236"/>
      <c r="H41" s="41"/>
      <c r="I41" s="119"/>
      <c r="J41" s="1312"/>
      <c r="K41" s="1313"/>
      <c r="L41" s="1314"/>
      <c r="M41" s="1315"/>
      <c r="N41" s="1316"/>
      <c r="O41" s="1316"/>
      <c r="P41" s="1316"/>
      <c r="Q41" s="1316"/>
      <c r="R41" s="155"/>
      <c r="S41" s="155"/>
      <c r="T41" s="155"/>
      <c r="U41" s="155"/>
      <c r="V41" s="155"/>
    </row>
    <row r="42" ht="13.5" customHeight="1">
      <c r="A42" s="1130"/>
      <c r="B42" s="1130"/>
      <c r="C42" s="767"/>
      <c r="D42" s="802"/>
      <c r="E42" s="233"/>
      <c r="F42" s="34"/>
      <c r="G42" s="236"/>
      <c r="H42" s="41"/>
      <c r="I42" s="119"/>
      <c r="J42" s="1302"/>
      <c r="K42" s="1313"/>
      <c r="L42" s="1314"/>
      <c r="M42" s="1289"/>
      <c r="N42" s="1287"/>
      <c r="O42" s="1287"/>
      <c r="P42" s="1287"/>
      <c r="Q42" s="1287"/>
      <c r="R42" s="155"/>
      <c r="S42" s="155"/>
      <c r="T42" s="155"/>
      <c r="U42" s="155"/>
      <c r="V42" s="155"/>
    </row>
    <row r="43" ht="15.75" customHeight="1">
      <c r="A43" s="1130"/>
      <c r="B43" s="1130"/>
      <c r="C43" s="1129"/>
      <c r="D43" s="802"/>
      <c r="E43" s="18"/>
      <c r="F43" s="415"/>
      <c r="G43" s="689"/>
      <c r="H43" s="247"/>
      <c r="I43" s="119"/>
      <c r="J43" s="1317"/>
      <c r="K43" s="1292"/>
      <c r="L43" s="1293"/>
      <c r="M43" s="1293"/>
      <c r="N43" s="1293"/>
      <c r="O43" s="1293"/>
      <c r="P43" s="1293"/>
      <c r="Q43" s="1293"/>
      <c r="R43" s="1293"/>
      <c r="S43" s="1293"/>
      <c r="T43" s="155"/>
      <c r="U43" s="155"/>
      <c r="V43" s="155"/>
    </row>
    <row r="44" ht="15.75" customHeight="1">
      <c r="A44" s="1130"/>
      <c r="B44" s="1130"/>
      <c r="C44" s="1129"/>
      <c r="D44" s="802"/>
      <c r="E44" s="18"/>
      <c r="F44" s="1240"/>
      <c r="G44" s="509"/>
      <c r="H44" s="1318"/>
      <c r="I44" s="119"/>
      <c r="J44" s="1319"/>
      <c r="K44" s="1313"/>
      <c r="L44" s="1315"/>
      <c r="M44" s="1315"/>
      <c r="N44" s="1287"/>
      <c r="O44" s="1287"/>
      <c r="P44" s="1287"/>
      <c r="Q44" s="1287"/>
      <c r="R44" s="155"/>
      <c r="S44" s="155"/>
      <c r="T44" s="155"/>
      <c r="U44" s="155"/>
      <c r="V44" s="155"/>
    </row>
    <row r="45" ht="15.75" customHeight="1">
      <c r="A45" s="1130"/>
      <c r="B45" s="1130"/>
      <c r="C45" s="1129"/>
      <c r="D45" s="802"/>
      <c r="E45" s="1294"/>
      <c r="F45" s="1320"/>
      <c r="G45" s="1284"/>
      <c r="H45" s="1320"/>
      <c r="I45" s="119"/>
      <c r="J45" s="1291"/>
      <c r="K45" s="1292"/>
      <c r="L45" s="1293"/>
      <c r="M45" s="1293"/>
      <c r="N45" s="1293"/>
      <c r="O45" s="1293"/>
      <c r="P45" s="1293"/>
      <c r="Q45" s="1293"/>
      <c r="R45" s="1293"/>
      <c r="S45" s="1293"/>
      <c r="T45" s="155"/>
      <c r="U45" s="155"/>
      <c r="V45" s="155"/>
    </row>
    <row r="46" ht="15.75" customHeight="1">
      <c r="A46" s="1130"/>
      <c r="B46" s="1130"/>
      <c r="C46" s="767"/>
      <c r="D46" s="802"/>
      <c r="E46" s="1321"/>
      <c r="F46" s="1276"/>
      <c r="G46" s="1276"/>
      <c r="H46" s="767"/>
      <c r="I46" s="119"/>
      <c r="J46" s="1303"/>
      <c r="K46" s="1292"/>
      <c r="L46" s="1293"/>
      <c r="M46" s="1293"/>
      <c r="N46" s="1293"/>
      <c r="O46" s="1293"/>
      <c r="P46" s="1293"/>
      <c r="Q46" s="1293"/>
      <c r="R46" s="1293"/>
      <c r="S46" s="1293"/>
      <c r="T46" s="155"/>
      <c r="U46" s="155"/>
      <c r="V46" s="155"/>
    </row>
    <row r="47" ht="15.75" customHeight="1">
      <c r="A47" s="1130"/>
      <c r="B47" s="1130"/>
      <c r="C47" s="767"/>
      <c r="D47" s="802"/>
      <c r="E47" s="135"/>
      <c r="F47" s="1322"/>
      <c r="G47" s="1323"/>
      <c r="H47" s="1322"/>
      <c r="I47" s="119"/>
      <c r="J47" s="1299"/>
      <c r="K47" s="1292"/>
      <c r="L47" s="1293"/>
      <c r="M47" s="1293"/>
      <c r="N47" s="1293"/>
      <c r="O47" s="1293"/>
      <c r="P47" s="1293"/>
      <c r="Q47" s="1293"/>
      <c r="R47" s="1293"/>
      <c r="S47" s="1293"/>
      <c r="T47" s="155"/>
      <c r="U47" s="155"/>
      <c r="V47" s="155"/>
    </row>
    <row r="48" ht="15.75" customHeight="1">
      <c r="A48" s="1130"/>
      <c r="B48" s="1130"/>
      <c r="C48" s="767"/>
      <c r="D48" s="802"/>
      <c r="E48" s="1324"/>
      <c r="F48" s="1325"/>
      <c r="G48" s="1325"/>
      <c r="H48" s="767"/>
      <c r="I48" s="119"/>
      <c r="J48" s="1299"/>
      <c r="K48" s="1292"/>
      <c r="L48" s="1293"/>
      <c r="M48" s="1293"/>
      <c r="N48" s="1293"/>
      <c r="O48" s="1293"/>
      <c r="P48" s="1293"/>
      <c r="Q48" s="1293"/>
      <c r="R48" s="1293"/>
      <c r="S48" s="1293"/>
      <c r="T48" s="155"/>
      <c r="U48" s="155"/>
      <c r="V48" s="155"/>
    </row>
    <row r="49" ht="15.75" customHeight="1">
      <c r="A49" s="1130"/>
      <c r="B49" s="1130"/>
      <c r="C49" s="767"/>
      <c r="D49" s="802"/>
      <c r="E49" s="767"/>
      <c r="F49" s="41"/>
      <c r="G49" s="1326"/>
      <c r="H49" s="41"/>
      <c r="I49" s="119"/>
      <c r="J49" s="1299"/>
      <c r="K49" s="1292"/>
      <c r="L49" s="1293"/>
      <c r="M49" s="1293"/>
      <c r="N49" s="1293"/>
      <c r="O49" s="1293"/>
      <c r="P49" s="1293"/>
      <c r="Q49" s="1293"/>
      <c r="R49" s="1293"/>
      <c r="S49" s="1293"/>
      <c r="T49" s="155"/>
      <c r="U49" s="155"/>
      <c r="V49" s="155"/>
    </row>
    <row r="50" ht="15.75" customHeight="1">
      <c r="A50" s="1130"/>
      <c r="B50" s="1327"/>
      <c r="C50" s="1320"/>
      <c r="D50" s="802"/>
      <c r="E50" s="34"/>
      <c r="F50" s="1328"/>
      <c r="G50" s="1329"/>
      <c r="H50" s="1330"/>
      <c r="I50" s="119"/>
      <c r="J50" s="1299"/>
      <c r="K50" s="1292"/>
      <c r="L50" s="1293"/>
      <c r="M50" s="1293"/>
      <c r="N50" s="1293"/>
      <c r="O50" s="1293"/>
      <c r="P50" s="1293"/>
      <c r="Q50" s="1293"/>
      <c r="R50" s="1293"/>
      <c r="S50" s="1293"/>
      <c r="T50" s="155"/>
      <c r="U50" s="155"/>
      <c r="V50" s="155"/>
    </row>
    <row r="51" ht="15.75" customHeight="1">
      <c r="A51" s="1130"/>
      <c r="B51" s="1327"/>
      <c r="C51" s="254"/>
      <c r="D51" s="1331"/>
      <c r="E51" s="166"/>
      <c r="F51" s="1332"/>
      <c r="G51" s="1332"/>
      <c r="H51" s="1333"/>
      <c r="I51" s="119"/>
      <c r="J51" s="1319"/>
      <c r="K51" s="1292"/>
      <c r="L51" s="1293"/>
      <c r="M51" s="1293"/>
      <c r="N51" s="1293"/>
      <c r="O51" s="1287"/>
      <c r="P51" s="1287"/>
      <c r="Q51" s="1287"/>
      <c r="R51" s="155"/>
      <c r="S51" s="155"/>
      <c r="T51" s="155"/>
      <c r="U51" s="155"/>
      <c r="V51" s="155"/>
    </row>
    <row r="52" ht="13.5" customHeight="1">
      <c r="A52" s="1130"/>
      <c r="B52" s="1327"/>
      <c r="C52" s="254"/>
      <c r="D52" s="802"/>
      <c r="E52" s="208"/>
      <c r="F52" s="667"/>
      <c r="G52" s="236"/>
      <c r="H52" s="529"/>
      <c r="I52" s="119"/>
      <c r="J52" s="1334"/>
      <c r="K52" s="1292"/>
      <c r="L52" s="1293"/>
      <c r="M52" s="1293"/>
      <c r="N52" s="1293"/>
      <c r="O52" s="1287"/>
      <c r="P52" s="1287"/>
      <c r="Q52" s="1287"/>
      <c r="R52" s="155"/>
      <c r="S52" s="155"/>
      <c r="T52" s="155"/>
      <c r="U52" s="155"/>
      <c r="V52" s="155"/>
    </row>
    <row r="53" ht="15.75" customHeight="1">
      <c r="A53" s="1130"/>
      <c r="B53" s="1327"/>
      <c r="C53" s="1320"/>
      <c r="D53" s="802"/>
      <c r="E53" s="890"/>
      <c r="F53" s="244"/>
      <c r="G53" s="244"/>
      <c r="H53" s="119"/>
      <c r="I53" s="119"/>
      <c r="J53" s="1299"/>
      <c r="K53" s="1292"/>
      <c r="L53" s="1293"/>
      <c r="M53" s="1293"/>
      <c r="N53" s="1293"/>
      <c r="O53" s="1287"/>
      <c r="P53" s="1287"/>
      <c r="Q53" s="1287"/>
      <c r="R53" s="155"/>
      <c r="S53" s="155"/>
      <c r="T53" s="155"/>
      <c r="U53" s="155"/>
      <c r="V53" s="155"/>
    </row>
    <row r="54" ht="15.75" customHeight="1">
      <c r="A54" s="1130"/>
      <c r="B54" s="1327"/>
      <c r="C54" s="1320"/>
      <c r="D54" s="802"/>
      <c r="E54" s="1335"/>
      <c r="F54" s="540"/>
      <c r="G54" s="1336"/>
      <c r="H54" s="119"/>
      <c r="I54" s="119"/>
      <c r="J54" s="1337"/>
      <c r="K54" s="1292"/>
      <c r="L54" s="1293"/>
      <c r="M54" s="1293"/>
      <c r="N54" s="1293"/>
      <c r="O54" s="1293"/>
      <c r="P54" s="1293"/>
      <c r="Q54" s="1293"/>
      <c r="R54" s="1293"/>
      <c r="S54" s="1293"/>
      <c r="T54" s="155"/>
      <c r="U54" s="155"/>
      <c r="V54" s="155"/>
    </row>
    <row r="55" ht="15.75" customHeight="1">
      <c r="A55" s="1130"/>
      <c r="B55" s="1327"/>
      <c r="C55" s="1320"/>
      <c r="D55" s="1338"/>
      <c r="E55" s="244"/>
      <c r="F55" s="244"/>
      <c r="G55" s="244"/>
      <c r="H55" s="119"/>
      <c r="I55" s="119"/>
      <c r="J55" s="1339"/>
      <c r="K55" s="1292"/>
      <c r="L55" s="1293"/>
      <c r="M55" s="1293"/>
      <c r="N55" s="1293"/>
      <c r="O55" s="1287"/>
      <c r="P55" s="1287"/>
      <c r="Q55" s="1287"/>
      <c r="R55" s="155"/>
      <c r="S55" s="155"/>
      <c r="T55" s="155"/>
      <c r="U55" s="155"/>
      <c r="V55" s="155"/>
    </row>
    <row r="56" ht="15.75" customHeight="1">
      <c r="A56" s="1130"/>
      <c r="B56" s="1130"/>
      <c r="C56" s="1330"/>
      <c r="D56" s="1340"/>
      <c r="E56" s="369"/>
      <c r="F56" s="369"/>
      <c r="G56" s="507"/>
      <c r="H56" s="369"/>
      <c r="I56" s="119"/>
      <c r="J56" s="1341"/>
      <c r="K56" s="1292"/>
      <c r="L56" s="1293"/>
      <c r="M56" s="1293"/>
      <c r="N56" s="1293"/>
      <c r="O56" s="1287"/>
      <c r="P56" s="1287"/>
      <c r="Q56" s="1287"/>
      <c r="R56" s="155"/>
      <c r="S56" s="155"/>
      <c r="T56" s="155"/>
      <c r="U56" s="155"/>
      <c r="V56" s="155"/>
    </row>
    <row r="57" ht="15.75" customHeight="1">
      <c r="A57" s="1130"/>
      <c r="B57" s="1130"/>
      <c r="C57" s="767"/>
      <c r="D57" s="1340"/>
      <c r="E57" s="23"/>
      <c r="F57" s="439"/>
      <c r="G57" s="498"/>
      <c r="H57" s="474"/>
      <c r="I57" s="119"/>
      <c r="J57" s="1342"/>
      <c r="K57" s="1292"/>
      <c r="L57" s="1293"/>
      <c r="M57" s="1293"/>
      <c r="N57" s="1293"/>
      <c r="O57" s="1287"/>
      <c r="P57" s="1287"/>
      <c r="Q57" s="1287"/>
      <c r="R57" s="155"/>
      <c r="S57" s="155"/>
      <c r="T57" s="155"/>
      <c r="U57" s="155"/>
      <c r="V57" s="155"/>
    </row>
    <row r="58" ht="15.75" customHeight="1">
      <c r="A58" s="1130"/>
      <c r="B58" s="1130"/>
      <c r="C58" s="767"/>
      <c r="D58" s="1331"/>
      <c r="E58" s="608"/>
      <c r="F58" s="534"/>
      <c r="G58" s="1343"/>
      <c r="H58" s="474"/>
      <c r="I58" s="119"/>
      <c r="J58" s="1311"/>
      <c r="K58" s="1292"/>
      <c r="L58" s="1293"/>
      <c r="M58" s="1293"/>
      <c r="N58" s="1293"/>
      <c r="O58" s="1287"/>
      <c r="P58" s="1287"/>
      <c r="Q58" s="1287"/>
      <c r="R58" s="155"/>
      <c r="S58" s="155"/>
      <c r="T58" s="155"/>
      <c r="U58" s="155"/>
      <c r="V58" s="155"/>
    </row>
    <row r="59" ht="15.75" customHeight="1">
      <c r="A59" s="1130"/>
      <c r="B59" s="1130"/>
      <c r="C59" s="767"/>
      <c r="D59" s="1340"/>
      <c r="E59" s="1215"/>
      <c r="F59" s="1344"/>
      <c r="G59" s="1345"/>
      <c r="H59" s="1346"/>
      <c r="I59" s="119"/>
      <c r="J59" s="1319"/>
      <c r="K59" s="1313"/>
      <c r="L59" s="1314"/>
      <c r="M59" s="1289"/>
      <c r="N59" s="1287"/>
      <c r="O59" s="1287"/>
      <c r="P59" s="1287"/>
      <c r="Q59" s="1287"/>
      <c r="R59" s="155"/>
      <c r="S59" s="155"/>
      <c r="T59" s="155"/>
      <c r="U59" s="155"/>
      <c r="V59" s="155"/>
    </row>
    <row r="60" ht="15.75" customHeight="1">
      <c r="A60" s="1130"/>
      <c r="B60" s="1130"/>
      <c r="C60" s="767"/>
      <c r="D60" s="1338"/>
      <c r="E60" s="105"/>
      <c r="F60" s="1232"/>
      <c r="G60" s="1347"/>
      <c r="H60" s="1348"/>
      <c r="I60" s="119"/>
      <c r="J60" s="1349"/>
      <c r="K60" s="1292"/>
      <c r="L60" s="1293"/>
      <c r="M60" s="1293"/>
      <c r="N60" s="1293"/>
      <c r="O60" s="1293"/>
      <c r="P60" s="1293"/>
      <c r="Q60" s="1293"/>
      <c r="R60" s="1293"/>
      <c r="S60" s="1293"/>
      <c r="T60" s="1350"/>
      <c r="U60" s="155"/>
      <c r="V60" s="155"/>
    </row>
    <row r="61" ht="15.75" customHeight="1">
      <c r="A61" s="1130"/>
      <c r="B61" s="1130"/>
      <c r="C61" s="767"/>
      <c r="D61" s="1338"/>
      <c r="E61" s="23"/>
      <c r="F61" s="34"/>
      <c r="G61" s="34"/>
      <c r="H61" s="41"/>
      <c r="I61" s="119"/>
      <c r="J61" s="1302"/>
      <c r="K61" s="1313"/>
      <c r="L61" s="1315"/>
      <c r="M61" s="1315"/>
      <c r="N61" s="1287"/>
      <c r="O61" s="1287"/>
      <c r="P61" s="1287"/>
      <c r="Q61" s="1287"/>
      <c r="R61" s="155"/>
      <c r="S61" s="155"/>
      <c r="T61" s="155"/>
      <c r="U61" s="155"/>
      <c r="V61" s="155"/>
    </row>
    <row r="62" ht="15.75" customHeight="1">
      <c r="A62" s="1130"/>
      <c r="B62" s="1130"/>
      <c r="C62" s="767"/>
      <c r="D62" s="1331"/>
      <c r="E62" s="18"/>
      <c r="F62" s="1318"/>
      <c r="G62" s="495"/>
      <c r="H62" s="1318"/>
      <c r="I62" s="119"/>
      <c r="J62" s="1351"/>
      <c r="K62" s="1292"/>
      <c r="L62" s="1293"/>
      <c r="M62" s="1293"/>
      <c r="N62" s="1293"/>
      <c r="O62" s="1293"/>
      <c r="P62" s="1293"/>
      <c r="Q62" s="1293"/>
      <c r="R62" s="1293"/>
      <c r="S62" s="1293"/>
      <c r="T62" s="155"/>
      <c r="U62" s="155"/>
      <c r="V62" s="155"/>
    </row>
    <row r="63" ht="15.75" customHeight="1">
      <c r="A63" s="1130"/>
      <c r="B63" s="1130"/>
      <c r="C63" s="767"/>
      <c r="D63" s="1331"/>
      <c r="E63" s="18"/>
      <c r="F63" s="1240"/>
      <c r="G63" s="509"/>
      <c r="H63" s="1318"/>
      <c r="I63" s="119"/>
      <c r="J63" s="1341"/>
      <c r="K63" s="1292"/>
      <c r="L63" s="1293"/>
      <c r="M63" s="1293"/>
      <c r="N63" s="1293"/>
      <c r="O63" s="1293"/>
      <c r="P63" s="1293"/>
      <c r="Q63" s="1293"/>
      <c r="R63" s="1293"/>
      <c r="S63" s="1293"/>
      <c r="T63" s="155"/>
      <c r="U63" s="155"/>
      <c r="V63" s="155"/>
    </row>
    <row r="64" ht="15.75" customHeight="1">
      <c r="A64" s="1130"/>
      <c r="B64" s="1130"/>
      <c r="C64" s="767"/>
      <c r="D64" s="1340"/>
      <c r="E64" s="18"/>
      <c r="F64" s="534"/>
      <c r="G64" s="630"/>
      <c r="H64" s="530"/>
      <c r="I64" s="119"/>
      <c r="J64" s="1352"/>
      <c r="K64" s="1292"/>
      <c r="L64" s="1293"/>
      <c r="M64" s="1293"/>
      <c r="N64" s="1293"/>
      <c r="O64" s="1293"/>
      <c r="P64" s="1293"/>
      <c r="Q64" s="1293"/>
      <c r="R64" s="1293"/>
      <c r="S64" s="1293"/>
      <c r="T64" s="155"/>
      <c r="U64" s="155"/>
      <c r="V64" s="155"/>
    </row>
    <row r="65" ht="15.75" customHeight="1">
      <c r="A65" s="1130"/>
      <c r="B65" s="1130"/>
      <c r="C65" s="1330"/>
      <c r="D65" s="1338"/>
      <c r="E65" s="1353"/>
      <c r="F65" s="1308"/>
      <c r="G65" s="1208"/>
      <c r="H65" s="1244"/>
      <c r="I65" s="119"/>
      <c r="J65" s="1299"/>
      <c r="K65" s="1292"/>
      <c r="L65" s="1293"/>
      <c r="M65" s="1293"/>
      <c r="N65" s="1293"/>
      <c r="O65" s="1293"/>
      <c r="P65" s="1293"/>
      <c r="Q65" s="1293"/>
      <c r="R65" s="1293"/>
      <c r="S65" s="1293"/>
      <c r="T65" s="155"/>
      <c r="U65" s="155"/>
      <c r="V65" s="155"/>
    </row>
    <row r="66" ht="15.75" customHeight="1">
      <c r="A66" s="1130"/>
      <c r="B66" s="1130"/>
      <c r="C66" s="767"/>
      <c r="D66" s="1340"/>
      <c r="E66" s="18"/>
      <c r="F66" s="632"/>
      <c r="G66" s="636"/>
      <c r="H66" s="552"/>
      <c r="I66" s="119"/>
      <c r="J66" s="1354"/>
      <c r="K66" s="1292"/>
      <c r="L66" s="1293"/>
      <c r="M66" s="1293"/>
      <c r="N66" s="1293"/>
      <c r="O66" s="1293"/>
      <c r="P66" s="1293"/>
      <c r="Q66" s="1293"/>
      <c r="R66" s="1293"/>
      <c r="S66" s="1293"/>
      <c r="T66" s="155"/>
      <c r="U66" s="155"/>
      <c r="V66" s="155"/>
    </row>
    <row r="67" ht="15.75" customHeight="1">
      <c r="A67" s="1130"/>
      <c r="B67" s="1130"/>
      <c r="C67" s="767"/>
      <c r="D67" s="1340"/>
      <c r="E67" s="545"/>
      <c r="F67" s="1355"/>
      <c r="G67" s="749"/>
      <c r="H67" s="1356"/>
      <c r="I67" s="119"/>
      <c r="J67" s="1299"/>
      <c r="K67" s="1292"/>
      <c r="L67" s="1293"/>
      <c r="M67" s="1293"/>
      <c r="N67" s="1293"/>
      <c r="O67" s="1293"/>
      <c r="P67" s="1293"/>
      <c r="Q67" s="1293"/>
      <c r="R67" s="1293"/>
      <c r="S67" s="1293"/>
      <c r="T67" s="155"/>
      <c r="U67" s="155"/>
      <c r="V67" s="155"/>
    </row>
    <row r="68" ht="15.75" customHeight="1">
      <c r="A68" s="1130"/>
      <c r="B68" s="1130"/>
      <c r="C68" s="767"/>
      <c r="D68" s="802"/>
      <c r="E68" s="624"/>
      <c r="F68" s="833"/>
      <c r="G68" s="833"/>
      <c r="H68" s="717"/>
      <c r="I68" s="119"/>
      <c r="J68" s="1357"/>
      <c r="K68" s="1292"/>
      <c r="L68" s="1293"/>
      <c r="M68" s="1293"/>
      <c r="N68" s="1293"/>
      <c r="O68" s="1287"/>
      <c r="P68" s="1287"/>
      <c r="Q68" s="1287"/>
      <c r="R68" s="155"/>
      <c r="S68" s="155"/>
      <c r="T68" s="155"/>
      <c r="U68" s="155"/>
      <c r="V68" s="155"/>
    </row>
    <row r="69" ht="15.75" customHeight="1">
      <c r="A69" s="1130"/>
      <c r="B69" s="1130"/>
      <c r="C69" s="767"/>
      <c r="D69" s="1340"/>
      <c r="E69" s="41"/>
      <c r="F69" s="1358"/>
      <c r="G69" s="1359"/>
      <c r="H69" s="1360"/>
      <c r="I69" s="119"/>
      <c r="J69" s="1357"/>
      <c r="K69" s="1292"/>
      <c r="L69" s="1293"/>
      <c r="M69" s="1293"/>
      <c r="N69" s="1293"/>
      <c r="O69" s="1287"/>
      <c r="P69" s="1287"/>
      <c r="Q69" s="1287"/>
      <c r="R69" s="155"/>
      <c r="S69" s="155"/>
      <c r="T69" s="155"/>
      <c r="U69" s="155"/>
      <c r="V69" s="155"/>
    </row>
    <row r="70" ht="15.75" customHeight="1">
      <c r="A70" s="1130"/>
      <c r="B70" s="1130"/>
      <c r="C70" s="767"/>
      <c r="D70" s="802"/>
      <c r="E70" s="41"/>
      <c r="F70" s="41"/>
      <c r="G70" s="22"/>
      <c r="H70" s="41"/>
      <c r="I70" s="119"/>
      <c r="J70" s="1296"/>
      <c r="K70" s="1292"/>
      <c r="L70" s="1293"/>
      <c r="M70" s="1293"/>
      <c r="N70" s="1293"/>
      <c r="O70" s="1287"/>
      <c r="P70" s="1287"/>
      <c r="Q70" s="1287"/>
      <c r="R70" s="155"/>
      <c r="S70" s="155"/>
      <c r="T70" s="155"/>
      <c r="U70" s="155"/>
      <c r="V70" s="155"/>
    </row>
    <row r="71" ht="15.75" customHeight="1">
      <c r="A71" s="1130"/>
      <c r="B71" s="1130"/>
      <c r="C71" s="767"/>
      <c r="D71" s="1340"/>
      <c r="E71" s="18"/>
      <c r="F71" s="534"/>
      <c r="G71" s="630"/>
      <c r="H71" s="530"/>
      <c r="I71" s="119"/>
      <c r="J71" s="1357"/>
      <c r="K71" s="1292"/>
      <c r="L71" s="1293"/>
      <c r="M71" s="1293"/>
      <c r="N71" s="1293"/>
      <c r="O71" s="1293"/>
      <c r="P71" s="1293"/>
      <c r="Q71" s="1293"/>
      <c r="R71" s="1293"/>
      <c r="S71" s="1293"/>
      <c r="T71" s="155"/>
      <c r="U71" s="155"/>
      <c r="V71" s="155"/>
    </row>
    <row r="72" ht="18.0" customHeight="1">
      <c r="A72" s="1130"/>
      <c r="B72" s="1130"/>
      <c r="C72" s="767"/>
      <c r="D72" s="802"/>
      <c r="E72" s="233"/>
      <c r="F72" s="34"/>
      <c r="G72" s="34"/>
      <c r="H72" s="41"/>
      <c r="I72" s="119"/>
      <c r="J72" s="1319"/>
      <c r="K72" s="1292"/>
      <c r="L72" s="1293"/>
      <c r="M72" s="1293"/>
      <c r="N72" s="1293"/>
      <c r="O72" s="1287"/>
      <c r="P72" s="1287"/>
      <c r="Q72" s="1287"/>
      <c r="R72" s="155"/>
      <c r="S72" s="155"/>
      <c r="T72" s="155"/>
      <c r="U72" s="155"/>
      <c r="V72" s="155"/>
    </row>
    <row r="73" ht="15.75" customHeight="1">
      <c r="A73" s="1130"/>
      <c r="B73" s="1130"/>
      <c r="C73" s="767"/>
      <c r="D73" s="1340"/>
      <c r="E73" s="21"/>
      <c r="F73" s="632"/>
      <c r="G73" s="636"/>
      <c r="H73" s="552"/>
      <c r="I73" s="119"/>
      <c r="J73" s="916"/>
      <c r="K73" s="1292"/>
      <c r="L73" s="1293"/>
      <c r="M73" s="1293"/>
      <c r="N73" s="1293"/>
      <c r="O73" s="1287"/>
      <c r="P73" s="1287"/>
      <c r="Q73" s="1287"/>
      <c r="R73" s="155"/>
      <c r="S73" s="155"/>
      <c r="T73" s="155"/>
      <c r="U73" s="155"/>
      <c r="V73" s="155"/>
    </row>
    <row r="74" ht="15.75" customHeight="1">
      <c r="A74" s="1130"/>
      <c r="B74" s="1130"/>
      <c r="C74" s="767"/>
      <c r="D74" s="802"/>
      <c r="E74" s="23"/>
      <c r="F74" s="312"/>
      <c r="G74" s="628"/>
      <c r="H74" s="312"/>
      <c r="I74" s="119"/>
      <c r="J74" s="1361"/>
      <c r="K74" s="1292"/>
      <c r="L74" s="1293"/>
      <c r="M74" s="1293"/>
      <c r="N74" s="1293"/>
      <c r="O74" s="1287"/>
      <c r="P74" s="1287"/>
      <c r="Q74" s="1287"/>
      <c r="R74" s="155"/>
      <c r="S74" s="155"/>
      <c r="T74" s="155"/>
      <c r="U74" s="155"/>
      <c r="V74" s="155"/>
    </row>
    <row r="75" ht="15.75" customHeight="1">
      <c r="A75" s="1130"/>
      <c r="B75" s="1130"/>
      <c r="C75" s="767"/>
      <c r="D75" s="802"/>
      <c r="E75" s="985"/>
      <c r="F75" s="369"/>
      <c r="G75" s="741"/>
      <c r="H75" s="41"/>
      <c r="I75" s="119"/>
      <c r="J75" s="1357"/>
      <c r="K75" s="1292"/>
      <c r="L75" s="1293"/>
      <c r="M75" s="1293"/>
      <c r="N75" s="1287"/>
      <c r="O75" s="1287"/>
      <c r="P75" s="1287"/>
      <c r="Q75" s="1287"/>
      <c r="R75" s="155"/>
      <c r="S75" s="155"/>
      <c r="T75" s="155"/>
      <c r="U75" s="155"/>
      <c r="V75" s="155"/>
    </row>
    <row r="76" ht="15.75" customHeight="1">
      <c r="A76" s="1130"/>
      <c r="B76" s="1130"/>
      <c r="C76" s="767"/>
      <c r="D76" s="802"/>
      <c r="E76" s="41"/>
      <c r="F76" s="696"/>
      <c r="G76" s="668"/>
      <c r="H76" s="696"/>
      <c r="I76" s="119"/>
      <c r="J76" s="1319"/>
      <c r="K76" s="1362"/>
      <c r="L76" s="1363"/>
      <c r="M76" s="1363"/>
      <c r="N76" s="1363"/>
      <c r="O76" s="1363"/>
      <c r="P76" s="1287"/>
      <c r="Q76" s="1287"/>
      <c r="R76" s="155"/>
      <c r="S76" s="155"/>
      <c r="T76" s="155"/>
      <c r="U76" s="155"/>
      <c r="V76" s="155"/>
    </row>
    <row r="77" ht="15.75" customHeight="1">
      <c r="A77" s="1130"/>
      <c r="B77" s="1130"/>
      <c r="C77" s="767"/>
      <c r="D77" s="802"/>
      <c r="E77" s="1250"/>
      <c r="F77" s="1212"/>
      <c r="G77" s="1213"/>
      <c r="H77" s="1301"/>
      <c r="I77" s="119"/>
      <c r="J77" s="1364"/>
      <c r="K77" s="781"/>
      <c r="L77" s="781"/>
      <c r="M77" s="781"/>
      <c r="N77" s="781"/>
      <c r="O77" s="781"/>
      <c r="P77" s="137"/>
      <c r="Q77" s="137"/>
    </row>
    <row r="78" ht="15.75" customHeight="1">
      <c r="A78" s="1130"/>
      <c r="B78" s="1130"/>
      <c r="C78" s="767"/>
      <c r="D78" s="802"/>
      <c r="E78" s="135"/>
      <c r="F78" s="767"/>
      <c r="G78" s="767"/>
      <c r="H78" s="767"/>
      <c r="I78" s="119"/>
      <c r="J78" s="767"/>
      <c r="K78" s="781"/>
      <c r="L78" s="781"/>
      <c r="M78" s="781"/>
      <c r="N78" s="781"/>
      <c r="O78" s="781"/>
      <c r="P78" s="137"/>
      <c r="Q78" s="137"/>
    </row>
    <row r="79" ht="15.75" customHeight="1">
      <c r="A79" s="1130"/>
      <c r="B79" s="1130"/>
      <c r="C79" s="767"/>
      <c r="D79" s="803"/>
      <c r="E79" s="41"/>
      <c r="F79" s="439"/>
      <c r="G79" s="498"/>
      <c r="H79" s="474"/>
      <c r="I79" s="119"/>
      <c r="J79" s="495"/>
      <c r="K79" s="781"/>
      <c r="L79" s="781"/>
      <c r="M79" s="781"/>
      <c r="N79" s="781"/>
      <c r="O79" s="781"/>
      <c r="P79" s="137"/>
      <c r="Q79" s="137"/>
    </row>
    <row r="80" ht="15.75" customHeight="1">
      <c r="A80" s="1130"/>
      <c r="B80" s="1130"/>
      <c r="C80" s="767"/>
      <c r="D80" s="803"/>
      <c r="E80" s="41"/>
      <c r="F80" s="557"/>
      <c r="G80" s="156"/>
      <c r="H80" s="1307"/>
      <c r="I80" s="41"/>
      <c r="J80" s="1365"/>
      <c r="K80" s="781"/>
      <c r="L80" s="781"/>
      <c r="M80" s="781"/>
      <c r="N80" s="781"/>
      <c r="O80" s="781"/>
      <c r="P80" s="137"/>
      <c r="Q80" s="137"/>
    </row>
    <row r="81" ht="15.75" customHeight="1">
      <c r="A81" s="1130"/>
      <c r="B81" s="1130"/>
      <c r="C81" s="767"/>
      <c r="D81" s="803"/>
      <c r="E81" s="249"/>
      <c r="F81" s="119"/>
      <c r="G81" s="119"/>
      <c r="H81" s="119"/>
      <c r="I81" s="41"/>
      <c r="J81" s="767"/>
      <c r="K81" s="781"/>
      <c r="L81" s="781"/>
      <c r="M81" s="781"/>
      <c r="N81" s="781"/>
      <c r="O81" s="781"/>
      <c r="P81" s="1287"/>
      <c r="Q81" s="1287"/>
    </row>
    <row r="82" ht="15.75" customHeight="1">
      <c r="A82" s="1130"/>
      <c r="B82" s="1130"/>
      <c r="C82" s="767"/>
      <c r="D82" s="803"/>
      <c r="E82" s="18"/>
      <c r="F82" s="27"/>
      <c r="G82" s="687"/>
      <c r="H82" s="27"/>
      <c r="I82" s="41"/>
      <c r="J82" s="1366"/>
      <c r="K82" s="781"/>
      <c r="L82" s="781"/>
      <c r="M82" s="781"/>
      <c r="N82" s="781"/>
      <c r="O82" s="781"/>
      <c r="P82" s="137"/>
      <c r="Q82" s="137"/>
    </row>
    <row r="83" ht="15.75" customHeight="1">
      <c r="A83" s="1130"/>
      <c r="B83" s="1130"/>
      <c r="C83" s="767"/>
      <c r="D83" s="803"/>
      <c r="E83" s="109"/>
      <c r="F83" s="119"/>
      <c r="G83" s="109"/>
      <c r="H83" s="119"/>
      <c r="I83" s="109"/>
      <c r="J83" s="767"/>
      <c r="K83" s="781"/>
      <c r="L83" s="781"/>
      <c r="M83" s="781"/>
      <c r="N83" s="781"/>
      <c r="O83" s="781"/>
      <c r="P83" s="137"/>
      <c r="Q83" s="137"/>
    </row>
    <row r="84" ht="15.75" customHeight="1">
      <c r="A84" s="1130"/>
      <c r="B84" s="1130"/>
      <c r="C84" s="767"/>
      <c r="D84" s="1340"/>
      <c r="E84" s="21"/>
      <c r="F84" s="632"/>
      <c r="G84" s="636"/>
      <c r="H84" s="552"/>
      <c r="I84" s="109"/>
      <c r="J84" s="793"/>
      <c r="K84" s="781"/>
      <c r="L84" s="781"/>
      <c r="M84" s="781"/>
      <c r="N84" s="781"/>
      <c r="O84" s="781"/>
      <c r="P84" s="137"/>
      <c r="Q84" s="137"/>
    </row>
    <row r="85" ht="15.75" customHeight="1">
      <c r="A85" s="1130"/>
      <c r="B85" s="1130"/>
      <c r="C85" s="767"/>
      <c r="D85" s="803"/>
      <c r="E85" s="21"/>
      <c r="F85" s="1367"/>
      <c r="G85" s="1368"/>
      <c r="H85" s="119"/>
      <c r="I85" s="109"/>
      <c r="J85" s="109"/>
      <c r="K85" s="781"/>
      <c r="L85" s="781"/>
      <c r="M85" s="781"/>
      <c r="N85" s="781"/>
      <c r="O85" s="781"/>
      <c r="P85" s="137"/>
      <c r="Q85" s="137"/>
    </row>
    <row r="86" ht="15.75" customHeight="1">
      <c r="A86" s="1130"/>
      <c r="B86" s="1130"/>
      <c r="C86" s="767"/>
      <c r="D86" s="1331"/>
      <c r="E86" s="208"/>
      <c r="F86" s="34"/>
      <c r="G86" s="34"/>
      <c r="H86" s="41"/>
      <c r="I86" s="109"/>
      <c r="J86" s="1364"/>
      <c r="K86" s="781"/>
      <c r="L86" s="781"/>
      <c r="M86" s="781"/>
      <c r="N86" s="781"/>
      <c r="O86" s="781"/>
      <c r="P86" s="137"/>
      <c r="Q86" s="137"/>
    </row>
    <row r="87" ht="15.75" customHeight="1">
      <c r="A87" s="1130"/>
      <c r="B87" s="1130"/>
      <c r="C87" s="767"/>
      <c r="D87" s="1338"/>
      <c r="E87" s="1369"/>
      <c r="F87" s="1308"/>
      <c r="G87" s="1370"/>
      <c r="H87" s="1244"/>
      <c r="I87" s="109"/>
      <c r="J87" s="1320"/>
      <c r="K87" s="781"/>
      <c r="L87" s="781"/>
      <c r="M87" s="781"/>
      <c r="N87" s="137"/>
      <c r="O87" s="137"/>
      <c r="P87" s="137"/>
      <c r="Q87" s="137"/>
    </row>
    <row r="88" ht="15.75" customHeight="1">
      <c r="A88" s="1130"/>
      <c r="B88" s="1130"/>
      <c r="C88" s="767"/>
      <c r="D88" s="1371"/>
      <c r="E88" s="247"/>
      <c r="F88" s="369"/>
      <c r="G88" s="1372"/>
      <c r="H88" s="369"/>
      <c r="I88" s="109"/>
      <c r="J88" s="1373"/>
      <c r="K88" s="781"/>
      <c r="L88" s="781"/>
      <c r="M88" s="781"/>
      <c r="N88" s="781"/>
      <c r="O88" s="781"/>
      <c r="P88" s="137"/>
      <c r="Q88" s="137"/>
    </row>
    <row r="89" ht="15.75" customHeight="1">
      <c r="A89" s="1130"/>
      <c r="B89" s="1130"/>
      <c r="C89" s="767"/>
      <c r="D89" s="1340"/>
      <c r="E89" s="18"/>
      <c r="F89" s="534"/>
      <c r="G89" s="630"/>
      <c r="H89" s="530"/>
      <c r="I89" s="109"/>
      <c r="J89" s="1364"/>
      <c r="K89" s="781"/>
      <c r="L89" s="781"/>
      <c r="M89" s="781"/>
      <c r="N89" s="781"/>
      <c r="O89" s="781"/>
      <c r="P89" s="137"/>
      <c r="Q89" s="137"/>
    </row>
    <row r="90" ht="15.75" customHeight="1">
      <c r="A90" s="1130"/>
      <c r="B90" s="1130"/>
      <c r="C90" s="767"/>
      <c r="D90" s="1331"/>
      <c r="E90" s="52"/>
      <c r="F90" s="611"/>
      <c r="G90" s="531"/>
      <c r="H90" s="611"/>
      <c r="I90" s="109"/>
      <c r="J90" s="617"/>
      <c r="K90" s="781"/>
      <c r="L90" s="781"/>
      <c r="M90" s="781"/>
      <c r="N90" s="781"/>
      <c r="O90" s="781"/>
      <c r="P90" s="137"/>
      <c r="Q90" s="137"/>
    </row>
    <row r="91" ht="15.75" customHeight="1">
      <c r="A91" s="1130"/>
      <c r="B91" s="1130"/>
      <c r="C91" s="767"/>
      <c r="D91" s="803"/>
      <c r="E91" s="247"/>
      <c r="F91" s="251"/>
      <c r="G91" s="251"/>
      <c r="H91" s="251"/>
      <c r="I91" s="109"/>
      <c r="J91" s="1374"/>
      <c r="K91" s="781"/>
      <c r="L91" s="781"/>
      <c r="M91" s="781"/>
      <c r="N91" s="137"/>
      <c r="O91" s="137"/>
      <c r="P91" s="137"/>
      <c r="Q91" s="137"/>
    </row>
    <row r="92" ht="15.75" customHeight="1">
      <c r="A92" s="1130"/>
      <c r="B92" s="1130"/>
      <c r="C92" s="767"/>
      <c r="D92" s="803"/>
      <c r="E92" s="589"/>
      <c r="F92" s="1102"/>
      <c r="G92" s="630"/>
      <c r="H92" s="617"/>
      <c r="I92" s="109"/>
      <c r="J92" s="1375"/>
      <c r="K92" s="781"/>
      <c r="L92" s="781"/>
      <c r="M92" s="781"/>
      <c r="N92" s="137"/>
      <c r="O92" s="137"/>
      <c r="P92" s="137"/>
      <c r="Q92" s="137"/>
    </row>
    <row r="93" ht="15.75" customHeight="1">
      <c r="A93" s="1130"/>
      <c r="B93" s="1130"/>
      <c r="C93" s="767"/>
      <c r="D93" s="802"/>
      <c r="E93" s="1321"/>
      <c r="F93" s="1276"/>
      <c r="G93" s="1276"/>
      <c r="H93" s="767"/>
      <c r="I93" s="109"/>
      <c r="J93" s="25"/>
      <c r="K93" s="815"/>
      <c r="L93" s="781"/>
      <c r="M93" s="781"/>
      <c r="N93" s="137"/>
      <c r="O93" s="137"/>
      <c r="P93" s="137"/>
      <c r="Q93" s="137"/>
    </row>
    <row r="94" ht="15.75" customHeight="1">
      <c r="A94" s="1130"/>
      <c r="B94" s="1130"/>
      <c r="C94" s="767"/>
      <c r="D94" s="803"/>
      <c r="E94" s="589"/>
      <c r="F94" s="1376"/>
      <c r="G94" s="1115"/>
      <c r="H94" s="1377"/>
      <c r="I94" s="1173"/>
      <c r="J94" s="1320"/>
      <c r="K94" s="781"/>
      <c r="L94" s="781"/>
      <c r="M94" s="781"/>
      <c r="N94" s="137"/>
      <c r="O94" s="137"/>
      <c r="P94" s="137"/>
      <c r="Q94" s="137"/>
    </row>
    <row r="95" ht="15.75" customHeight="1">
      <c r="A95" s="1130"/>
      <c r="B95" s="1130"/>
      <c r="C95" s="767"/>
      <c r="D95" s="803"/>
      <c r="E95" s="18"/>
      <c r="F95" s="552"/>
      <c r="G95" s="552"/>
      <c r="H95" s="552"/>
      <c r="I95" s="552"/>
      <c r="J95" s="494"/>
      <c r="K95" s="781"/>
      <c r="L95" s="781"/>
      <c r="M95" s="781"/>
      <c r="N95" s="137"/>
      <c r="O95" s="137"/>
      <c r="P95" s="137"/>
      <c r="Q95" s="137"/>
    </row>
    <row r="96" ht="24.0" customHeight="1">
      <c r="A96" s="1130"/>
      <c r="B96" s="1130"/>
      <c r="C96" s="1378"/>
      <c r="D96" s="1331"/>
      <c r="E96" s="157"/>
      <c r="F96" s="1379"/>
      <c r="G96" s="1380"/>
      <c r="H96" s="1347"/>
      <c r="I96" s="119"/>
      <c r="J96" s="25"/>
      <c r="K96" s="815"/>
      <c r="L96" s="763"/>
      <c r="M96" s="763"/>
      <c r="N96" s="137"/>
      <c r="O96" s="137"/>
      <c r="P96" s="137"/>
      <c r="Q96" s="137"/>
    </row>
    <row r="97" ht="15.75" customHeight="1">
      <c r="A97" s="1130"/>
      <c r="B97" s="1130"/>
      <c r="C97" s="767"/>
      <c r="D97" s="803"/>
      <c r="E97" s="34"/>
      <c r="F97" s="821"/>
      <c r="G97" s="821"/>
      <c r="H97" s="41"/>
      <c r="I97" s="119"/>
      <c r="J97" s="25"/>
      <c r="K97" s="781"/>
      <c r="L97" s="781"/>
      <c r="M97" s="781"/>
      <c r="N97" s="137"/>
      <c r="O97" s="137"/>
      <c r="P97" s="137"/>
      <c r="Q97" s="137"/>
    </row>
    <row r="98" ht="15.75" customHeight="1">
      <c r="A98" s="1130"/>
      <c r="B98" s="1130"/>
      <c r="C98" s="767"/>
      <c r="D98" s="803"/>
      <c r="E98" s="1381"/>
      <c r="F98" s="1254"/>
      <c r="G98" s="1382"/>
      <c r="H98" s="1383"/>
      <c r="I98" s="1384"/>
      <c r="J98" s="25"/>
      <c r="K98" s="781"/>
      <c r="L98" s="781"/>
      <c r="M98" s="781"/>
      <c r="N98" s="137"/>
      <c r="O98" s="137"/>
      <c r="P98" s="137"/>
      <c r="Q98" s="137"/>
    </row>
    <row r="99" ht="15.75" customHeight="1">
      <c r="A99" s="1130"/>
      <c r="B99" s="1130"/>
      <c r="C99" s="767"/>
      <c r="D99" s="492"/>
      <c r="E99" s="232"/>
      <c r="F99" s="474"/>
      <c r="G99" s="166"/>
      <c r="H99" s="1378"/>
      <c r="I99" s="1384"/>
      <c r="J99" s="25"/>
      <c r="K99" s="781"/>
      <c r="L99" s="781"/>
      <c r="M99" s="781"/>
      <c r="N99" s="137"/>
      <c r="O99" s="137"/>
      <c r="P99" s="137"/>
      <c r="Q99" s="137"/>
    </row>
    <row r="100" ht="15.75" customHeight="1">
      <c r="A100" s="1130"/>
      <c r="B100" s="1130"/>
      <c r="C100" s="767"/>
      <c r="D100" s="492"/>
      <c r="E100" s="1077"/>
      <c r="F100" s="1078"/>
      <c r="G100" s="1078"/>
      <c r="H100" s="708"/>
      <c r="I100" s="1384"/>
      <c r="J100" s="25"/>
      <c r="K100" s="1313"/>
      <c r="L100" s="1314"/>
      <c r="M100" s="1289"/>
      <c r="N100" s="1287"/>
      <c r="O100" s="1287"/>
      <c r="P100" s="1287"/>
      <c r="Q100" s="1287"/>
      <c r="R100" s="155"/>
      <c r="S100" s="155"/>
    </row>
    <row r="101" ht="15.75" customHeight="1">
      <c r="A101" s="1130"/>
      <c r="B101" s="1385"/>
      <c r="C101" s="36"/>
      <c r="D101" s="803"/>
      <c r="E101" s="34"/>
      <c r="F101" s="236"/>
      <c r="G101" s="1386"/>
      <c r="H101" s="166"/>
      <c r="I101" s="1384"/>
      <c r="J101" s="1374"/>
      <c r="K101" s="1292"/>
      <c r="L101" s="1293"/>
      <c r="M101" s="1293"/>
      <c r="N101" s="1293"/>
      <c r="O101" s="1293"/>
      <c r="P101" s="1293"/>
      <c r="Q101" s="1293"/>
      <c r="R101" s="1293"/>
      <c r="S101" s="1293"/>
    </row>
    <row r="102" ht="15.75" customHeight="1">
      <c r="A102" s="1130"/>
      <c r="B102" s="1130"/>
      <c r="C102" s="767"/>
      <c r="D102" s="803"/>
      <c r="E102" s="163"/>
      <c r="F102" s="1318"/>
      <c r="G102" s="119"/>
      <c r="H102" s="1318"/>
      <c r="I102" s="1384"/>
      <c r="J102" s="1387"/>
      <c r="K102" s="1313"/>
      <c r="L102" s="1315"/>
      <c r="M102" s="1315"/>
      <c r="N102" s="1287"/>
      <c r="O102" s="1287"/>
      <c r="P102" s="1287"/>
      <c r="Q102" s="1287"/>
      <c r="R102" s="155"/>
      <c r="S102" s="155"/>
    </row>
    <row r="103" ht="15.75" customHeight="1">
      <c r="A103" s="1130"/>
      <c r="B103" s="1130"/>
      <c r="C103" s="767"/>
      <c r="D103" s="803"/>
      <c r="E103" s="41"/>
      <c r="F103" s="41"/>
      <c r="G103" s="659"/>
      <c r="H103" s="41"/>
      <c r="I103" s="1388"/>
      <c r="J103" s="1319"/>
      <c r="K103" s="1292"/>
      <c r="L103" s="1293"/>
      <c r="M103" s="1293"/>
      <c r="N103" s="1293"/>
      <c r="O103" s="1293"/>
      <c r="P103" s="1293"/>
      <c r="Q103" s="1293"/>
      <c r="R103" s="1293"/>
      <c r="S103" s="1293"/>
    </row>
    <row r="104" ht="18.0" customHeight="1">
      <c r="A104" s="1130"/>
      <c r="B104" s="1130"/>
      <c r="C104" s="767"/>
      <c r="D104" s="803"/>
      <c r="E104" s="22"/>
      <c r="F104" s="41"/>
      <c r="G104" s="41"/>
      <c r="H104" s="41"/>
      <c r="I104" s="1388"/>
      <c r="J104" s="1319"/>
      <c r="K104" s="1292"/>
      <c r="L104" s="1293"/>
      <c r="M104" s="1293"/>
      <c r="N104" s="1293"/>
      <c r="O104" s="1293"/>
      <c r="P104" s="1293"/>
      <c r="Q104" s="1293"/>
      <c r="R104" s="1293"/>
      <c r="S104" s="1293"/>
    </row>
    <row r="105" ht="15.75" customHeight="1">
      <c r="A105" s="1130"/>
      <c r="B105" s="1130"/>
      <c r="C105" s="767"/>
      <c r="D105" s="803"/>
      <c r="E105" s="161"/>
      <c r="F105" s="244"/>
      <c r="G105" s="244"/>
      <c r="H105" s="119"/>
      <c r="I105" s="1388"/>
      <c r="J105" s="1389"/>
      <c r="K105" s="1292"/>
      <c r="L105" s="1293"/>
      <c r="M105" s="1293"/>
      <c r="N105" s="1293"/>
      <c r="O105" s="1293"/>
      <c r="P105" s="1293"/>
      <c r="Q105" s="1293"/>
      <c r="R105" s="1293"/>
      <c r="S105" s="1293"/>
    </row>
    <row r="106" ht="15.75" customHeight="1">
      <c r="A106" s="1130"/>
      <c r="B106" s="1130"/>
      <c r="C106" s="767"/>
      <c r="D106" s="803"/>
      <c r="E106" s="135"/>
      <c r="F106" s="1390"/>
      <c r="G106" s="1391"/>
      <c r="H106" s="767"/>
      <c r="I106" s="767"/>
      <c r="J106" s="1319"/>
      <c r="K106" s="1292"/>
      <c r="L106" s="1293"/>
      <c r="M106" s="1293"/>
      <c r="N106" s="1293"/>
      <c r="O106" s="1293"/>
      <c r="P106" s="1293"/>
      <c r="Q106" s="1293"/>
      <c r="R106" s="1293"/>
      <c r="S106" s="1293"/>
    </row>
    <row r="107" ht="15.75" customHeight="1">
      <c r="A107" s="1130"/>
      <c r="B107" s="1130"/>
      <c r="C107" s="767"/>
      <c r="D107" s="803"/>
      <c r="E107" s="1392"/>
      <c r="F107" s="1393"/>
      <c r="G107" s="692"/>
      <c r="H107" s="1394"/>
      <c r="I107" s="1347"/>
      <c r="J107" s="1354"/>
      <c r="K107" s="1292"/>
      <c r="L107" s="1293"/>
      <c r="M107" s="1293"/>
      <c r="N107" s="1293"/>
      <c r="O107" s="1293"/>
      <c r="P107" s="1293"/>
      <c r="Q107" s="1293"/>
      <c r="R107" s="1293"/>
      <c r="S107" s="1293"/>
    </row>
    <row r="108" ht="15.75" customHeight="1">
      <c r="A108" s="1130"/>
      <c r="B108" s="1130"/>
      <c r="C108" s="767"/>
      <c r="D108" s="802"/>
      <c r="E108" s="23"/>
      <c r="F108" s="414"/>
      <c r="G108" s="700"/>
      <c r="H108" s="406"/>
      <c r="I108" s="1373"/>
      <c r="J108" s="1395"/>
      <c r="K108" s="1292"/>
      <c r="L108" s="1293"/>
      <c r="M108" s="1293"/>
      <c r="N108" s="1293"/>
      <c r="O108" s="1293"/>
      <c r="P108" s="1293"/>
      <c r="Q108" s="1293"/>
      <c r="R108" s="1293"/>
      <c r="S108" s="1293"/>
    </row>
    <row r="109" ht="15.75" customHeight="1">
      <c r="A109" s="1130"/>
      <c r="B109" s="1130"/>
      <c r="C109" s="767"/>
      <c r="D109" s="802"/>
      <c r="E109" s="41"/>
      <c r="F109" s="749"/>
      <c r="G109" s="668"/>
      <c r="H109" s="701"/>
      <c r="I109" s="659"/>
      <c r="J109" s="1361"/>
      <c r="K109" s="1292"/>
      <c r="L109" s="1293"/>
      <c r="M109" s="1293"/>
      <c r="N109" s="1293"/>
      <c r="O109" s="1287"/>
      <c r="P109" s="1287"/>
      <c r="Q109" s="1287"/>
      <c r="R109" s="155"/>
      <c r="S109" s="155"/>
    </row>
    <row r="110" ht="15.75" customHeight="1">
      <c r="A110" s="1130"/>
      <c r="B110" s="1130"/>
      <c r="C110" s="767"/>
      <c r="D110" s="802"/>
      <c r="E110" s="18"/>
      <c r="F110" s="41"/>
      <c r="G110" s="41"/>
      <c r="H110" s="41"/>
      <c r="I110" s="659"/>
      <c r="J110" s="1396"/>
      <c r="K110" s="1292"/>
      <c r="L110" s="1293"/>
      <c r="M110" s="1293"/>
      <c r="N110" s="1293"/>
      <c r="O110" s="1287"/>
      <c r="P110" s="1287"/>
      <c r="Q110" s="1287"/>
      <c r="R110" s="155"/>
      <c r="S110" s="155"/>
    </row>
    <row r="111" ht="15.75" customHeight="1">
      <c r="A111" s="1130"/>
      <c r="B111" s="1130"/>
      <c r="C111" s="767"/>
      <c r="D111" s="802"/>
      <c r="E111" s="22"/>
      <c r="F111" s="667"/>
      <c r="G111" s="236"/>
      <c r="H111" s="1397"/>
      <c r="I111" s="793"/>
      <c r="J111" s="1291"/>
      <c r="K111" s="1292"/>
      <c r="L111" s="1293"/>
      <c r="M111" s="1293"/>
      <c r="N111" s="1293"/>
      <c r="O111" s="1287"/>
      <c r="P111" s="1287"/>
      <c r="Q111" s="1287"/>
      <c r="R111" s="155"/>
      <c r="S111" s="155"/>
    </row>
    <row r="112" ht="15.75" customHeight="1">
      <c r="A112" s="1130"/>
      <c r="B112" s="1130"/>
      <c r="C112" s="767"/>
      <c r="D112" s="802"/>
      <c r="E112" s="40"/>
      <c r="F112" s="34"/>
      <c r="G112" s="236"/>
      <c r="H112" s="763"/>
      <c r="I112" s="659"/>
      <c r="J112" s="1398"/>
      <c r="K112" s="1292"/>
      <c r="L112" s="1293"/>
      <c r="M112" s="1293"/>
      <c r="N112" s="1293"/>
      <c r="O112" s="1293"/>
      <c r="P112" s="1293"/>
      <c r="Q112" s="1293"/>
      <c r="R112" s="1293"/>
      <c r="S112" s="1293"/>
    </row>
    <row r="113" ht="15.75" customHeight="1">
      <c r="A113" s="1130"/>
      <c r="B113" s="1130"/>
      <c r="C113" s="767"/>
      <c r="D113" s="802"/>
      <c r="E113" s="18"/>
      <c r="F113" s="530"/>
      <c r="G113" s="617"/>
      <c r="H113" s="530"/>
      <c r="I113" s="659"/>
      <c r="J113" s="1399"/>
      <c r="K113" s="1292"/>
      <c r="L113" s="1293"/>
      <c r="M113" s="1293"/>
      <c r="N113" s="1293"/>
      <c r="O113" s="1287"/>
      <c r="P113" s="1287"/>
      <c r="Q113" s="1287"/>
      <c r="R113" s="155"/>
      <c r="S113" s="155"/>
    </row>
    <row r="114" ht="15.75" customHeight="1">
      <c r="A114" s="1130"/>
      <c r="B114" s="1130"/>
      <c r="C114" s="767"/>
      <c r="D114" s="803"/>
      <c r="E114" s="41"/>
      <c r="F114" s="34"/>
      <c r="G114" s="236"/>
      <c r="H114" s="41"/>
      <c r="I114" s="767"/>
      <c r="J114" s="1319"/>
      <c r="K114" s="1292"/>
      <c r="L114" s="1293"/>
      <c r="M114" s="1293"/>
      <c r="N114" s="1293"/>
      <c r="O114" s="1287"/>
      <c r="P114" s="1287"/>
      <c r="Q114" s="1287"/>
      <c r="R114" s="155"/>
      <c r="S114" s="155"/>
    </row>
    <row r="115" ht="15.75" customHeight="1">
      <c r="A115" s="1130"/>
      <c r="B115" s="1130"/>
      <c r="C115" s="767"/>
      <c r="D115" s="1400"/>
      <c r="E115" s="135"/>
      <c r="F115" s="767"/>
      <c r="G115" s="254"/>
      <c r="H115" s="767"/>
      <c r="I115" s="1374"/>
      <c r="J115" s="1299"/>
      <c r="K115" s="1292"/>
      <c r="L115" s="1293"/>
      <c r="M115" s="1293"/>
      <c r="N115" s="1293"/>
      <c r="O115" s="1287"/>
      <c r="P115" s="1287"/>
      <c r="Q115" s="1287"/>
      <c r="R115" s="155"/>
      <c r="S115" s="155"/>
    </row>
    <row r="116" ht="29.25" customHeight="1">
      <c r="A116" s="1130"/>
      <c r="B116" s="1130"/>
      <c r="C116" s="767"/>
      <c r="D116" s="803"/>
      <c r="E116" s="23"/>
      <c r="F116" s="540"/>
      <c r="G116" s="540"/>
      <c r="H116" s="130"/>
      <c r="I116" s="1374"/>
      <c r="J116" s="1297"/>
      <c r="K116" s="1313"/>
      <c r="L116" s="1314"/>
      <c r="M116" s="1289"/>
      <c r="N116" s="1287"/>
      <c r="O116" s="1287"/>
      <c r="P116" s="1287"/>
      <c r="Q116" s="1287"/>
      <c r="R116" s="155"/>
      <c r="S116" s="155"/>
    </row>
    <row r="117" ht="15.75" customHeight="1">
      <c r="A117" s="1130"/>
      <c r="B117" s="1130"/>
      <c r="C117" s="767"/>
      <c r="D117" s="802"/>
      <c r="E117" s="23"/>
      <c r="F117" s="1355"/>
      <c r="G117" s="668"/>
      <c r="H117" s="167"/>
      <c r="I117" s="1364"/>
      <c r="J117" s="1319"/>
      <c r="K117" s="1292"/>
      <c r="L117" s="1293"/>
      <c r="M117" s="1293"/>
      <c r="N117" s="1293"/>
      <c r="O117" s="1293"/>
      <c r="P117" s="1293"/>
      <c r="Q117" s="1293"/>
      <c r="R117" s="1293"/>
      <c r="S117" s="1293"/>
    </row>
    <row r="118" ht="15.75" customHeight="1">
      <c r="A118" s="1130"/>
      <c r="B118" s="1130"/>
      <c r="C118" s="767"/>
      <c r="D118" s="803"/>
      <c r="E118" s="22"/>
      <c r="F118" s="542"/>
      <c r="G118" s="1401"/>
      <c r="H118" s="247"/>
      <c r="I118" s="1374"/>
      <c r="J118" s="1299"/>
      <c r="K118" s="1313"/>
      <c r="L118" s="1315"/>
      <c r="M118" s="1315"/>
      <c r="N118" s="1287"/>
      <c r="O118" s="1287"/>
      <c r="P118" s="1287"/>
      <c r="Q118" s="1287"/>
      <c r="R118" s="155"/>
      <c r="S118" s="155"/>
    </row>
    <row r="119" ht="15.75" customHeight="1">
      <c r="A119" s="1130"/>
      <c r="B119" s="1130"/>
      <c r="C119" s="767"/>
      <c r="D119" s="802"/>
      <c r="E119" s="18"/>
      <c r="F119" s="534"/>
      <c r="G119" s="630"/>
      <c r="H119" s="530"/>
      <c r="I119" s="659"/>
      <c r="J119" s="1402"/>
      <c r="K119" s="1292"/>
      <c r="L119" s="1293"/>
      <c r="M119" s="1293"/>
      <c r="N119" s="1293"/>
      <c r="O119" s="1293"/>
      <c r="P119" s="1293"/>
      <c r="Q119" s="1293"/>
      <c r="R119" s="1293"/>
      <c r="S119" s="1293"/>
    </row>
    <row r="120" ht="15.75" customHeight="1">
      <c r="A120" s="1130"/>
      <c r="B120" s="1130"/>
      <c r="C120" s="767"/>
      <c r="D120" s="802"/>
      <c r="E120" s="41"/>
      <c r="F120" s="414"/>
      <c r="G120" s="692"/>
      <c r="H120" s="409"/>
      <c r="I120" s="659"/>
      <c r="J120" s="1395"/>
      <c r="K120" s="1292"/>
      <c r="L120" s="1293"/>
      <c r="M120" s="1293"/>
      <c r="N120" s="1293"/>
      <c r="O120" s="1293"/>
      <c r="P120" s="1293"/>
      <c r="Q120" s="1293"/>
      <c r="R120" s="1293"/>
      <c r="S120" s="1293"/>
    </row>
    <row r="121" ht="15.75" customHeight="1">
      <c r="A121" s="1130"/>
      <c r="B121" s="1130"/>
      <c r="C121" s="767"/>
      <c r="D121" s="1400"/>
      <c r="E121" s="41"/>
      <c r="F121" s="474"/>
      <c r="G121" s="41"/>
      <c r="H121" s="166"/>
      <c r="I121" s="659"/>
      <c r="J121" s="1299"/>
      <c r="K121" s="1292"/>
      <c r="L121" s="1293"/>
      <c r="M121" s="1293"/>
      <c r="N121" s="1293"/>
      <c r="O121" s="1293"/>
      <c r="P121" s="1293"/>
      <c r="Q121" s="1293"/>
      <c r="R121" s="1293"/>
      <c r="S121" s="1293"/>
    </row>
    <row r="122" ht="15.75" customHeight="1">
      <c r="A122" s="1130"/>
      <c r="B122" s="1130"/>
      <c r="C122" s="767"/>
      <c r="D122" s="803"/>
      <c r="E122" s="21"/>
      <c r="F122" s="439"/>
      <c r="G122" s="498"/>
      <c r="H122" s="1215"/>
      <c r="I122" s="659"/>
      <c r="J122" s="1311"/>
      <c r="K122" s="1292"/>
      <c r="L122" s="1293"/>
      <c r="M122" s="1293"/>
      <c r="N122" s="1293"/>
      <c r="O122" s="1293"/>
      <c r="P122" s="1293"/>
      <c r="Q122" s="1293"/>
      <c r="R122" s="1293"/>
      <c r="S122" s="1293"/>
    </row>
    <row r="123" ht="15.75" customHeight="1">
      <c r="A123" s="1130"/>
      <c r="B123" s="1130"/>
      <c r="C123" s="767"/>
      <c r="D123" s="802"/>
      <c r="E123" s="22"/>
      <c r="F123" s="1114"/>
      <c r="G123" s="1115"/>
      <c r="H123" s="1330"/>
      <c r="I123" s="659"/>
      <c r="J123" s="1319"/>
      <c r="K123" s="1292"/>
      <c r="L123" s="1293"/>
      <c r="M123" s="1293"/>
      <c r="N123" s="1293"/>
      <c r="O123" s="1293"/>
      <c r="P123" s="1293"/>
      <c r="Q123" s="1293"/>
      <c r="R123" s="1293"/>
      <c r="S123" s="1293"/>
    </row>
    <row r="124" ht="15.75" customHeight="1">
      <c r="A124" s="1130"/>
      <c r="B124" s="1130"/>
      <c r="C124" s="767"/>
      <c r="D124" s="802"/>
      <c r="E124" s="1403"/>
      <c r="F124" s="1404"/>
      <c r="G124" s="1405"/>
      <c r="H124" s="981"/>
      <c r="I124" s="659"/>
      <c r="J124" s="1406"/>
      <c r="K124" s="1292"/>
      <c r="L124" s="1293"/>
      <c r="M124" s="1293"/>
      <c r="N124" s="1293"/>
      <c r="O124" s="1293"/>
      <c r="P124" s="1293"/>
      <c r="Q124" s="1293"/>
      <c r="R124" s="1293"/>
      <c r="S124" s="1293"/>
    </row>
    <row r="125" ht="15.75" customHeight="1">
      <c r="A125" s="1130"/>
      <c r="B125" s="1130"/>
      <c r="C125" s="767"/>
      <c r="D125" s="803"/>
      <c r="E125" s="21"/>
      <c r="F125" s="439"/>
      <c r="G125" s="498"/>
      <c r="H125" s="1279"/>
      <c r="I125" s="659"/>
      <c r="J125" s="1302"/>
      <c r="K125" s="1292"/>
      <c r="L125" s="1293"/>
      <c r="M125" s="1293"/>
      <c r="N125" s="1293"/>
      <c r="O125" s="1287"/>
      <c r="P125" s="1287"/>
      <c r="Q125" s="1287"/>
      <c r="R125" s="155"/>
      <c r="S125" s="155"/>
    </row>
    <row r="126" ht="15.75" customHeight="1">
      <c r="A126" s="1130"/>
      <c r="B126" s="1130"/>
      <c r="C126" s="767"/>
      <c r="D126" s="802"/>
      <c r="E126" s="22"/>
      <c r="F126" s="34"/>
      <c r="G126" s="34"/>
      <c r="H126" s="41"/>
      <c r="I126" s="659"/>
      <c r="J126" s="1407"/>
      <c r="K126" s="1292"/>
      <c r="L126" s="1293"/>
      <c r="M126" s="1293"/>
      <c r="N126" s="1293"/>
      <c r="O126" s="1287"/>
      <c r="P126" s="1287"/>
      <c r="Q126" s="1287"/>
      <c r="R126" s="155"/>
      <c r="S126" s="155"/>
    </row>
    <row r="127" ht="15.75" customHeight="1">
      <c r="A127" s="1130"/>
      <c r="B127" s="1130"/>
      <c r="C127" s="767"/>
      <c r="D127" s="802"/>
      <c r="E127" s="1321"/>
      <c r="F127" s="1098"/>
      <c r="G127" s="1098"/>
      <c r="H127" s="767"/>
      <c r="I127" s="659"/>
      <c r="J127" s="1361"/>
      <c r="K127" s="1313"/>
      <c r="L127" s="1314"/>
      <c r="M127" s="1289"/>
      <c r="N127" s="1287"/>
      <c r="O127" s="1287"/>
      <c r="P127" s="1287"/>
      <c r="Q127" s="1287"/>
      <c r="R127" s="155"/>
      <c r="S127" s="155"/>
    </row>
    <row r="128" ht="15.75" customHeight="1">
      <c r="A128" s="1130"/>
      <c r="B128" s="1130"/>
      <c r="C128" s="767"/>
      <c r="D128" s="802"/>
      <c r="E128" s="23"/>
      <c r="F128" s="741"/>
      <c r="G128" s="741"/>
      <c r="H128" s="741"/>
      <c r="I128" s="659"/>
      <c r="J128" s="1319"/>
      <c r="K128" s="1292"/>
      <c r="L128" s="1293"/>
      <c r="M128" s="1293"/>
      <c r="N128" s="1293"/>
      <c r="O128" s="1293"/>
      <c r="P128" s="1293"/>
      <c r="Q128" s="1293"/>
      <c r="R128" s="1293"/>
      <c r="S128" s="1293"/>
    </row>
    <row r="129" ht="15.75" customHeight="1">
      <c r="A129" s="1130"/>
      <c r="B129" s="1130"/>
      <c r="C129" s="767"/>
      <c r="D129" s="802"/>
      <c r="E129" s="22"/>
      <c r="F129" s="700"/>
      <c r="G129" s="668"/>
      <c r="H129" s="22"/>
      <c r="I129" s="22"/>
      <c r="J129" s="1408"/>
      <c r="K129" s="1313"/>
      <c r="L129" s="1315"/>
      <c r="M129" s="1315"/>
      <c r="N129" s="1287"/>
      <c r="O129" s="1287"/>
      <c r="P129" s="1287"/>
      <c r="Q129" s="1287"/>
      <c r="R129" s="155"/>
      <c r="S129" s="155"/>
    </row>
    <row r="130" ht="15.75" customHeight="1">
      <c r="A130" s="1130"/>
      <c r="B130" s="1130"/>
      <c r="C130" s="767"/>
      <c r="D130" s="802"/>
      <c r="E130" s="41"/>
      <c r="F130" s="439"/>
      <c r="G130" s="498"/>
      <c r="H130" s="41"/>
      <c r="I130" s="22"/>
      <c r="J130" s="1296"/>
      <c r="K130" s="1292"/>
      <c r="L130" s="1293"/>
      <c r="M130" s="1293"/>
      <c r="N130" s="1293"/>
      <c r="O130" s="1293"/>
      <c r="P130" s="1293"/>
      <c r="Q130" s="1293"/>
      <c r="R130" s="1293"/>
      <c r="S130" s="1293"/>
    </row>
    <row r="131" ht="15.75" customHeight="1">
      <c r="A131" s="1130"/>
      <c r="B131" s="1130"/>
      <c r="C131" s="767"/>
      <c r="D131" s="802"/>
      <c r="E131" s="41"/>
      <c r="F131" s="667"/>
      <c r="G131" s="1126"/>
      <c r="H131" s="529"/>
      <c r="I131" s="22"/>
      <c r="J131" s="1409"/>
      <c r="K131" s="1292"/>
      <c r="L131" s="1293"/>
      <c r="M131" s="1293"/>
      <c r="N131" s="1293"/>
      <c r="O131" s="1293"/>
      <c r="P131" s="1293"/>
      <c r="Q131" s="1293"/>
      <c r="R131" s="1293"/>
      <c r="S131" s="1293"/>
    </row>
    <row r="132" ht="15.75" customHeight="1">
      <c r="A132" s="1130"/>
      <c r="B132" s="1130"/>
      <c r="C132" s="767"/>
      <c r="D132" s="803"/>
      <c r="E132" s="767"/>
      <c r="F132" s="708"/>
      <c r="G132" s="1388"/>
      <c r="H132" s="1410"/>
      <c r="I132" s="22"/>
      <c r="J132" s="1396"/>
      <c r="K132" s="1292"/>
      <c r="L132" s="1293"/>
      <c r="M132" s="1293"/>
      <c r="N132" s="1293"/>
      <c r="O132" s="1293"/>
      <c r="P132" s="1293"/>
      <c r="Q132" s="1293"/>
      <c r="R132" s="1293"/>
      <c r="S132" s="1293"/>
    </row>
    <row r="133" ht="15.75" customHeight="1">
      <c r="A133" s="1130"/>
      <c r="B133" s="1130"/>
      <c r="C133" s="767"/>
      <c r="D133" s="802"/>
      <c r="E133" s="247"/>
      <c r="F133" s="1114"/>
      <c r="G133" s="1115"/>
      <c r="H133" s="1172"/>
      <c r="I133" s="22"/>
      <c r="J133" s="1319"/>
      <c r="K133" s="1292"/>
      <c r="L133" s="1293"/>
      <c r="M133" s="1293"/>
      <c r="N133" s="1293"/>
      <c r="O133" s="1293"/>
      <c r="P133" s="1293"/>
      <c r="Q133" s="1293"/>
      <c r="R133" s="1293"/>
      <c r="S133" s="1293"/>
    </row>
    <row r="134" ht="15.75" customHeight="1">
      <c r="A134" s="1130"/>
      <c r="B134" s="1130"/>
      <c r="C134" s="767"/>
      <c r="D134" s="1411"/>
      <c r="E134" s="22"/>
      <c r="F134" s="41"/>
      <c r="G134" s="41"/>
      <c r="H134" s="25"/>
      <c r="I134" s="1412"/>
      <c r="J134" s="1319"/>
      <c r="K134" s="1292"/>
      <c r="L134" s="1293"/>
      <c r="M134" s="1293"/>
      <c r="N134" s="1293"/>
      <c r="O134" s="1293"/>
      <c r="P134" s="1293"/>
      <c r="Q134" s="1293"/>
      <c r="R134" s="1293"/>
      <c r="S134" s="1293"/>
    </row>
    <row r="135" ht="15.75" customHeight="1">
      <c r="A135" s="1130"/>
      <c r="B135" s="1130"/>
      <c r="C135" s="767"/>
      <c r="D135" s="802"/>
      <c r="E135" s="41"/>
      <c r="F135" s="156"/>
      <c r="G135" s="793"/>
      <c r="H135" s="1330"/>
      <c r="I135" s="22"/>
      <c r="J135" s="1299"/>
      <c r="K135" s="1292"/>
      <c r="L135" s="1293"/>
      <c r="M135" s="1293"/>
      <c r="N135" s="1293"/>
      <c r="O135" s="1293"/>
      <c r="P135" s="1293"/>
      <c r="Q135" s="1293"/>
      <c r="R135" s="1293"/>
      <c r="S135" s="1293"/>
    </row>
    <row r="136" ht="15.75" customHeight="1">
      <c r="A136" s="1130"/>
      <c r="B136" s="1130"/>
      <c r="C136" s="767"/>
      <c r="D136" s="1413"/>
      <c r="E136" s="119"/>
      <c r="F136" s="119"/>
      <c r="G136" s="1414"/>
      <c r="H136" s="1415"/>
      <c r="I136" s="109"/>
      <c r="J136" s="1389"/>
      <c r="K136" s="1292"/>
      <c r="L136" s="1293"/>
      <c r="M136" s="1293"/>
      <c r="N136" s="1293"/>
      <c r="O136" s="1287"/>
      <c r="P136" s="1287"/>
      <c r="Q136" s="1287"/>
      <c r="R136" s="155"/>
      <c r="S136" s="155"/>
    </row>
    <row r="137" ht="15.75" customHeight="1">
      <c r="A137" s="1130"/>
      <c r="B137" s="1130"/>
      <c r="C137" s="767"/>
      <c r="D137" s="802"/>
      <c r="E137" s="18"/>
      <c r="F137" s="41"/>
      <c r="G137" s="1296"/>
      <c r="H137" s="41"/>
      <c r="I137" s="22"/>
      <c r="J137" s="1361"/>
      <c r="K137" s="1292"/>
      <c r="L137" s="1293"/>
      <c r="M137" s="1293"/>
      <c r="N137" s="1293"/>
      <c r="O137" s="1287"/>
      <c r="P137" s="1287"/>
      <c r="Q137" s="1287"/>
      <c r="R137" s="155"/>
      <c r="S137" s="155"/>
    </row>
    <row r="138" ht="15.75" customHeight="1">
      <c r="A138" s="1130"/>
      <c r="B138" s="1130"/>
      <c r="C138" s="767"/>
      <c r="D138" s="802"/>
      <c r="E138" s="171"/>
      <c r="F138" s="1416"/>
      <c r="G138" s="498"/>
      <c r="H138" s="251"/>
      <c r="I138" s="22"/>
      <c r="J138" s="1417"/>
      <c r="K138" s="1292"/>
      <c r="L138" s="1293"/>
      <c r="M138" s="1293"/>
      <c r="N138" s="1293"/>
      <c r="O138" s="1287"/>
      <c r="P138" s="1287"/>
      <c r="Q138" s="1287"/>
      <c r="R138" s="155"/>
      <c r="S138" s="155"/>
    </row>
    <row r="139" ht="15.75" customHeight="1">
      <c r="A139" s="1130"/>
      <c r="B139" s="1130"/>
      <c r="C139" s="767"/>
      <c r="D139" s="609"/>
      <c r="E139" s="19"/>
      <c r="F139" s="1386"/>
      <c r="G139" s="1386"/>
      <c r="H139" s="251"/>
      <c r="I139" s="22"/>
      <c r="J139" s="1319"/>
      <c r="K139" s="1292"/>
      <c r="L139" s="1293"/>
      <c r="M139" s="1293"/>
      <c r="N139" s="1293"/>
      <c r="O139" s="1293"/>
      <c r="P139" s="1293"/>
      <c r="Q139" s="1293"/>
      <c r="R139" s="1293"/>
      <c r="S139" s="1293"/>
    </row>
    <row r="140" ht="15.75" customHeight="1">
      <c r="A140" s="1130"/>
      <c r="B140" s="1130"/>
      <c r="C140" s="406"/>
      <c r="D140" s="761"/>
      <c r="E140" s="18"/>
      <c r="F140" s="156"/>
      <c r="G140" s="793"/>
      <c r="H140" s="23"/>
      <c r="I140" s="18"/>
      <c r="J140" s="1016"/>
      <c r="K140" s="1292"/>
      <c r="L140" s="1293"/>
      <c r="M140" s="1293"/>
      <c r="N140" s="1293"/>
      <c r="O140" s="1287"/>
      <c r="P140" s="1287"/>
      <c r="Q140" s="1287"/>
      <c r="R140" s="155"/>
      <c r="S140" s="155"/>
    </row>
    <row r="141" ht="15.75" customHeight="1">
      <c r="A141" s="1130"/>
      <c r="B141" s="1130"/>
      <c r="C141" s="767"/>
      <c r="D141" s="802"/>
      <c r="E141" s="22"/>
      <c r="F141" s="233"/>
      <c r="G141" s="749"/>
      <c r="H141" s="22"/>
      <c r="I141" s="749"/>
      <c r="J141" s="1319"/>
      <c r="K141" s="1292"/>
      <c r="L141" s="1293"/>
      <c r="M141" s="1293"/>
      <c r="N141" s="1293"/>
      <c r="O141" s="1287"/>
      <c r="P141" s="1287"/>
      <c r="Q141" s="1287"/>
      <c r="R141" s="155"/>
      <c r="S141" s="155"/>
    </row>
    <row r="142" ht="15.75" customHeight="1">
      <c r="A142" s="1130"/>
      <c r="B142" s="1130"/>
      <c r="C142" s="767"/>
      <c r="D142" s="802"/>
      <c r="E142" s="232"/>
      <c r="F142" s="309"/>
      <c r="G142" s="309"/>
      <c r="H142" s="119"/>
      <c r="I142" s="22"/>
      <c r="J142" s="1302"/>
      <c r="K142" s="1292"/>
      <c r="L142" s="1293"/>
      <c r="M142" s="1293"/>
      <c r="N142" s="1293"/>
      <c r="O142" s="1287"/>
      <c r="P142" s="1287"/>
      <c r="Q142" s="1287"/>
      <c r="R142" s="155"/>
      <c r="S142" s="155"/>
    </row>
    <row r="143" ht="15.75" customHeight="1">
      <c r="A143" s="1130"/>
      <c r="B143" s="1130"/>
      <c r="C143" s="767"/>
      <c r="D143" s="768"/>
      <c r="E143" s="18"/>
      <c r="F143" s="23"/>
      <c r="G143" s="1418"/>
      <c r="H143" s="23"/>
      <c r="I143" s="1418"/>
      <c r="J143" s="1409"/>
      <c r="K143" s="1313"/>
      <c r="L143" s="1314"/>
      <c r="M143" s="1289"/>
      <c r="N143" s="1287"/>
      <c r="O143" s="1287"/>
      <c r="P143" s="1287"/>
      <c r="Q143" s="1287"/>
      <c r="R143" s="155"/>
      <c r="S143" s="155"/>
    </row>
    <row r="144" ht="15.75" customHeight="1">
      <c r="A144" s="1130"/>
      <c r="B144" s="1130"/>
      <c r="C144" s="767"/>
      <c r="D144" s="802"/>
      <c r="E144" s="233"/>
      <c r="F144" s="439"/>
      <c r="G144" s="41"/>
      <c r="H144" s="474"/>
      <c r="I144" s="41"/>
      <c r="J144" s="1319"/>
      <c r="K144" s="1292"/>
      <c r="L144" s="1293"/>
      <c r="M144" s="1293"/>
      <c r="N144" s="1293"/>
      <c r="O144" s="1293"/>
      <c r="P144" s="1293"/>
      <c r="Q144" s="1293"/>
      <c r="R144" s="1293"/>
      <c r="S144" s="1293"/>
    </row>
    <row r="145" ht="15.75" customHeight="1">
      <c r="A145" s="1130"/>
      <c r="B145" s="1130"/>
      <c r="C145" s="767"/>
      <c r="D145" s="803"/>
      <c r="E145" s="166"/>
      <c r="F145" s="414"/>
      <c r="G145" s="668"/>
      <c r="H145" s="109"/>
      <c r="I145" s="119"/>
      <c r="J145" s="1419"/>
      <c r="K145" s="1313"/>
      <c r="L145" s="1315"/>
      <c r="M145" s="1315"/>
      <c r="N145" s="1287"/>
      <c r="O145" s="1287"/>
      <c r="P145" s="1287"/>
      <c r="Q145" s="1287"/>
      <c r="R145" s="155"/>
      <c r="S145" s="155"/>
    </row>
    <row r="146" ht="15.75" customHeight="1">
      <c r="A146" s="1130"/>
      <c r="B146" s="1130"/>
      <c r="C146" s="767"/>
      <c r="D146" s="803"/>
      <c r="E146" s="18"/>
      <c r="F146" s="767"/>
      <c r="G146" s="659"/>
      <c r="H146" s="767"/>
      <c r="I146" s="22"/>
      <c r="J146" s="1420"/>
      <c r="K146" s="1292"/>
      <c r="L146" s="1293"/>
      <c r="M146" s="1293"/>
      <c r="N146" s="1293"/>
      <c r="O146" s="1293"/>
      <c r="P146" s="1293"/>
      <c r="Q146" s="1293"/>
      <c r="R146" s="1293"/>
      <c r="S146" s="1293"/>
    </row>
    <row r="147" ht="15.75" customHeight="1">
      <c r="A147" s="1130"/>
      <c r="B147" s="1130"/>
      <c r="C147" s="767"/>
      <c r="D147" s="761"/>
      <c r="E147" s="130"/>
      <c r="F147" s="744"/>
      <c r="G147" s="659"/>
      <c r="H147" s="789"/>
      <c r="I147" s="22"/>
      <c r="J147" s="1420"/>
      <c r="K147" s="1292"/>
      <c r="L147" s="1293"/>
      <c r="M147" s="1293"/>
      <c r="N147" s="1293"/>
      <c r="O147" s="1293"/>
      <c r="P147" s="1293"/>
      <c r="Q147" s="1293"/>
      <c r="R147" s="1293"/>
      <c r="S147" s="1293"/>
    </row>
    <row r="148" ht="15.75" customHeight="1">
      <c r="A148" s="1130"/>
      <c r="B148" s="1130"/>
      <c r="C148" s="767"/>
      <c r="D148" s="803"/>
      <c r="E148" s="119"/>
      <c r="F148" s="41"/>
      <c r="G148" s="41"/>
      <c r="H148" s="109"/>
      <c r="I148" s="119"/>
      <c r="J148" s="1311"/>
      <c r="K148" s="1292"/>
      <c r="L148" s="1293"/>
      <c r="M148" s="1293"/>
      <c r="N148" s="1293"/>
      <c r="O148" s="1293"/>
      <c r="P148" s="1293"/>
      <c r="Q148" s="1293"/>
      <c r="R148" s="1293"/>
      <c r="S148" s="1293"/>
    </row>
    <row r="149" ht="15.75" customHeight="1">
      <c r="A149" s="1130"/>
      <c r="B149" s="1130"/>
      <c r="C149" s="767"/>
      <c r="D149" s="803"/>
      <c r="E149" s="161"/>
      <c r="F149" s="471"/>
      <c r="G149" s="23"/>
      <c r="H149" s="249"/>
      <c r="I149" s="119"/>
      <c r="J149" s="257"/>
      <c r="K149" s="1292"/>
      <c r="L149" s="1293"/>
      <c r="M149" s="1293"/>
      <c r="N149" s="1293"/>
      <c r="O149" s="1293"/>
      <c r="P149" s="1293"/>
      <c r="Q149" s="1293"/>
      <c r="R149" s="1293"/>
      <c r="S149" s="1293"/>
    </row>
    <row r="150" ht="15.75" customHeight="1">
      <c r="A150" s="1130"/>
      <c r="B150" s="1130"/>
      <c r="C150" s="767"/>
      <c r="D150" s="711"/>
      <c r="E150" s="41"/>
      <c r="F150" s="1421"/>
      <c r="G150" s="1269"/>
      <c r="H150" s="41"/>
      <c r="I150" s="119"/>
      <c r="J150" s="1422"/>
      <c r="K150" s="1292"/>
      <c r="L150" s="1293"/>
      <c r="M150" s="1293"/>
      <c r="N150" s="1293"/>
      <c r="O150" s="1293"/>
      <c r="P150" s="1293"/>
      <c r="Q150" s="1293"/>
      <c r="R150" s="1293"/>
      <c r="S150" s="1293"/>
    </row>
    <row r="151" ht="15.75" customHeight="1">
      <c r="A151" s="1130"/>
      <c r="B151" s="1130"/>
      <c r="C151" s="767"/>
      <c r="D151" s="1400"/>
      <c r="E151" s="41"/>
      <c r="F151" s="166"/>
      <c r="G151" s="166"/>
      <c r="H151" s="166"/>
      <c r="I151" s="119"/>
      <c r="J151" s="1420"/>
      <c r="K151" s="1292"/>
      <c r="L151" s="1293"/>
      <c r="M151" s="1293"/>
      <c r="N151" s="1293"/>
      <c r="O151" s="1293"/>
      <c r="P151" s="1293"/>
      <c r="Q151" s="1293"/>
      <c r="R151" s="1293"/>
      <c r="S151" s="1293"/>
    </row>
    <row r="152" ht="15.75" customHeight="1">
      <c r="A152" s="1130"/>
      <c r="B152" s="1130"/>
      <c r="C152" s="767"/>
      <c r="D152" s="802"/>
      <c r="E152" s="22"/>
      <c r="F152" s="41"/>
      <c r="G152" s="41"/>
      <c r="H152" s="41"/>
      <c r="I152" s="119"/>
      <c r="J152" s="1299"/>
      <c r="K152" s="1292"/>
      <c r="L152" s="1293"/>
      <c r="M152" s="1293"/>
      <c r="N152" s="1293"/>
      <c r="O152" s="1287"/>
      <c r="P152" s="1287"/>
      <c r="Q152" s="1287"/>
      <c r="R152" s="155"/>
      <c r="S152" s="155"/>
    </row>
    <row r="153" ht="15.75" customHeight="1">
      <c r="A153" s="1130"/>
      <c r="B153" s="1130"/>
      <c r="C153" s="767"/>
      <c r="D153" s="1026"/>
      <c r="E153" s="22"/>
      <c r="F153" s="41"/>
      <c r="G153" s="41"/>
      <c r="H153" s="22"/>
      <c r="I153" s="119"/>
      <c r="J153" s="1299"/>
      <c r="K153" s="1292"/>
      <c r="L153" s="1293"/>
      <c r="M153" s="1293"/>
      <c r="N153" s="1293"/>
      <c r="O153" s="1287"/>
      <c r="P153" s="1287"/>
      <c r="Q153" s="1287"/>
      <c r="R153" s="155"/>
      <c r="S153" s="155"/>
    </row>
    <row r="154" ht="15.75" customHeight="1">
      <c r="A154" s="1130"/>
      <c r="B154" s="1130"/>
      <c r="C154" s="767"/>
      <c r="D154" s="803"/>
      <c r="E154" s="41"/>
      <c r="F154" s="439"/>
      <c r="G154" s="440"/>
      <c r="H154" s="1423"/>
      <c r="I154" s="119"/>
      <c r="J154" s="1422"/>
      <c r="K154" s="1292"/>
      <c r="L154" s="1293"/>
      <c r="M154" s="1293"/>
      <c r="N154" s="1293"/>
      <c r="O154" s="1287"/>
      <c r="P154" s="1287"/>
      <c r="Q154" s="1287"/>
      <c r="R154" s="155"/>
      <c r="S154" s="155"/>
    </row>
    <row r="155" ht="15.75" customHeight="1">
      <c r="A155" s="1130"/>
      <c r="B155" s="1130"/>
      <c r="C155" s="767"/>
      <c r="D155" s="802"/>
      <c r="E155" s="23"/>
      <c r="F155" s="741"/>
      <c r="G155" s="741"/>
      <c r="H155" s="23"/>
      <c r="I155" s="119"/>
      <c r="J155" s="1319"/>
      <c r="K155" s="1292"/>
      <c r="L155" s="1293"/>
      <c r="M155" s="1293"/>
      <c r="N155" s="1293"/>
      <c r="O155" s="1293"/>
      <c r="P155" s="1293"/>
      <c r="Q155" s="1293"/>
      <c r="R155" s="1293"/>
      <c r="S155" s="1293"/>
    </row>
    <row r="156" ht="15.75" customHeight="1">
      <c r="A156" s="1130"/>
      <c r="B156" s="1130"/>
      <c r="C156" s="767"/>
      <c r="D156" s="802"/>
      <c r="E156" s="1335"/>
      <c r="F156" s="1424"/>
      <c r="G156" s="1424"/>
      <c r="H156" s="1424"/>
      <c r="I156" s="119"/>
      <c r="J156" s="1302"/>
      <c r="K156" s="1292"/>
      <c r="L156" s="1293"/>
      <c r="M156" s="1293"/>
      <c r="N156" s="1293"/>
      <c r="O156" s="1287"/>
      <c r="P156" s="1287"/>
      <c r="Q156" s="1287"/>
      <c r="R156" s="155"/>
      <c r="S156" s="155"/>
    </row>
    <row r="157" ht="15.75" customHeight="1">
      <c r="A157" s="1130"/>
      <c r="B157" s="1130"/>
      <c r="C157" s="767"/>
      <c r="D157" s="802"/>
      <c r="E157" s="21"/>
      <c r="F157" s="1244"/>
      <c r="G157" s="1425"/>
      <c r="H157" s="1301"/>
      <c r="I157" s="119"/>
      <c r="J157" s="1426"/>
      <c r="K157" s="1292"/>
      <c r="L157" s="1293"/>
      <c r="M157" s="1293"/>
      <c r="N157" s="1293"/>
      <c r="O157" s="1287"/>
      <c r="P157" s="1287"/>
      <c r="Q157" s="1287"/>
      <c r="R157" s="155"/>
      <c r="S157" s="155"/>
    </row>
    <row r="158" ht="15.75" customHeight="1">
      <c r="A158" s="1130"/>
      <c r="B158" s="1130"/>
      <c r="C158" s="767"/>
      <c r="D158" s="803"/>
      <c r="E158" s="41"/>
      <c r="F158" s="312"/>
      <c r="G158" s="628"/>
      <c r="H158" s="312"/>
      <c r="I158" s="119"/>
      <c r="J158" s="1427"/>
      <c r="K158" s="1292"/>
      <c r="L158" s="1293"/>
      <c r="M158" s="1293"/>
      <c r="N158" s="1293"/>
      <c r="O158" s="1287"/>
      <c r="P158" s="1287"/>
      <c r="Q158" s="1287"/>
      <c r="R158" s="155"/>
      <c r="S158" s="155"/>
    </row>
    <row r="159" ht="15.75" customHeight="1">
      <c r="A159" s="1130"/>
      <c r="B159" s="1130"/>
      <c r="C159" s="767"/>
      <c r="D159" s="1413"/>
      <c r="E159" s="41"/>
      <c r="F159" s="439"/>
      <c r="G159" s="498"/>
      <c r="H159" s="119"/>
      <c r="I159" s="119"/>
      <c r="J159" s="1303"/>
      <c r="K159" s="1313"/>
      <c r="L159" s="1314"/>
      <c r="M159" s="1289"/>
      <c r="N159" s="1287"/>
      <c r="O159" s="1287"/>
      <c r="P159" s="1287"/>
      <c r="Q159" s="1287"/>
      <c r="R159" s="155"/>
      <c r="S159" s="155"/>
    </row>
    <row r="160" ht="15.75" customHeight="1">
      <c r="A160" s="1130"/>
      <c r="B160" s="1130"/>
      <c r="C160" s="767"/>
      <c r="D160" s="802"/>
      <c r="E160" s="41"/>
      <c r="F160" s="439"/>
      <c r="G160" s="498"/>
      <c r="H160" s="166"/>
      <c r="I160" s="1428"/>
      <c r="J160" s="1429"/>
      <c r="K160" s="1292"/>
      <c r="L160" s="1293"/>
      <c r="M160" s="1293"/>
      <c r="N160" s="1293"/>
      <c r="O160" s="1293"/>
      <c r="P160" s="1293"/>
      <c r="Q160" s="1293"/>
      <c r="R160" s="1293"/>
      <c r="S160" s="1293"/>
    </row>
    <row r="161" ht="15.75" customHeight="1">
      <c r="A161" s="1130"/>
      <c r="B161" s="1130"/>
      <c r="C161" s="767"/>
      <c r="D161" s="633"/>
      <c r="E161" s="18"/>
      <c r="F161" s="534"/>
      <c r="G161" s="630"/>
      <c r="H161" s="608"/>
      <c r="I161" s="119"/>
      <c r="J161" s="1429"/>
      <c r="K161" s="1313"/>
      <c r="L161" s="1315"/>
      <c r="M161" s="1315"/>
      <c r="N161" s="1287"/>
      <c r="O161" s="1287"/>
      <c r="P161" s="1287"/>
      <c r="Q161" s="1287"/>
      <c r="R161" s="155"/>
      <c r="S161" s="155"/>
    </row>
    <row r="162" ht="15.75" customHeight="1">
      <c r="A162" s="1130"/>
      <c r="B162" s="1130"/>
      <c r="C162" s="767"/>
      <c r="D162" s="802"/>
      <c r="E162" s="174"/>
      <c r="F162" s="1249"/>
      <c r="G162" s="630"/>
      <c r="H162" s="495"/>
      <c r="I162" s="119"/>
      <c r="J162" s="1430"/>
      <c r="K162" s="1292"/>
      <c r="L162" s="1293"/>
      <c r="M162" s="1293"/>
      <c r="N162" s="1293"/>
      <c r="O162" s="1293"/>
      <c r="P162" s="1293"/>
      <c r="Q162" s="1293"/>
      <c r="R162" s="1293"/>
      <c r="S162" s="1293"/>
    </row>
    <row r="163" ht="15.75" customHeight="1">
      <c r="A163" s="1130"/>
      <c r="B163" s="1130"/>
      <c r="C163" s="767"/>
      <c r="D163" s="802"/>
      <c r="E163" s="22"/>
      <c r="F163" s="41"/>
      <c r="G163" s="41"/>
      <c r="H163" s="41"/>
      <c r="I163" s="41"/>
      <c r="J163" s="1431"/>
      <c r="K163" s="1292"/>
      <c r="L163" s="1293"/>
      <c r="M163" s="1293"/>
      <c r="N163" s="1293"/>
      <c r="O163" s="1293"/>
      <c r="P163" s="1293"/>
      <c r="Q163" s="1293"/>
      <c r="R163" s="1293"/>
      <c r="S163" s="1293"/>
    </row>
    <row r="164" ht="15.75" customHeight="1">
      <c r="A164" s="1130"/>
      <c r="B164" s="1130"/>
      <c r="C164" s="767"/>
      <c r="D164" s="802"/>
      <c r="E164" s="767"/>
      <c r="F164" s="1432"/>
      <c r="G164" s="789"/>
      <c r="H164" s="1433"/>
      <c r="I164" s="1434"/>
      <c r="J164" s="1396"/>
      <c r="K164" s="1292"/>
      <c r="L164" s="1293"/>
      <c r="M164" s="1293"/>
      <c r="N164" s="1293"/>
      <c r="O164" s="1293"/>
      <c r="P164" s="1293"/>
      <c r="Q164" s="1293"/>
      <c r="R164" s="1293"/>
      <c r="S164" s="1293"/>
    </row>
    <row r="165" ht="15.75" customHeight="1">
      <c r="A165" s="1435"/>
      <c r="B165" s="1435"/>
      <c r="C165" s="767"/>
      <c r="D165" s="802"/>
      <c r="E165" s="23"/>
      <c r="F165" s="741"/>
      <c r="G165" s="406"/>
      <c r="H165" s="406"/>
      <c r="I165" s="659"/>
      <c r="J165" s="1361"/>
      <c r="K165" s="1292"/>
      <c r="L165" s="1293"/>
      <c r="M165" s="1293"/>
      <c r="N165" s="1293"/>
      <c r="O165" s="1293"/>
      <c r="P165" s="1293"/>
      <c r="Q165" s="1293"/>
      <c r="R165" s="1293"/>
      <c r="S165" s="1293"/>
    </row>
    <row r="166" ht="15.75" customHeight="1">
      <c r="A166" s="1435"/>
      <c r="B166" s="1435"/>
      <c r="C166" s="767"/>
      <c r="D166" s="1436"/>
      <c r="E166" s="105"/>
      <c r="F166" s="1437"/>
      <c r="G166" s="1437"/>
      <c r="H166" s="1424"/>
      <c r="I166" s="119"/>
      <c r="J166" s="1361"/>
      <c r="K166" s="1292"/>
      <c r="L166" s="1293"/>
      <c r="M166" s="1293"/>
      <c r="N166" s="1293"/>
      <c r="O166" s="1293"/>
      <c r="P166" s="1293"/>
      <c r="Q166" s="1293"/>
      <c r="R166" s="1293"/>
      <c r="S166" s="1293"/>
    </row>
    <row r="167" ht="15.75" customHeight="1">
      <c r="A167" s="1130"/>
      <c r="B167" s="1130"/>
      <c r="C167" s="767"/>
      <c r="D167" s="633"/>
      <c r="E167" s="41"/>
      <c r="F167" s="439"/>
      <c r="G167" s="498"/>
      <c r="H167" s="41"/>
      <c r="I167" s="41"/>
      <c r="J167" s="1361"/>
      <c r="K167" s="1292"/>
      <c r="L167" s="1293"/>
      <c r="M167" s="1293"/>
      <c r="N167" s="1293"/>
      <c r="O167" s="1293"/>
      <c r="P167" s="1293"/>
      <c r="Q167" s="1293"/>
      <c r="R167" s="1293"/>
      <c r="S167" s="1293"/>
    </row>
    <row r="168" ht="15.75" customHeight="1">
      <c r="A168" s="1130"/>
      <c r="B168" s="1130"/>
      <c r="C168" s="41"/>
      <c r="D168" s="761"/>
      <c r="E168" s="208"/>
      <c r="F168" s="534"/>
      <c r="G168" s="1102"/>
      <c r="H168" s="1438"/>
      <c r="I168" s="312"/>
      <c r="J168" s="1439"/>
      <c r="K168" s="1292"/>
      <c r="L168" s="1293"/>
      <c r="M168" s="1293"/>
      <c r="N168" s="1293"/>
      <c r="O168" s="1287"/>
      <c r="P168" s="1287"/>
      <c r="Q168" s="1287"/>
      <c r="R168" s="155"/>
      <c r="S168" s="155"/>
    </row>
    <row r="169" ht="15.75" customHeight="1">
      <c r="A169" s="1130"/>
      <c r="B169" s="1130"/>
      <c r="C169" s="659"/>
      <c r="D169" s="1440"/>
      <c r="E169" s="41"/>
      <c r="F169" s="408"/>
      <c r="G169" s="701"/>
      <c r="H169" s="406"/>
      <c r="I169" s="312"/>
      <c r="J169" s="306"/>
      <c r="K169" s="1292"/>
      <c r="L169" s="1293"/>
      <c r="M169" s="1293"/>
      <c r="N169" s="1293"/>
      <c r="O169" s="1287"/>
      <c r="P169" s="1287"/>
      <c r="Q169" s="1287"/>
      <c r="R169" s="155"/>
      <c r="S169" s="155"/>
    </row>
    <row r="170" ht="15.75" customHeight="1">
      <c r="A170" s="1130"/>
      <c r="B170" s="1130"/>
      <c r="C170" s="659"/>
      <c r="D170" s="802"/>
      <c r="E170" s="41"/>
      <c r="F170" s="1355"/>
      <c r="G170" s="749"/>
      <c r="H170" s="1441"/>
      <c r="I170" s="1442"/>
      <c r="J170" s="1319"/>
      <c r="K170" s="1292"/>
      <c r="L170" s="1293"/>
      <c r="M170" s="1293"/>
      <c r="N170" s="1293"/>
      <c r="O170" s="1287"/>
      <c r="P170" s="1287"/>
      <c r="Q170" s="1287"/>
      <c r="R170" s="155"/>
      <c r="S170" s="155"/>
    </row>
    <row r="171" ht="15.75" customHeight="1">
      <c r="A171" s="1130"/>
      <c r="B171" s="1130"/>
      <c r="C171" s="659"/>
      <c r="D171" s="802"/>
      <c r="E171" s="767"/>
      <c r="F171" s="208"/>
      <c r="G171" s="697"/>
      <c r="H171" s="208"/>
      <c r="I171" s="1443"/>
      <c r="J171" s="1444"/>
      <c r="K171" s="1292"/>
      <c r="L171" s="1293"/>
      <c r="M171" s="1293"/>
      <c r="N171" s="1293"/>
      <c r="O171" s="1293"/>
      <c r="P171" s="1293"/>
      <c r="Q171" s="1293"/>
      <c r="R171" s="1293"/>
      <c r="S171" s="1293"/>
    </row>
    <row r="172" ht="15.75" customHeight="1">
      <c r="A172" s="1130"/>
      <c r="B172" s="1130"/>
      <c r="C172" s="659"/>
      <c r="D172" s="633"/>
      <c r="E172" s="312"/>
      <c r="F172" s="1445"/>
      <c r="G172" s="1446"/>
      <c r="H172" s="617"/>
      <c r="I172" s="1425"/>
      <c r="J172" s="1429"/>
      <c r="K172" s="1292"/>
      <c r="L172" s="1293"/>
      <c r="M172" s="1293"/>
      <c r="N172" s="1293"/>
      <c r="O172" s="1287"/>
      <c r="P172" s="1287"/>
      <c r="Q172" s="1287"/>
      <c r="R172" s="155"/>
      <c r="S172" s="155"/>
    </row>
    <row r="173" ht="15.75" customHeight="1">
      <c r="A173" s="1130"/>
      <c r="B173" s="1130"/>
      <c r="C173" s="406"/>
      <c r="D173" s="1447"/>
      <c r="E173" s="406"/>
      <c r="F173" s="557"/>
      <c r="G173" s="369"/>
      <c r="H173" s="985"/>
      <c r="I173" s="1448"/>
      <c r="J173" s="1310"/>
      <c r="K173" s="1292"/>
      <c r="L173" s="1293"/>
      <c r="M173" s="1293"/>
      <c r="N173" s="1293"/>
      <c r="O173" s="1287"/>
      <c r="P173" s="1287"/>
      <c r="Q173" s="1287"/>
      <c r="R173" s="155"/>
      <c r="S173" s="155"/>
    </row>
    <row r="174" ht="15.75" customHeight="1">
      <c r="A174" s="1130"/>
      <c r="B174" s="1130"/>
      <c r="C174" s="659"/>
      <c r="D174" s="768"/>
      <c r="E174" s="23"/>
      <c r="F174" s="249"/>
      <c r="G174" s="1449"/>
      <c r="H174" s="23"/>
      <c r="I174" s="23"/>
      <c r="J174" s="1409"/>
      <c r="K174" s="1292"/>
      <c r="L174" s="1293"/>
      <c r="M174" s="1293"/>
      <c r="N174" s="1293"/>
      <c r="O174" s="1287"/>
      <c r="P174" s="1287"/>
      <c r="Q174" s="1287"/>
      <c r="R174" s="155"/>
      <c r="S174" s="155"/>
    </row>
    <row r="175" ht="15.75" customHeight="1">
      <c r="A175" s="1130"/>
      <c r="B175" s="1130"/>
      <c r="C175" s="659"/>
      <c r="D175" s="633"/>
      <c r="E175" s="54"/>
      <c r="F175" s="632"/>
      <c r="G175" s="637"/>
      <c r="H175" s="1450"/>
      <c r="I175" s="1451"/>
      <c r="J175" s="1452"/>
      <c r="K175" s="1313"/>
      <c r="L175" s="1314"/>
      <c r="M175" s="1289"/>
      <c r="N175" s="1287"/>
      <c r="O175" s="1287"/>
      <c r="P175" s="1287"/>
      <c r="Q175" s="1287"/>
      <c r="R175" s="155"/>
      <c r="S175" s="155"/>
    </row>
    <row r="176" ht="15.75" customHeight="1">
      <c r="A176" s="1130"/>
      <c r="B176" s="1130"/>
      <c r="C176" s="659"/>
      <c r="D176" s="802"/>
      <c r="E176" s="18"/>
      <c r="F176" s="530"/>
      <c r="G176" s="608"/>
      <c r="H176" s="495"/>
      <c r="I176" s="485"/>
      <c r="J176" s="1430"/>
      <c r="K176" s="1292"/>
      <c r="L176" s="1293"/>
      <c r="M176" s="1293"/>
      <c r="N176" s="1293"/>
      <c r="O176" s="1293"/>
      <c r="P176" s="1293"/>
      <c r="Q176" s="1293"/>
      <c r="R176" s="1293"/>
      <c r="S176" s="1293"/>
    </row>
    <row r="177" ht="15.75" customHeight="1">
      <c r="A177" s="1130"/>
      <c r="B177" s="1130"/>
      <c r="C177" s="659"/>
      <c r="D177" s="1413"/>
      <c r="E177" s="1453"/>
      <c r="F177" s="455"/>
      <c r="G177" s="309"/>
      <c r="H177" s="1339"/>
      <c r="I177" s="25"/>
      <c r="J177" s="1454"/>
      <c r="K177" s="1313"/>
      <c r="L177" s="1315"/>
      <c r="M177" s="1315"/>
      <c r="N177" s="1287"/>
      <c r="O177" s="1287"/>
      <c r="P177" s="1287"/>
      <c r="Q177" s="1287"/>
      <c r="R177" s="155"/>
      <c r="S177" s="155"/>
    </row>
    <row r="178" ht="15.75" customHeight="1">
      <c r="A178" s="1411"/>
      <c r="B178" s="1411"/>
      <c r="C178" s="1330"/>
      <c r="D178" s="1455"/>
      <c r="E178" s="552"/>
      <c r="F178" s="34"/>
      <c r="G178" s="1386"/>
      <c r="H178" s="531"/>
      <c r="I178" s="1428"/>
      <c r="J178" s="1303"/>
      <c r="K178" s="1292"/>
      <c r="L178" s="1293"/>
      <c r="M178" s="1293"/>
      <c r="N178" s="1293"/>
      <c r="O178" s="1293"/>
      <c r="P178" s="1293"/>
      <c r="Q178" s="1293"/>
      <c r="R178" s="1293"/>
      <c r="S178" s="1293"/>
    </row>
    <row r="179" ht="15.75" customHeight="1">
      <c r="A179" s="1130"/>
      <c r="B179" s="1130"/>
      <c r="C179" s="659"/>
      <c r="D179" s="1456"/>
      <c r="E179" s="156"/>
      <c r="F179" s="474"/>
      <c r="G179" s="166"/>
      <c r="H179" s="25"/>
      <c r="I179" s="324"/>
      <c r="J179" s="1457"/>
      <c r="K179" s="1292"/>
      <c r="L179" s="1293"/>
      <c r="M179" s="1293"/>
      <c r="N179" s="1293"/>
      <c r="O179" s="1293"/>
      <c r="P179" s="1293"/>
      <c r="Q179" s="1293"/>
      <c r="R179" s="1293"/>
      <c r="S179" s="1293"/>
    </row>
    <row r="180" ht="15.75" customHeight="1">
      <c r="A180" s="1130"/>
      <c r="B180" s="1130"/>
      <c r="C180" s="659"/>
      <c r="D180" s="1413"/>
      <c r="E180" s="163"/>
      <c r="F180" s="541"/>
      <c r="G180" s="166"/>
      <c r="H180" s="741"/>
      <c r="I180" s="25"/>
      <c r="J180" s="1319"/>
      <c r="K180" s="1292"/>
      <c r="L180" s="1293"/>
      <c r="M180" s="1293"/>
      <c r="N180" s="1293"/>
      <c r="O180" s="1293"/>
      <c r="P180" s="1293"/>
      <c r="Q180" s="1293"/>
      <c r="R180" s="1293"/>
      <c r="S180" s="1293"/>
    </row>
    <row r="181" ht="15.75" customHeight="1">
      <c r="A181" s="1411"/>
      <c r="B181" s="1411"/>
      <c r="C181" s="659"/>
      <c r="D181" s="802"/>
      <c r="E181" s="23"/>
      <c r="F181" s="455"/>
      <c r="G181" s="1458"/>
      <c r="H181" s="406"/>
      <c r="I181" s="1428"/>
      <c r="J181" s="1459"/>
      <c r="K181" s="1292"/>
      <c r="L181" s="1293"/>
      <c r="M181" s="1293"/>
      <c r="N181" s="1293"/>
      <c r="O181" s="1293"/>
      <c r="P181" s="1293"/>
      <c r="Q181" s="1293"/>
      <c r="R181" s="1293"/>
      <c r="S181" s="1293"/>
    </row>
    <row r="182" ht="15.75" customHeight="1">
      <c r="A182" s="1411"/>
      <c r="B182" s="1411"/>
      <c r="C182" s="659"/>
      <c r="D182" s="633"/>
      <c r="E182" s="985"/>
      <c r="F182" s="369"/>
      <c r="G182" s="697"/>
      <c r="H182" s="1195"/>
      <c r="I182" s="1428"/>
      <c r="J182" s="1460"/>
      <c r="K182" s="1292"/>
      <c r="L182" s="1293"/>
      <c r="M182" s="1293"/>
      <c r="N182" s="1293"/>
      <c r="O182" s="1293"/>
      <c r="P182" s="1293"/>
      <c r="Q182" s="1293"/>
      <c r="R182" s="1293"/>
      <c r="S182" s="1293"/>
    </row>
    <row r="183" ht="15.75" customHeight="1">
      <c r="A183" s="1461"/>
      <c r="B183" s="1461"/>
      <c r="C183" s="1462"/>
      <c r="D183" s="1436"/>
      <c r="E183" s="495"/>
      <c r="F183" s="1186"/>
      <c r="G183" s="1176"/>
      <c r="H183" s="1378"/>
      <c r="I183" s="1428"/>
      <c r="J183" s="1387"/>
      <c r="K183" s="1292"/>
      <c r="L183" s="1293"/>
      <c r="M183" s="1293"/>
      <c r="N183" s="1293"/>
      <c r="O183" s="1293"/>
      <c r="P183" s="1293"/>
      <c r="Q183" s="1293"/>
      <c r="R183" s="1293"/>
      <c r="S183" s="1293"/>
    </row>
    <row r="184" ht="15.75" customHeight="1">
      <c r="A184" s="1461"/>
      <c r="B184" s="1461"/>
      <c r="C184" s="659"/>
      <c r="D184" s="802"/>
      <c r="E184" s="18"/>
      <c r="F184" s="1249"/>
      <c r="G184" s="630"/>
      <c r="H184" s="622"/>
      <c r="I184" s="1318"/>
      <c r="J184" s="1463"/>
      <c r="K184" s="1292"/>
      <c r="L184" s="1293"/>
      <c r="M184" s="1293"/>
      <c r="N184" s="1293"/>
      <c r="O184" s="1287"/>
      <c r="P184" s="1287"/>
      <c r="Q184" s="1287"/>
      <c r="R184" s="155"/>
      <c r="S184" s="155"/>
    </row>
    <row r="185" ht="15.75" customHeight="1">
      <c r="A185" s="1464"/>
      <c r="B185" s="1464"/>
      <c r="C185" s="659"/>
      <c r="D185" s="492"/>
      <c r="E185" s="247"/>
      <c r="F185" s="1244"/>
      <c r="G185" s="41"/>
      <c r="H185" s="1042"/>
      <c r="I185" s="1465"/>
      <c r="J185" s="306"/>
      <c r="K185" s="1292"/>
      <c r="L185" s="1293"/>
      <c r="M185" s="1293"/>
      <c r="N185" s="1293"/>
      <c r="O185" s="1287"/>
      <c r="P185" s="1287"/>
      <c r="Q185" s="1287"/>
      <c r="R185" s="155"/>
      <c r="S185" s="155"/>
    </row>
    <row r="186" ht="15.75" customHeight="1">
      <c r="A186" s="1461"/>
      <c r="B186" s="1461"/>
      <c r="C186" s="659"/>
      <c r="D186" s="802"/>
      <c r="E186" s="23"/>
      <c r="F186" s="23"/>
      <c r="G186" s="28"/>
      <c r="H186" s="767"/>
      <c r="I186" s="1428"/>
      <c r="J186" s="1354"/>
      <c r="K186" s="1292"/>
      <c r="L186" s="1293"/>
      <c r="M186" s="1293"/>
      <c r="N186" s="1293"/>
      <c r="O186" s="1287"/>
      <c r="P186" s="1287"/>
      <c r="Q186" s="1287"/>
      <c r="R186" s="155"/>
      <c r="S186" s="155"/>
    </row>
    <row r="187" ht="15.75" customHeight="1">
      <c r="A187" s="1461"/>
      <c r="B187" s="1461"/>
      <c r="C187" s="659"/>
      <c r="D187" s="1456"/>
      <c r="E187" s="22"/>
      <c r="F187" s="41"/>
      <c r="G187" s="208"/>
      <c r="H187" s="41"/>
      <c r="I187" s="1428"/>
      <c r="J187" s="1354"/>
      <c r="K187" s="1292"/>
      <c r="L187" s="1293"/>
      <c r="M187" s="1293"/>
      <c r="N187" s="1293"/>
      <c r="O187" s="1293"/>
      <c r="P187" s="1293"/>
      <c r="Q187" s="1293"/>
      <c r="R187" s="1293"/>
      <c r="S187" s="1293"/>
    </row>
    <row r="188" ht="15.75" customHeight="1">
      <c r="A188" s="1461"/>
      <c r="B188" s="1461"/>
      <c r="C188" s="659"/>
      <c r="D188" s="1026"/>
      <c r="E188" s="41"/>
      <c r="F188" s="474"/>
      <c r="G188" s="22"/>
      <c r="H188" s="166"/>
      <c r="I188" s="1428"/>
      <c r="J188" s="1466"/>
      <c r="K188" s="1292"/>
      <c r="L188" s="1293"/>
      <c r="M188" s="1293"/>
      <c r="N188" s="1293"/>
      <c r="O188" s="1287"/>
      <c r="P188" s="1287"/>
      <c r="Q188" s="1287"/>
      <c r="R188" s="155"/>
      <c r="S188" s="155"/>
    </row>
    <row r="189" ht="15.75" customHeight="1">
      <c r="A189" s="1461"/>
      <c r="B189" s="1461"/>
      <c r="C189" s="659"/>
      <c r="D189" s="1467"/>
      <c r="E189" s="21"/>
      <c r="F189" s="244"/>
      <c r="G189" s="309"/>
      <c r="H189" s="1450"/>
      <c r="I189" s="1428"/>
      <c r="J189" s="780"/>
      <c r="K189" s="1292"/>
      <c r="L189" s="1293"/>
      <c r="M189" s="1293"/>
      <c r="N189" s="1293"/>
      <c r="O189" s="1287"/>
      <c r="P189" s="1287"/>
      <c r="Q189" s="1287"/>
      <c r="R189" s="155"/>
      <c r="S189" s="155"/>
    </row>
    <row r="190" ht="15.75" customHeight="1">
      <c r="A190" s="1461"/>
      <c r="B190" s="1461"/>
      <c r="C190" s="659"/>
      <c r="D190" s="1456"/>
      <c r="E190" s="1468"/>
      <c r="F190" s="495"/>
      <c r="G190" s="642"/>
      <c r="H190" s="608"/>
      <c r="I190" s="1318"/>
      <c r="J190" s="1361"/>
      <c r="K190" s="1292"/>
      <c r="L190" s="1293"/>
      <c r="M190" s="1293"/>
      <c r="N190" s="1293"/>
      <c r="O190" s="1287"/>
      <c r="P190" s="1287"/>
      <c r="Q190" s="1287"/>
      <c r="R190" s="155"/>
      <c r="S190" s="155"/>
    </row>
    <row r="191" ht="15.75" customHeight="1">
      <c r="A191" s="1464"/>
      <c r="B191" s="1464"/>
      <c r="C191" s="659"/>
      <c r="D191" s="803"/>
      <c r="E191" s="41"/>
      <c r="F191" s="439"/>
      <c r="G191" s="251"/>
      <c r="H191" s="23"/>
      <c r="I191" s="249"/>
      <c r="J191" s="1409"/>
      <c r="K191" s="1313"/>
      <c r="L191" s="1314"/>
      <c r="M191" s="1289"/>
      <c r="N191" s="1287"/>
      <c r="O191" s="1287"/>
      <c r="P191" s="1287"/>
      <c r="Q191" s="1287"/>
      <c r="R191" s="155"/>
      <c r="S191" s="155"/>
    </row>
    <row r="192" ht="15.75" customHeight="1">
      <c r="A192" s="1464"/>
      <c r="B192" s="1464"/>
      <c r="C192" s="659"/>
      <c r="D192" s="1456"/>
      <c r="E192" s="41"/>
      <c r="F192" s="474"/>
      <c r="G192" s="41"/>
      <c r="H192" s="474"/>
      <c r="I192" s="119"/>
      <c r="J192" s="1361"/>
      <c r="K192" s="1292"/>
      <c r="L192" s="1293"/>
      <c r="M192" s="1293"/>
      <c r="N192" s="1293"/>
      <c r="O192" s="1293"/>
      <c r="P192" s="1293"/>
      <c r="Q192" s="1293"/>
      <c r="R192" s="1293"/>
      <c r="S192" s="1293"/>
    </row>
    <row r="193" ht="15.75" customHeight="1">
      <c r="A193" s="1130"/>
      <c r="B193" s="1130"/>
      <c r="C193" s="659"/>
      <c r="D193" s="1456"/>
      <c r="E193" s="41"/>
      <c r="F193" s="541"/>
      <c r="G193" s="41"/>
      <c r="H193" s="41"/>
      <c r="I193" s="41"/>
      <c r="J193" s="1303"/>
      <c r="K193" s="1313"/>
      <c r="L193" s="1315"/>
      <c r="M193" s="1315"/>
      <c r="N193" s="1287"/>
      <c r="O193" s="1287"/>
      <c r="P193" s="1287"/>
      <c r="Q193" s="1287"/>
      <c r="R193" s="155"/>
      <c r="S193" s="155"/>
    </row>
    <row r="194" ht="30.75" customHeight="1">
      <c r="A194" s="1130"/>
      <c r="B194" s="1130"/>
      <c r="C194" s="1129"/>
      <c r="D194" s="1456"/>
      <c r="E194" s="1453"/>
      <c r="F194" s="406"/>
      <c r="G194" s="1469"/>
      <c r="H194" s="25"/>
      <c r="I194" s="41"/>
      <c r="J194" s="1470"/>
      <c r="K194" s="1292"/>
      <c r="L194" s="1293"/>
      <c r="M194" s="1293"/>
      <c r="N194" s="1293"/>
      <c r="O194" s="1293"/>
      <c r="P194" s="1293"/>
      <c r="Q194" s="1293"/>
      <c r="R194" s="1293"/>
      <c r="S194" s="1293"/>
    </row>
    <row r="195" ht="15.75" customHeight="1">
      <c r="A195" s="1130"/>
      <c r="B195" s="1130"/>
      <c r="C195" s="659"/>
      <c r="D195" s="1456"/>
      <c r="E195" s="23"/>
      <c r="F195" s="1471"/>
      <c r="G195" s="34"/>
      <c r="H195" s="41"/>
      <c r="I195" s="41"/>
      <c r="J195" s="1472"/>
      <c r="K195" s="1292"/>
      <c r="L195" s="1293"/>
      <c r="M195" s="1293"/>
      <c r="N195" s="1293"/>
      <c r="O195" s="1293"/>
      <c r="P195" s="1293"/>
      <c r="Q195" s="1293"/>
      <c r="R195" s="1293"/>
      <c r="S195" s="1293"/>
    </row>
    <row r="196" ht="15.75" customHeight="1">
      <c r="A196" s="1130"/>
      <c r="B196" s="1130"/>
      <c r="C196" s="659"/>
      <c r="D196" s="1456"/>
      <c r="E196" s="1330"/>
      <c r="F196" s="1330"/>
      <c r="G196" s="1330"/>
      <c r="H196" s="1330"/>
      <c r="I196" s="41"/>
      <c r="J196" s="1454"/>
      <c r="K196" s="1292"/>
      <c r="L196" s="1293"/>
      <c r="M196" s="1293"/>
      <c r="N196" s="1293"/>
      <c r="O196" s="1293"/>
      <c r="P196" s="1293"/>
      <c r="Q196" s="1293"/>
      <c r="R196" s="1293"/>
      <c r="S196" s="1293"/>
    </row>
    <row r="197" ht="15.75" customHeight="1">
      <c r="A197" s="1130"/>
      <c r="B197" s="1130"/>
      <c r="C197" s="659"/>
      <c r="D197" s="633"/>
      <c r="E197" s="589"/>
      <c r="F197" s="534"/>
      <c r="G197" s="621"/>
      <c r="H197" s="608"/>
      <c r="I197" s="41"/>
      <c r="J197" s="1473"/>
      <c r="K197" s="1292"/>
      <c r="L197" s="1293"/>
      <c r="M197" s="1293"/>
      <c r="N197" s="1293"/>
      <c r="O197" s="1293"/>
      <c r="P197" s="1293"/>
      <c r="Q197" s="1293"/>
      <c r="R197" s="1293"/>
      <c r="S197" s="1293"/>
    </row>
    <row r="198" ht="15.75" customHeight="1">
      <c r="A198" s="1130"/>
      <c r="B198" s="1130"/>
      <c r="C198" s="659"/>
      <c r="D198" s="1474"/>
      <c r="E198" s="300"/>
      <c r="F198" s="455"/>
      <c r="G198" s="455"/>
      <c r="H198" s="681"/>
      <c r="I198" s="41"/>
      <c r="J198" s="1475"/>
      <c r="K198" s="1292"/>
      <c r="L198" s="1293"/>
      <c r="M198" s="1293"/>
      <c r="N198" s="1293"/>
      <c r="O198" s="1293"/>
      <c r="P198" s="1293"/>
      <c r="Q198" s="1293"/>
      <c r="R198" s="1293"/>
      <c r="S198" s="1293"/>
    </row>
    <row r="199" ht="15.75" customHeight="1">
      <c r="A199" s="1130"/>
      <c r="B199" s="1130"/>
      <c r="C199" s="659"/>
      <c r="D199" s="1456"/>
      <c r="E199" s="41"/>
      <c r="F199" s="414"/>
      <c r="G199" s="166"/>
      <c r="H199" s="41"/>
      <c r="I199" s="41"/>
      <c r="J199" s="1476"/>
      <c r="K199" s="1292"/>
      <c r="L199" s="1293"/>
      <c r="M199" s="1293"/>
      <c r="N199" s="1293"/>
      <c r="O199" s="1293"/>
      <c r="P199" s="1293"/>
      <c r="Q199" s="1293"/>
      <c r="R199" s="1293"/>
      <c r="S199" s="1293"/>
    </row>
    <row r="200" ht="15.75" customHeight="1">
      <c r="A200" s="1130"/>
      <c r="B200" s="1130"/>
      <c r="C200" s="659"/>
      <c r="D200" s="1456"/>
      <c r="E200" s="168"/>
      <c r="F200" s="409"/>
      <c r="G200" s="1232"/>
      <c r="H200" s="1318"/>
      <c r="I200" s="41"/>
      <c r="J200" s="1303"/>
      <c r="K200" s="1292"/>
      <c r="L200" s="1293"/>
      <c r="M200" s="1293"/>
      <c r="N200" s="1293"/>
      <c r="O200" s="1287"/>
      <c r="P200" s="1287"/>
      <c r="Q200" s="1287"/>
      <c r="R200" s="155"/>
      <c r="S200" s="155"/>
    </row>
    <row r="201" ht="15.75" customHeight="1">
      <c r="A201" s="1130"/>
      <c r="B201" s="1130"/>
      <c r="C201" s="659"/>
      <c r="D201" s="1456"/>
      <c r="E201" s="247"/>
      <c r="F201" s="1244"/>
      <c r="G201" s="1330"/>
      <c r="H201" s="1330"/>
      <c r="I201" s="1215"/>
      <c r="J201" s="1477"/>
      <c r="K201" s="1292"/>
      <c r="L201" s="1293"/>
      <c r="M201" s="1293"/>
      <c r="N201" s="1293"/>
      <c r="O201" s="1287"/>
      <c r="P201" s="1287"/>
      <c r="Q201" s="1287"/>
      <c r="R201" s="155"/>
      <c r="S201" s="155"/>
    </row>
    <row r="202" ht="15.75" customHeight="1">
      <c r="A202" s="1130"/>
      <c r="B202" s="1130"/>
      <c r="C202" s="659"/>
      <c r="D202" s="1456"/>
      <c r="E202" s="247"/>
      <c r="F202" s="632"/>
      <c r="G202" s="637"/>
      <c r="H202" s="166"/>
      <c r="I202" s="166"/>
      <c r="J202" s="1303"/>
      <c r="K202" s="1292"/>
      <c r="L202" s="1293"/>
      <c r="M202" s="1293"/>
      <c r="N202" s="1293"/>
      <c r="O202" s="1287"/>
      <c r="P202" s="1287"/>
      <c r="Q202" s="1287"/>
      <c r="R202" s="155"/>
      <c r="S202" s="155"/>
    </row>
    <row r="203" ht="15.75" customHeight="1">
      <c r="A203" s="1130"/>
      <c r="B203" s="1130"/>
      <c r="C203" s="659"/>
      <c r="D203" s="1456"/>
      <c r="E203" s="247"/>
      <c r="F203" s="474"/>
      <c r="G203" s="41"/>
      <c r="H203" s="1478"/>
      <c r="I203" s="41"/>
      <c r="J203" s="171"/>
      <c r="K203" s="1292"/>
      <c r="L203" s="1293"/>
      <c r="M203" s="1293"/>
      <c r="N203" s="1293"/>
      <c r="O203" s="1293"/>
      <c r="P203" s="1293"/>
      <c r="Q203" s="1293"/>
      <c r="R203" s="1293"/>
      <c r="S203" s="1293"/>
    </row>
    <row r="204" ht="15.75" customHeight="1">
      <c r="A204" s="1130"/>
      <c r="B204" s="1130"/>
      <c r="C204" s="659"/>
      <c r="D204" s="1479"/>
      <c r="E204" s="172"/>
      <c r="F204" s="708"/>
      <c r="G204" s="708"/>
      <c r="H204" s="717"/>
      <c r="I204" s="369"/>
      <c r="J204" s="1198"/>
      <c r="K204" s="1292"/>
      <c r="L204" s="1293"/>
      <c r="M204" s="1293"/>
      <c r="N204" s="1293"/>
      <c r="O204" s="1287"/>
      <c r="P204" s="1287"/>
      <c r="Q204" s="1287"/>
      <c r="R204" s="155"/>
      <c r="S204" s="155"/>
    </row>
    <row r="205" ht="15.75" customHeight="1">
      <c r="A205" s="1130"/>
      <c r="B205" s="1130"/>
      <c r="C205" s="659"/>
      <c r="D205" s="1479"/>
      <c r="E205" s="41"/>
      <c r="F205" s="667"/>
      <c r="G205" s="1215"/>
      <c r="H205" s="1215"/>
      <c r="I205" s="1330"/>
      <c r="J205" s="1480"/>
      <c r="K205" s="1292"/>
      <c r="L205" s="1293"/>
      <c r="M205" s="1293"/>
      <c r="N205" s="1293"/>
      <c r="O205" s="1287"/>
      <c r="P205" s="1287"/>
      <c r="Q205" s="1287"/>
      <c r="R205" s="155"/>
      <c r="S205" s="155"/>
    </row>
    <row r="206" ht="15.75" customHeight="1">
      <c r="A206" s="1130"/>
      <c r="B206" s="1130"/>
      <c r="C206" s="659"/>
      <c r="D206" s="1479"/>
      <c r="E206" s="41"/>
      <c r="F206" s="46"/>
      <c r="G206" s="46"/>
      <c r="H206" s="1320"/>
      <c r="I206" s="1330"/>
      <c r="J206" s="1481"/>
      <c r="K206" s="1292"/>
      <c r="L206" s="1293"/>
      <c r="M206" s="1293"/>
      <c r="N206" s="1293"/>
      <c r="O206" s="1287"/>
      <c r="P206" s="1287"/>
      <c r="Q206" s="1287"/>
      <c r="R206" s="155"/>
      <c r="S206" s="155"/>
    </row>
    <row r="207" ht="15.75" customHeight="1">
      <c r="A207" s="1130"/>
      <c r="B207" s="1130"/>
      <c r="C207" s="659"/>
      <c r="D207" s="1482"/>
      <c r="E207" s="41"/>
      <c r="F207" s="1483"/>
      <c r="G207" s="1483"/>
      <c r="H207" s="1372"/>
      <c r="I207" s="1042"/>
      <c r="J207" s="1484"/>
      <c r="K207" s="1362"/>
      <c r="L207" s="1363"/>
      <c r="M207" s="1363"/>
      <c r="N207" s="1287"/>
      <c r="O207" s="1287"/>
      <c r="P207" s="1287"/>
      <c r="Q207" s="137"/>
    </row>
    <row r="208" ht="15.75" customHeight="1">
      <c r="A208" s="1130"/>
      <c r="B208" s="1130"/>
      <c r="C208" s="659"/>
      <c r="D208" s="1456"/>
      <c r="E208" s="41"/>
      <c r="F208" s="166"/>
      <c r="G208" s="166"/>
      <c r="H208" s="166"/>
      <c r="I208" s="41"/>
      <c r="J208" s="1485"/>
      <c r="K208" s="1362"/>
      <c r="L208" s="1363"/>
      <c r="M208" s="1363"/>
      <c r="N208" s="1287"/>
      <c r="O208" s="1287"/>
      <c r="P208" s="1287"/>
      <c r="Q208" s="137"/>
    </row>
    <row r="209" ht="15.75" customHeight="1">
      <c r="A209" s="1268"/>
      <c r="B209" s="1268"/>
      <c r="C209" s="624"/>
      <c r="D209" s="1421"/>
      <c r="E209" s="46"/>
      <c r="F209" s="513"/>
      <c r="G209" s="513"/>
      <c r="H209" s="46"/>
      <c r="I209" s="624"/>
      <c r="J209" s="1486"/>
      <c r="K209" s="1362"/>
      <c r="L209" s="1363"/>
      <c r="M209" s="1363"/>
      <c r="N209" s="1287"/>
      <c r="O209" s="1287"/>
      <c r="P209" s="1287"/>
      <c r="Q209" s="137"/>
    </row>
    <row r="210" ht="15.75" customHeight="1">
      <c r="A210" s="1130"/>
      <c r="B210" s="1130"/>
      <c r="C210" s="659"/>
      <c r="D210" s="1456"/>
      <c r="E210" s="247"/>
      <c r="F210" s="667"/>
      <c r="G210" s="236"/>
      <c r="H210" s="166"/>
      <c r="I210" s="41"/>
      <c r="J210" s="912"/>
      <c r="K210" s="1362"/>
      <c r="L210" s="1363"/>
      <c r="M210" s="1363"/>
      <c r="N210" s="1363"/>
      <c r="O210" s="1363"/>
      <c r="P210" s="1287"/>
      <c r="Q210" s="137"/>
    </row>
    <row r="211" ht="15.75" customHeight="1">
      <c r="A211" s="1130"/>
      <c r="B211" s="1130"/>
      <c r="C211" s="659"/>
      <c r="D211" s="1456"/>
      <c r="E211" s="18"/>
      <c r="F211" s="41"/>
      <c r="G211" s="617"/>
      <c r="H211" s="608"/>
      <c r="I211" s="41"/>
      <c r="J211" s="1487"/>
      <c r="K211" s="1313"/>
      <c r="L211" s="1314"/>
      <c r="M211" s="1289"/>
      <c r="N211" s="1287"/>
      <c r="O211" s="1287"/>
      <c r="P211" s="1287"/>
      <c r="Q211" s="1287"/>
      <c r="R211" s="155"/>
      <c r="S211" s="155"/>
    </row>
    <row r="212" ht="15.75" customHeight="1">
      <c r="A212" s="1488"/>
      <c r="B212" s="1488"/>
      <c r="C212" s="1489"/>
      <c r="D212" s="1490"/>
      <c r="E212" s="1491"/>
      <c r="F212" s="1492"/>
      <c r="G212" s="1493"/>
      <c r="H212" s="66"/>
      <c r="I212" s="1494"/>
      <c r="J212" s="1495"/>
      <c r="K212" s="1292"/>
      <c r="L212" s="1293"/>
      <c r="M212" s="1293"/>
      <c r="N212" s="1293"/>
      <c r="O212" s="1293"/>
      <c r="P212" s="1293"/>
      <c r="Q212" s="1293"/>
      <c r="R212" s="1293"/>
      <c r="S212" s="1293"/>
    </row>
    <row r="213" ht="15.75" customHeight="1">
      <c r="A213" s="1488"/>
      <c r="B213" s="1488"/>
      <c r="C213" s="1489"/>
      <c r="D213" s="1496"/>
      <c r="E213" s="1497"/>
      <c r="F213" s="439"/>
      <c r="G213" s="119"/>
      <c r="H213" s="1215"/>
      <c r="I213" s="119"/>
      <c r="J213" s="1419"/>
      <c r="K213" s="1313"/>
      <c r="L213" s="1315"/>
      <c r="M213" s="1315"/>
      <c r="N213" s="1287"/>
      <c r="O213" s="1287"/>
      <c r="P213" s="1287"/>
      <c r="Q213" s="1287"/>
      <c r="R213" s="155"/>
      <c r="S213" s="155"/>
    </row>
    <row r="214" ht="15.75" customHeight="1">
      <c r="A214" s="1488"/>
      <c r="B214" s="1498"/>
      <c r="C214" s="659"/>
      <c r="D214" s="1456"/>
      <c r="E214" s="1499"/>
      <c r="F214" s="667"/>
      <c r="G214" s="498"/>
      <c r="H214" s="1320"/>
      <c r="I214" s="166"/>
      <c r="J214" s="1480"/>
      <c r="K214" s="1292"/>
      <c r="L214" s="1293"/>
      <c r="M214" s="1293"/>
      <c r="N214" s="1293"/>
      <c r="O214" s="1293"/>
      <c r="P214" s="1293"/>
      <c r="Q214" s="1293"/>
      <c r="R214" s="1293"/>
      <c r="S214" s="1293"/>
    </row>
    <row r="215" ht="15.75" customHeight="1">
      <c r="A215" s="1488"/>
      <c r="B215" s="1498"/>
      <c r="C215" s="659"/>
      <c r="D215" s="1456"/>
      <c r="E215" s="1499"/>
      <c r="F215" s="439"/>
      <c r="G215" s="440"/>
      <c r="H215" s="1330"/>
      <c r="I215" s="166"/>
      <c r="J215" s="1480"/>
      <c r="K215" s="1292"/>
      <c r="L215" s="1293"/>
      <c r="M215" s="1293"/>
      <c r="N215" s="1293"/>
      <c r="O215" s="1293"/>
      <c r="P215" s="1293"/>
      <c r="Q215" s="1293"/>
      <c r="R215" s="1293"/>
      <c r="S215" s="1293"/>
    </row>
    <row r="216" ht="15.75" customHeight="1">
      <c r="A216" s="1488"/>
      <c r="B216" s="1498"/>
      <c r="C216" s="659"/>
      <c r="D216" s="1479"/>
      <c r="E216" s="157"/>
      <c r="F216" s="119"/>
      <c r="G216" s="22"/>
      <c r="H216" s="119"/>
      <c r="I216" s="109"/>
      <c r="J216" s="1500"/>
      <c r="K216" s="1292"/>
      <c r="L216" s="1293"/>
      <c r="M216" s="1293"/>
      <c r="N216" s="1293"/>
      <c r="O216" s="1293"/>
      <c r="P216" s="1293"/>
      <c r="Q216" s="1293"/>
      <c r="R216" s="1293"/>
      <c r="S216" s="1293"/>
    </row>
    <row r="217" ht="15.75" customHeight="1">
      <c r="A217" s="1488"/>
      <c r="B217" s="1498"/>
      <c r="C217" s="659"/>
      <c r="D217" s="1456"/>
      <c r="E217" s="41"/>
      <c r="F217" s="474"/>
      <c r="G217" s="22"/>
      <c r="H217" s="474"/>
      <c r="I217" s="166"/>
      <c r="J217" s="1501"/>
      <c r="K217" s="1292"/>
      <c r="L217" s="1293"/>
      <c r="M217" s="1293"/>
      <c r="N217" s="1293"/>
      <c r="O217" s="1293"/>
      <c r="P217" s="1293"/>
      <c r="Q217" s="1293"/>
      <c r="R217" s="1293"/>
      <c r="S217" s="1293"/>
    </row>
    <row r="218" ht="15.75" customHeight="1">
      <c r="A218" s="1488"/>
      <c r="B218" s="1498"/>
      <c r="C218" s="659"/>
      <c r="D218" s="1456"/>
      <c r="E218" s="34"/>
      <c r="F218" s="1308"/>
      <c r="G218" s="1308"/>
      <c r="H218" s="1244"/>
      <c r="I218" s="1308"/>
      <c r="J218" s="1502"/>
      <c r="K218" s="1292"/>
      <c r="L218" s="1293"/>
      <c r="M218" s="1293"/>
      <c r="N218" s="1293"/>
      <c r="O218" s="1293"/>
      <c r="P218" s="1293"/>
      <c r="Q218" s="1293"/>
      <c r="R218" s="1293"/>
      <c r="S218" s="1293"/>
    </row>
    <row r="219" ht="15.75" customHeight="1">
      <c r="A219" s="1488"/>
      <c r="B219" s="1498"/>
      <c r="C219" s="659"/>
      <c r="D219" s="1456"/>
      <c r="E219" s="21"/>
      <c r="F219" s="1318"/>
      <c r="G219" s="1209"/>
      <c r="H219" s="1318"/>
      <c r="I219" s="166"/>
      <c r="J219" s="1503"/>
      <c r="K219" s="1292"/>
      <c r="L219" s="1293"/>
      <c r="M219" s="1293"/>
      <c r="N219" s="1293"/>
      <c r="O219" s="1293"/>
      <c r="P219" s="1293"/>
      <c r="Q219" s="1293"/>
      <c r="R219" s="1293"/>
      <c r="S219" s="1293"/>
    </row>
    <row r="220" ht="15.75" customHeight="1">
      <c r="A220" s="1488"/>
      <c r="B220" s="1498"/>
      <c r="C220" s="659"/>
      <c r="D220" s="1456"/>
      <c r="E220" s="157"/>
      <c r="F220" s="247"/>
      <c r="G220" s="166"/>
      <c r="H220" s="41"/>
      <c r="I220" s="889"/>
      <c r="J220" s="1504"/>
      <c r="K220" s="1292"/>
      <c r="L220" s="1293"/>
      <c r="M220" s="1293"/>
      <c r="N220" s="1293"/>
      <c r="O220" s="1287"/>
      <c r="P220" s="1287"/>
      <c r="Q220" s="1287"/>
      <c r="R220" s="155"/>
      <c r="S220" s="155"/>
    </row>
    <row r="221" ht="15.75" customHeight="1">
      <c r="A221" s="1488"/>
      <c r="B221" s="1498"/>
      <c r="C221" s="659"/>
      <c r="D221" s="1456"/>
      <c r="E221" s="41"/>
      <c r="F221" s="22"/>
      <c r="G221" s="22"/>
      <c r="H221" s="41"/>
      <c r="I221" s="166"/>
      <c r="J221" s="35"/>
      <c r="K221" s="1292"/>
      <c r="L221" s="1293"/>
      <c r="M221" s="1293"/>
      <c r="N221" s="1293"/>
      <c r="O221" s="1287"/>
      <c r="P221" s="1287"/>
      <c r="Q221" s="1287"/>
      <c r="R221" s="155"/>
      <c r="S221" s="155"/>
    </row>
    <row r="222" ht="30.0" customHeight="1">
      <c r="A222" s="1488"/>
      <c r="B222" s="1498"/>
      <c r="C222" s="659"/>
      <c r="D222" s="1456"/>
      <c r="E222" s="599"/>
      <c r="F222" s="624"/>
      <c r="G222" s="514"/>
      <c r="H222" s="717"/>
      <c r="I222" s="1348"/>
      <c r="J222" s="1505"/>
      <c r="K222" s="1292"/>
      <c r="L222" s="1293"/>
      <c r="M222" s="1293"/>
      <c r="N222" s="1293"/>
      <c r="O222" s="1287"/>
      <c r="P222" s="1287"/>
      <c r="Q222" s="1287"/>
      <c r="R222" s="155"/>
      <c r="S222" s="155"/>
    </row>
    <row r="223" ht="15.75" customHeight="1">
      <c r="A223" s="1488"/>
      <c r="B223" s="1498"/>
      <c r="C223" s="659"/>
      <c r="D223" s="1456"/>
      <c r="E223" s="135"/>
      <c r="F223" s="535"/>
      <c r="G223" s="636"/>
      <c r="H223" s="194"/>
      <c r="I223" s="1506"/>
      <c r="J223" s="1454"/>
      <c r="K223" s="1292"/>
      <c r="L223" s="1293"/>
      <c r="M223" s="1293"/>
      <c r="N223" s="1293"/>
      <c r="O223" s="1293"/>
      <c r="P223" s="1293"/>
      <c r="Q223" s="1293"/>
      <c r="R223" s="1293"/>
      <c r="S223" s="1293"/>
    </row>
    <row r="224" ht="15.75" customHeight="1">
      <c r="A224" s="1130"/>
      <c r="B224" s="1130"/>
      <c r="C224" s="659"/>
      <c r="D224" s="1507"/>
      <c r="E224" s="41"/>
      <c r="F224" s="530"/>
      <c r="G224" s="617"/>
      <c r="H224" s="471"/>
      <c r="I224" s="324"/>
      <c r="J224" s="1508"/>
      <c r="K224" s="1292"/>
      <c r="L224" s="1293"/>
      <c r="M224" s="1293"/>
      <c r="N224" s="1293"/>
      <c r="O224" s="1287"/>
      <c r="P224" s="1287"/>
      <c r="Q224" s="1287"/>
      <c r="R224" s="155"/>
      <c r="S224" s="155"/>
    </row>
    <row r="225" ht="15.75" customHeight="1">
      <c r="A225" s="1130"/>
      <c r="B225" s="1130"/>
      <c r="C225" s="659"/>
      <c r="D225" s="1509"/>
      <c r="E225" s="22"/>
      <c r="F225" s="543"/>
      <c r="G225" s="1510"/>
      <c r="H225" s="41"/>
      <c r="I225" s="324"/>
      <c r="J225" s="1511"/>
      <c r="K225" s="1292"/>
      <c r="L225" s="1293"/>
      <c r="M225" s="1293"/>
      <c r="N225" s="1293"/>
      <c r="O225" s="1287"/>
      <c r="P225" s="1287"/>
      <c r="Q225" s="1287"/>
      <c r="R225" s="155"/>
      <c r="S225" s="155"/>
    </row>
    <row r="226" ht="15.75" customHeight="1">
      <c r="A226" s="1130"/>
      <c r="B226" s="1130"/>
      <c r="C226" s="659"/>
      <c r="D226" s="1512"/>
      <c r="E226" s="1042"/>
      <c r="F226" s="439"/>
      <c r="G226" s="498"/>
      <c r="H226" s="474"/>
      <c r="I226" s="324"/>
      <c r="J226" s="1513"/>
      <c r="K226" s="1292"/>
      <c r="L226" s="1293"/>
      <c r="M226" s="1293"/>
      <c r="N226" s="1293"/>
      <c r="O226" s="1287"/>
      <c r="P226" s="1287"/>
      <c r="Q226" s="1287"/>
      <c r="R226" s="155"/>
      <c r="S226" s="155"/>
    </row>
    <row r="227" ht="15.75" customHeight="1">
      <c r="A227" s="1130"/>
      <c r="B227" s="1130"/>
      <c r="C227" s="659"/>
      <c r="D227" s="1456"/>
      <c r="E227" s="22"/>
      <c r="F227" s="1042"/>
      <c r="G227" s="1320"/>
      <c r="H227" s="1450"/>
      <c r="I227" s="166"/>
      <c r="J227" s="1514"/>
      <c r="K227" s="1362"/>
      <c r="L227" s="1287"/>
      <c r="M227" s="1287"/>
      <c r="N227" s="1287"/>
      <c r="O227" s="1287"/>
      <c r="P227" s="1287"/>
      <c r="Q227" s="137"/>
    </row>
    <row r="228" ht="15.75" customHeight="1">
      <c r="A228" s="1130"/>
      <c r="B228" s="1130"/>
      <c r="C228" s="659"/>
      <c r="D228" s="1456"/>
      <c r="E228" s="1042"/>
      <c r="F228" s="41"/>
      <c r="G228" s="1515"/>
      <c r="H228" s="1042"/>
      <c r="I228" s="166"/>
      <c r="J228" s="1516"/>
      <c r="K228" s="1362"/>
      <c r="L228" s="1363"/>
      <c r="M228" s="1363"/>
      <c r="N228" s="1287"/>
      <c r="O228" s="1287"/>
      <c r="P228" s="1287"/>
      <c r="Q228" s="137"/>
    </row>
    <row r="229" ht="15.75" customHeight="1">
      <c r="A229" s="1130"/>
      <c r="B229" s="1130"/>
      <c r="C229" s="659"/>
      <c r="D229" s="1456"/>
      <c r="E229" s="41"/>
      <c r="F229" s="1517"/>
      <c r="G229" s="1330"/>
      <c r="H229" s="1311"/>
      <c r="I229" s="41"/>
      <c r="J229" s="1296"/>
      <c r="K229" s="1362"/>
      <c r="L229" s="1363"/>
      <c r="M229" s="1363"/>
      <c r="N229" s="1287"/>
      <c r="O229" s="1287"/>
      <c r="P229" s="1287"/>
      <c r="Q229" s="137"/>
    </row>
    <row r="230" ht="15.75" customHeight="1">
      <c r="A230" s="1130"/>
      <c r="B230" s="1130"/>
      <c r="C230" s="659"/>
      <c r="D230" s="1456"/>
      <c r="E230" s="518"/>
      <c r="F230" s="1308"/>
      <c r="G230" s="1207"/>
      <c r="H230" s="1511"/>
      <c r="I230" s="41"/>
      <c r="J230" s="1517"/>
      <c r="K230" s="1313"/>
      <c r="L230" s="1314"/>
      <c r="M230" s="1289"/>
      <c r="N230" s="1287"/>
      <c r="O230" s="1287"/>
      <c r="P230" s="1287"/>
      <c r="Q230" s="1287"/>
      <c r="R230" s="155"/>
      <c r="S230" s="155"/>
    </row>
    <row r="231" ht="15.75" customHeight="1">
      <c r="A231" s="1130"/>
      <c r="B231" s="1130"/>
      <c r="C231" s="659"/>
      <c r="D231" s="768"/>
      <c r="E231" s="41"/>
      <c r="F231" s="1518"/>
      <c r="G231" s="1518"/>
      <c r="H231" s="41"/>
      <c r="I231" s="22"/>
      <c r="J231" s="1296"/>
      <c r="K231" s="1292"/>
      <c r="L231" s="1293"/>
      <c r="M231" s="1293"/>
      <c r="N231" s="1293"/>
      <c r="O231" s="1293"/>
      <c r="P231" s="1293"/>
      <c r="Q231" s="1293"/>
      <c r="R231" s="1293"/>
      <c r="S231" s="1293"/>
    </row>
    <row r="232" ht="26.25" customHeight="1">
      <c r="A232" s="1099"/>
      <c r="B232" s="22"/>
      <c r="C232" s="22"/>
      <c r="D232" s="1411"/>
      <c r="E232" s="22"/>
      <c r="F232" s="1355"/>
      <c r="G232" s="749"/>
      <c r="H232" s="1284"/>
      <c r="I232" s="22"/>
      <c r="J232" s="1291"/>
      <c r="K232" s="1313"/>
      <c r="L232" s="1315"/>
      <c r="M232" s="1315"/>
      <c r="N232" s="1287"/>
      <c r="O232" s="1287"/>
      <c r="P232" s="1287"/>
      <c r="Q232" s="1287"/>
      <c r="R232" s="155"/>
      <c r="S232" s="155"/>
      <c r="T232" s="1287"/>
      <c r="U232" s="1287"/>
      <c r="V232" s="1287"/>
      <c r="W232" s="1287"/>
      <c r="X232" s="1287"/>
      <c r="Y232" s="1287"/>
      <c r="Z232" s="1287"/>
    </row>
    <row r="233" ht="25.5" customHeight="1">
      <c r="A233" s="1099"/>
      <c r="B233" s="22"/>
      <c r="C233" s="1519"/>
      <c r="D233" s="1520"/>
      <c r="E233" s="22"/>
      <c r="F233" s="505"/>
      <c r="G233" s="1521"/>
      <c r="H233" s="1284"/>
      <c r="I233" s="166"/>
      <c r="J233" s="1291"/>
      <c r="K233" s="1292"/>
      <c r="L233" s="1293"/>
      <c r="M233" s="1293"/>
      <c r="N233" s="1293"/>
      <c r="O233" s="1293"/>
      <c r="P233" s="1293"/>
      <c r="Q233" s="1293"/>
      <c r="R233" s="1293"/>
      <c r="S233" s="1293"/>
      <c r="T233" s="1287"/>
      <c r="U233" s="1287"/>
      <c r="V233" s="1287"/>
      <c r="W233" s="1287"/>
      <c r="X233" s="1287"/>
      <c r="Y233" s="1287"/>
      <c r="Z233" s="1522" t="s">
        <v>2378</v>
      </c>
    </row>
    <row r="234" ht="15.75" customHeight="1">
      <c r="A234" s="1099"/>
      <c r="B234" s="22"/>
      <c r="C234" s="22"/>
      <c r="D234" s="1411"/>
      <c r="E234" s="22"/>
      <c r="F234" s="474"/>
      <c r="G234" s="166"/>
      <c r="H234" s="1284"/>
      <c r="I234" s="22"/>
      <c r="J234" s="1291"/>
      <c r="K234" s="1292"/>
      <c r="L234" s="1293"/>
      <c r="M234" s="1293"/>
      <c r="N234" s="1293"/>
      <c r="O234" s="1293"/>
      <c r="P234" s="1293"/>
      <c r="Q234" s="1293"/>
      <c r="R234" s="1293"/>
      <c r="S234" s="1293"/>
    </row>
    <row r="235" ht="15.75" customHeight="1">
      <c r="A235" s="1099"/>
      <c r="B235" s="22"/>
      <c r="C235" s="63"/>
      <c r="D235" s="768"/>
      <c r="E235" s="607"/>
      <c r="F235" s="1523"/>
      <c r="G235" s="1523"/>
      <c r="H235" s="1524"/>
      <c r="I235" s="166"/>
      <c r="J235" s="963"/>
      <c r="K235" s="1292"/>
      <c r="L235" s="1293"/>
      <c r="M235" s="1293"/>
      <c r="N235" s="1293"/>
      <c r="O235" s="1293"/>
      <c r="P235" s="1293"/>
      <c r="Q235" s="1293"/>
      <c r="R235" s="1293"/>
      <c r="S235" s="1293"/>
    </row>
    <row r="236" ht="15.75" customHeight="1">
      <c r="A236" s="1099"/>
      <c r="B236" s="1129"/>
      <c r="C236" s="659"/>
      <c r="D236" s="1066"/>
      <c r="E236" s="41"/>
      <c r="F236" s="236"/>
      <c r="G236" s="236"/>
      <c r="H236" s="659"/>
      <c r="I236" s="659"/>
      <c r="J236" s="1361"/>
      <c r="K236" s="1292"/>
      <c r="L236" s="1293"/>
      <c r="M236" s="1293"/>
      <c r="N236" s="1293"/>
      <c r="O236" s="1293"/>
      <c r="P236" s="1293"/>
      <c r="Q236" s="1293"/>
      <c r="R236" s="1293"/>
      <c r="S236" s="1293"/>
    </row>
    <row r="237" ht="15.75" customHeight="1">
      <c r="A237" s="1130"/>
      <c r="B237" s="1129"/>
      <c r="C237" s="659"/>
      <c r="D237" s="802"/>
      <c r="E237" s="41"/>
      <c r="F237" s="166"/>
      <c r="G237" s="166"/>
      <c r="H237" s="617"/>
      <c r="I237" s="166"/>
      <c r="J237" s="1525"/>
      <c r="K237" s="1292"/>
      <c r="L237" s="1293"/>
      <c r="M237" s="1293"/>
      <c r="N237" s="1293"/>
      <c r="O237" s="1293"/>
      <c r="P237" s="1293"/>
      <c r="Q237" s="1293"/>
      <c r="R237" s="1293"/>
      <c r="S237" s="1293"/>
    </row>
    <row r="238" ht="15.75" customHeight="1">
      <c r="A238" s="1130"/>
      <c r="B238" s="22"/>
      <c r="C238" s="659"/>
      <c r="D238" s="1167"/>
      <c r="E238" s="23"/>
      <c r="F238" s="34"/>
      <c r="G238" s="34"/>
      <c r="H238" s="617"/>
      <c r="I238" s="166"/>
      <c r="J238" s="1526"/>
      <c r="K238" s="1292"/>
      <c r="L238" s="1293"/>
      <c r="M238" s="1293"/>
      <c r="N238" s="1293"/>
      <c r="O238" s="1293"/>
      <c r="P238" s="1293"/>
      <c r="Q238" s="1293"/>
      <c r="R238" s="1293"/>
      <c r="S238" s="1293"/>
    </row>
    <row r="239" ht="15.75" customHeight="1">
      <c r="A239" s="1099"/>
      <c r="B239" s="260"/>
      <c r="C239" s="507"/>
      <c r="D239" s="1167"/>
      <c r="E239" s="41"/>
      <c r="F239" s="41"/>
      <c r="G239" s="41"/>
      <c r="H239" s="41"/>
      <c r="I239" s="22"/>
      <c r="J239" s="1296"/>
      <c r="K239" s="1292"/>
      <c r="L239" s="1293"/>
      <c r="M239" s="1293"/>
      <c r="N239" s="1293"/>
      <c r="O239" s="1287"/>
      <c r="P239" s="1287"/>
      <c r="Q239" s="1287"/>
      <c r="R239" s="155"/>
      <c r="S239" s="155"/>
    </row>
    <row r="240" ht="15.75" customHeight="1">
      <c r="A240" s="1099"/>
      <c r="B240" s="22"/>
      <c r="C240" s="659"/>
      <c r="D240" s="802"/>
      <c r="E240" s="767"/>
      <c r="F240" s="247"/>
      <c r="G240" s="251"/>
      <c r="H240" s="247"/>
      <c r="I240" s="1527"/>
      <c r="J240" s="1528"/>
      <c r="K240" s="1292"/>
      <c r="L240" s="1293"/>
      <c r="M240" s="1293"/>
      <c r="N240" s="1293"/>
      <c r="O240" s="1287"/>
      <c r="P240" s="1287"/>
      <c r="Q240" s="1287"/>
      <c r="R240" s="155"/>
      <c r="S240" s="155"/>
    </row>
    <row r="241" ht="15.75" customHeight="1">
      <c r="A241" s="1099"/>
      <c r="B241" s="22"/>
      <c r="C241" s="659"/>
      <c r="D241" s="1099"/>
      <c r="E241" s="41"/>
      <c r="F241" s="615"/>
      <c r="G241" s="624"/>
      <c r="H241" s="23"/>
      <c r="I241" s="1529"/>
      <c r="J241" s="1530"/>
      <c r="K241" s="1292"/>
      <c r="L241" s="1293"/>
      <c r="M241" s="1293"/>
      <c r="N241" s="1293"/>
      <c r="O241" s="1287"/>
      <c r="P241" s="1287"/>
      <c r="Q241" s="1287"/>
      <c r="R241" s="155"/>
      <c r="S241" s="155"/>
    </row>
    <row r="242" ht="15.75" customHeight="1">
      <c r="A242" s="1099"/>
      <c r="B242" s="22"/>
      <c r="C242" s="659"/>
      <c r="D242" s="1531"/>
      <c r="E242" s="369"/>
      <c r="F242" s="32"/>
      <c r="G242" s="406"/>
      <c r="H242" s="23"/>
      <c r="I242" s="22"/>
      <c r="J242" s="1296"/>
      <c r="K242" s="1292"/>
      <c r="L242" s="1293"/>
      <c r="M242" s="1293"/>
      <c r="N242" s="1293"/>
      <c r="O242" s="1293"/>
      <c r="P242" s="1293"/>
      <c r="Q242" s="1293"/>
      <c r="R242" s="1293"/>
      <c r="S242" s="1293"/>
    </row>
    <row r="243" ht="15.75" customHeight="1">
      <c r="A243" s="1026"/>
      <c r="B243" s="25"/>
      <c r="C243" s="767"/>
      <c r="D243" s="803"/>
      <c r="E243" s="21"/>
      <c r="F243" s="1532"/>
      <c r="G243" s="22"/>
      <c r="H243" s="1244"/>
      <c r="I243" s="109"/>
      <c r="J243" s="1296"/>
      <c r="K243" s="1292"/>
      <c r="L243" s="1293"/>
      <c r="M243" s="1293"/>
      <c r="N243" s="1293"/>
      <c r="O243" s="1287"/>
      <c r="P243" s="1287"/>
      <c r="Q243" s="1287"/>
      <c r="R243" s="155"/>
      <c r="S243" s="155"/>
    </row>
    <row r="244" ht="15.75" customHeight="1">
      <c r="A244" s="1026"/>
      <c r="B244" s="22"/>
      <c r="C244" s="767"/>
      <c r="D244" s="1167"/>
      <c r="E244" s="767"/>
      <c r="F244" s="678"/>
      <c r="G244" s="692"/>
      <c r="H244" s="1301"/>
      <c r="I244" s="109"/>
      <c r="J244" s="1525"/>
      <c r="K244" s="1292"/>
      <c r="L244" s="1293"/>
      <c r="M244" s="1293"/>
      <c r="N244" s="1293"/>
      <c r="O244" s="1287"/>
      <c r="P244" s="1287"/>
      <c r="Q244" s="1287"/>
      <c r="R244" s="155"/>
      <c r="S244" s="155"/>
    </row>
    <row r="245" ht="15.75" customHeight="1">
      <c r="A245" s="1026"/>
      <c r="B245" s="25"/>
      <c r="C245" s="767"/>
      <c r="D245" s="713"/>
      <c r="E245" s="168"/>
      <c r="F245" s="34"/>
      <c r="G245" s="34"/>
      <c r="H245" s="247"/>
      <c r="I245" s="167"/>
      <c r="J245" s="912"/>
      <c r="K245" s="1292"/>
      <c r="L245" s="1293"/>
      <c r="M245" s="1293"/>
      <c r="N245" s="1293"/>
      <c r="O245" s="1287"/>
      <c r="P245" s="1287"/>
      <c r="Q245" s="1287"/>
      <c r="R245" s="155"/>
      <c r="S245" s="155"/>
    </row>
    <row r="246" ht="15.75" customHeight="1">
      <c r="A246" s="1129"/>
      <c r="B246" s="25"/>
      <c r="C246" s="659"/>
      <c r="D246" s="802"/>
      <c r="E246" s="41"/>
      <c r="F246" s="557"/>
      <c r="G246" s="369"/>
      <c r="H246" s="23"/>
      <c r="I246" s="166"/>
      <c r="J246" s="1525"/>
      <c r="K246" s="1313"/>
      <c r="L246" s="1314"/>
      <c r="M246" s="1289"/>
      <c r="N246" s="1287"/>
      <c r="O246" s="1287"/>
      <c r="P246" s="1287"/>
      <c r="Q246" s="1287"/>
      <c r="R246" s="155"/>
      <c r="S246" s="155"/>
    </row>
    <row r="247" ht="15.75" customHeight="1">
      <c r="A247" s="1130"/>
      <c r="B247" s="1129"/>
      <c r="C247" s="659"/>
      <c r="D247" s="802"/>
      <c r="E247" s="41"/>
      <c r="F247" s="506"/>
      <c r="G247" s="260"/>
      <c r="H247" s="23"/>
      <c r="I247" s="41"/>
      <c r="J247" s="1296"/>
      <c r="K247" s="1292"/>
      <c r="L247" s="1293"/>
      <c r="M247" s="1293"/>
      <c r="N247" s="1293"/>
      <c r="O247" s="1293"/>
      <c r="P247" s="1293"/>
      <c r="Q247" s="1293"/>
      <c r="R247" s="1293"/>
      <c r="S247" s="1293"/>
    </row>
    <row r="248" ht="15.75" customHeight="1">
      <c r="A248" s="1130"/>
      <c r="B248" s="25"/>
      <c r="C248" s="659"/>
      <c r="D248" s="802"/>
      <c r="E248" s="23"/>
      <c r="F248" s="41"/>
      <c r="G248" s="659"/>
      <c r="H248" s="659"/>
      <c r="I248" s="659"/>
      <c r="J248" s="1361"/>
      <c r="K248" s="1313"/>
      <c r="L248" s="1315"/>
      <c r="M248" s="1315"/>
      <c r="N248" s="1287"/>
      <c r="O248" s="1287"/>
      <c r="P248" s="1287"/>
      <c r="Q248" s="1287"/>
      <c r="R248" s="155"/>
      <c r="S248" s="155"/>
    </row>
    <row r="249" ht="15.75" customHeight="1">
      <c r="A249" s="1130"/>
      <c r="B249" s="1129"/>
      <c r="C249" s="659"/>
      <c r="D249" s="1280"/>
      <c r="E249" s="135"/>
      <c r="F249" s="455"/>
      <c r="G249" s="540"/>
      <c r="H249" s="659"/>
      <c r="I249" s="659"/>
      <c r="J249" s="1361"/>
      <c r="K249" s="1292"/>
      <c r="L249" s="1293"/>
      <c r="M249" s="1293"/>
      <c r="N249" s="1293"/>
      <c r="O249" s="1293"/>
      <c r="P249" s="1293"/>
      <c r="Q249" s="1293"/>
      <c r="R249" s="1293"/>
      <c r="S249" s="1293"/>
    </row>
    <row r="250" ht="15.75" customHeight="1">
      <c r="A250" s="1130"/>
      <c r="B250" s="25"/>
      <c r="C250" s="659"/>
      <c r="D250" s="802"/>
      <c r="E250" s="369"/>
      <c r="F250" s="369"/>
      <c r="G250" s="369"/>
      <c r="H250" s="659"/>
      <c r="I250" s="659"/>
      <c r="J250" s="1361"/>
      <c r="K250" s="1292"/>
      <c r="L250" s="1293"/>
      <c r="M250" s="1293"/>
      <c r="N250" s="1293"/>
      <c r="O250" s="1293"/>
      <c r="P250" s="1293"/>
      <c r="Q250" s="1293"/>
      <c r="R250" s="1293"/>
      <c r="S250" s="1293"/>
    </row>
    <row r="251" ht="15.75" customHeight="1">
      <c r="A251" s="1130"/>
      <c r="B251" s="1129"/>
      <c r="C251" s="659"/>
      <c r="D251" s="802"/>
      <c r="E251" s="135"/>
      <c r="F251" s="659"/>
      <c r="G251" s="659"/>
      <c r="H251" s="659"/>
      <c r="I251" s="659"/>
      <c r="J251" s="1361"/>
      <c r="K251" s="1292"/>
      <c r="L251" s="1293"/>
      <c r="M251" s="1293"/>
      <c r="N251" s="1293"/>
      <c r="O251" s="1293"/>
      <c r="P251" s="1293"/>
      <c r="Q251" s="1293"/>
      <c r="R251" s="1293"/>
      <c r="S251" s="1293"/>
    </row>
    <row r="252" ht="15.75" customHeight="1">
      <c r="A252" s="1130"/>
      <c r="B252" s="1129"/>
      <c r="C252" s="659"/>
      <c r="D252" s="802"/>
      <c r="E252" s="135"/>
      <c r="F252" s="659"/>
      <c r="G252" s="659"/>
      <c r="H252" s="659"/>
      <c r="I252" s="659"/>
      <c r="J252" s="1361"/>
      <c r="K252" s="1292"/>
      <c r="L252" s="1293"/>
      <c r="M252" s="1293"/>
      <c r="N252" s="1293"/>
      <c r="O252" s="1293"/>
      <c r="P252" s="1293"/>
      <c r="Q252" s="1293"/>
      <c r="R252" s="1293"/>
      <c r="S252" s="1293"/>
    </row>
    <row r="253" ht="15.75" customHeight="1">
      <c r="A253" s="1130"/>
      <c r="B253" s="25"/>
      <c r="C253" s="659"/>
      <c r="D253" s="802"/>
      <c r="E253" s="135"/>
      <c r="F253" s="659"/>
      <c r="G253" s="668"/>
      <c r="H253" s="659"/>
      <c r="I253" s="659"/>
      <c r="J253" s="1361"/>
      <c r="K253" s="1292"/>
      <c r="L253" s="1293"/>
      <c r="M253" s="1293"/>
      <c r="N253" s="1293"/>
      <c r="O253" s="1293"/>
      <c r="P253" s="1293"/>
      <c r="Q253" s="1293"/>
      <c r="R253" s="1293"/>
      <c r="S253" s="1293"/>
    </row>
    <row r="254" ht="15.75" customHeight="1">
      <c r="A254" s="1130"/>
      <c r="B254" s="1129"/>
      <c r="C254" s="659"/>
      <c r="D254" s="1533"/>
      <c r="E254" s="34"/>
      <c r="F254" s="236"/>
      <c r="G254" s="236"/>
      <c r="H254" s="659"/>
      <c r="I254" s="659"/>
      <c r="J254" s="1361"/>
      <c r="K254" s="1292"/>
      <c r="L254" s="1293"/>
      <c r="M254" s="1293"/>
      <c r="N254" s="1293"/>
      <c r="O254" s="1293"/>
      <c r="P254" s="1293"/>
      <c r="Q254" s="1293"/>
      <c r="R254" s="1293"/>
      <c r="S254" s="1293"/>
    </row>
    <row r="255" ht="15.75" customHeight="1">
      <c r="A255" s="1130"/>
      <c r="B255" s="25"/>
      <c r="C255" s="659"/>
      <c r="D255" s="802"/>
      <c r="E255" s="135"/>
      <c r="F255" s="34"/>
      <c r="G255" s="1386"/>
      <c r="H255" s="659"/>
      <c r="I255" s="659"/>
      <c r="J255" s="1361"/>
      <c r="K255" s="1292"/>
      <c r="L255" s="1293"/>
      <c r="M255" s="1293"/>
      <c r="N255" s="1293"/>
      <c r="O255" s="1287"/>
      <c r="P255" s="1287"/>
      <c r="Q255" s="1287"/>
      <c r="R255" s="155"/>
      <c r="S255" s="155"/>
    </row>
    <row r="256" ht="15.75" customHeight="1">
      <c r="A256" s="1130"/>
      <c r="B256" s="1129"/>
      <c r="C256" s="681"/>
      <c r="D256" s="492"/>
      <c r="E256" s="793"/>
      <c r="F256" s="442"/>
      <c r="G256" s="658"/>
      <c r="H256" s="119"/>
      <c r="I256" s="119"/>
      <c r="J256" s="1389"/>
      <c r="K256" s="1292"/>
      <c r="L256" s="1293"/>
      <c r="M256" s="1293"/>
      <c r="N256" s="1293"/>
      <c r="O256" s="1287"/>
      <c r="P256" s="1287"/>
      <c r="Q256" s="1287"/>
      <c r="R256" s="155"/>
      <c r="S256" s="155"/>
    </row>
    <row r="257" ht="15.75" customHeight="1">
      <c r="A257" s="1130"/>
      <c r="B257" s="1129"/>
      <c r="C257" s="659"/>
      <c r="D257" s="802"/>
      <c r="E257" s="135"/>
      <c r="F257" s="1534"/>
      <c r="G257" s="1535"/>
      <c r="H257" s="659"/>
      <c r="I257" s="659"/>
      <c r="J257" s="1361"/>
      <c r="K257" s="1292"/>
      <c r="L257" s="1293"/>
      <c r="M257" s="1293"/>
      <c r="N257" s="1293"/>
      <c r="O257" s="1287"/>
      <c r="P257" s="1287"/>
      <c r="Q257" s="1287"/>
      <c r="R257" s="155"/>
      <c r="S257" s="155"/>
    </row>
    <row r="258" ht="15.75" customHeight="1">
      <c r="A258" s="1130"/>
      <c r="B258" s="25"/>
      <c r="C258" s="659"/>
      <c r="D258" s="768"/>
      <c r="E258" s="18"/>
      <c r="F258" s="897"/>
      <c r="G258" s="898"/>
      <c r="H258" s="659"/>
      <c r="I258" s="659"/>
      <c r="J258" s="1361"/>
      <c r="K258" s="1292"/>
      <c r="L258" s="1293"/>
      <c r="M258" s="1293"/>
      <c r="N258" s="1293"/>
      <c r="O258" s="1293"/>
      <c r="P258" s="1293"/>
      <c r="Q258" s="1293"/>
      <c r="R258" s="1293"/>
      <c r="S258" s="1293"/>
    </row>
    <row r="259" ht="15.75" customHeight="1">
      <c r="A259" s="1130"/>
      <c r="B259" s="1129"/>
      <c r="C259" s="659"/>
      <c r="D259" s="802"/>
      <c r="E259" s="135"/>
      <c r="F259" s="749"/>
      <c r="G259" s="668"/>
      <c r="H259" s="659"/>
      <c r="I259" s="659"/>
      <c r="J259" s="1361"/>
      <c r="K259" s="1292"/>
      <c r="L259" s="1293"/>
      <c r="M259" s="1293"/>
      <c r="N259" s="1293"/>
      <c r="O259" s="1287"/>
      <c r="P259" s="1287"/>
      <c r="Q259" s="1287"/>
      <c r="R259" s="155"/>
      <c r="S259" s="155"/>
    </row>
    <row r="260" ht="15.75" customHeight="1">
      <c r="A260" s="1130"/>
      <c r="B260" s="1129"/>
      <c r="C260" s="659"/>
      <c r="D260" s="802"/>
      <c r="E260" s="135"/>
      <c r="F260" s="659"/>
      <c r="G260" s="659"/>
      <c r="H260" s="659"/>
      <c r="I260" s="659"/>
      <c r="J260" s="1361"/>
      <c r="K260" s="1292"/>
      <c r="L260" s="1293"/>
      <c r="M260" s="1293"/>
      <c r="N260" s="1293"/>
      <c r="O260" s="1287"/>
      <c r="P260" s="1287"/>
      <c r="Q260" s="1287"/>
      <c r="R260" s="155"/>
      <c r="S260" s="155"/>
    </row>
    <row r="261" ht="15.75" customHeight="1">
      <c r="A261" s="1130"/>
      <c r="B261" s="25"/>
      <c r="C261" s="659"/>
      <c r="D261" s="633"/>
      <c r="E261" s="41"/>
      <c r="F261" s="474"/>
      <c r="G261" s="166"/>
      <c r="H261" s="23"/>
      <c r="I261" s="659"/>
      <c r="J261" s="1361"/>
      <c r="K261" s="1292"/>
      <c r="L261" s="1293"/>
      <c r="M261" s="1293"/>
      <c r="N261" s="1293"/>
      <c r="O261" s="1287"/>
      <c r="P261" s="1287"/>
      <c r="Q261" s="1287"/>
      <c r="R261" s="155"/>
      <c r="S261" s="155"/>
    </row>
    <row r="262" ht="15.75" customHeight="1">
      <c r="A262" s="1130"/>
      <c r="B262" s="1129"/>
      <c r="C262" s="659"/>
      <c r="D262" s="802"/>
      <c r="E262" s="135"/>
      <c r="F262" s="659"/>
      <c r="G262" s="659"/>
      <c r="H262" s="659"/>
      <c r="I262" s="659"/>
      <c r="J262" s="1361"/>
      <c r="K262" s="1313"/>
      <c r="L262" s="1314"/>
      <c r="M262" s="1289"/>
      <c r="N262" s="1287"/>
      <c r="O262" s="1287"/>
      <c r="P262" s="1287"/>
      <c r="Q262" s="1287"/>
      <c r="R262" s="155"/>
      <c r="S262" s="155"/>
    </row>
    <row r="263" ht="15.75" customHeight="1">
      <c r="A263" s="1130"/>
      <c r="B263" s="25"/>
      <c r="C263" s="659"/>
      <c r="D263" s="737"/>
      <c r="E263" s="1267"/>
      <c r="F263" s="369"/>
      <c r="G263" s="369"/>
      <c r="H263" s="659"/>
      <c r="I263" s="659"/>
      <c r="J263" s="1361"/>
      <c r="K263" s="1292"/>
      <c r="L263" s="1293"/>
      <c r="M263" s="1293"/>
      <c r="N263" s="1293"/>
      <c r="O263" s="1293"/>
      <c r="P263" s="1293"/>
      <c r="Q263" s="1293"/>
      <c r="R263" s="1293"/>
      <c r="S263" s="1293"/>
    </row>
    <row r="264" ht="15.75" customHeight="1">
      <c r="A264" s="1130"/>
      <c r="B264" s="1129"/>
      <c r="C264" s="659"/>
      <c r="D264" s="1026"/>
      <c r="E264" s="135"/>
      <c r="F264" s="439"/>
      <c r="G264" s="233"/>
      <c r="H264" s="659"/>
      <c r="I264" s="659"/>
      <c r="J264" s="1361"/>
      <c r="K264" s="1313"/>
      <c r="L264" s="1315"/>
      <c r="M264" s="1315"/>
      <c r="N264" s="1287"/>
      <c r="O264" s="1287"/>
      <c r="P264" s="1287"/>
      <c r="Q264" s="1287"/>
      <c r="R264" s="155"/>
      <c r="S264" s="155"/>
      <c r="T264" s="781"/>
      <c r="U264" s="781"/>
      <c r="V264" s="781"/>
      <c r="W264" s="137"/>
      <c r="X264" s="137"/>
      <c r="Y264" s="137"/>
      <c r="Z264" s="137"/>
    </row>
    <row r="265" ht="15.75" customHeight="1">
      <c r="A265" s="1130"/>
      <c r="B265" s="1129"/>
      <c r="C265" s="659"/>
      <c r="D265" s="802"/>
      <c r="E265" s="135"/>
      <c r="F265" s="659"/>
      <c r="G265" s="659"/>
      <c r="H265" s="659"/>
      <c r="I265" s="659"/>
      <c r="J265" s="1361"/>
      <c r="K265" s="1292"/>
      <c r="L265" s="1293"/>
      <c r="M265" s="1293"/>
      <c r="N265" s="1293"/>
      <c r="O265" s="1293"/>
      <c r="P265" s="1293"/>
      <c r="Q265" s="1293"/>
      <c r="R265" s="1293"/>
      <c r="S265" s="1293"/>
      <c r="T265" s="781"/>
      <c r="U265" s="781"/>
      <c r="V265" s="781"/>
      <c r="W265" s="137"/>
      <c r="X265" s="137"/>
      <c r="Y265" s="137"/>
      <c r="Z265" s="137"/>
    </row>
    <row r="266" ht="15.75" customHeight="1">
      <c r="A266" s="1130"/>
      <c r="B266" s="1129"/>
      <c r="C266" s="659"/>
      <c r="D266" s="802"/>
      <c r="E266" s="135"/>
      <c r="F266" s="659"/>
      <c r="G266" s="659"/>
      <c r="H266" s="659"/>
      <c r="I266" s="659"/>
      <c r="J266" s="1361"/>
      <c r="K266" s="1292"/>
      <c r="L266" s="1293"/>
      <c r="M266" s="1293"/>
      <c r="N266" s="1293"/>
      <c r="O266" s="1293"/>
      <c r="P266" s="1293"/>
      <c r="Q266" s="1293"/>
      <c r="R266" s="1293"/>
      <c r="S266" s="1293"/>
      <c r="T266" s="781"/>
      <c r="U266" s="781"/>
      <c r="V266" s="781"/>
      <c r="W266" s="137"/>
      <c r="X266" s="137"/>
      <c r="Y266" s="137"/>
      <c r="Z266" s="137"/>
    </row>
    <row r="267" ht="15.75" customHeight="1">
      <c r="A267" s="1130"/>
      <c r="B267" s="25"/>
      <c r="C267" s="659"/>
      <c r="D267" s="802"/>
      <c r="E267" s="135"/>
      <c r="F267" s="439"/>
      <c r="G267" s="659"/>
      <c r="H267" s="659"/>
      <c r="I267" s="659"/>
      <c r="J267" s="1361"/>
      <c r="K267" s="1292"/>
      <c r="L267" s="1293"/>
      <c r="M267" s="1293"/>
      <c r="N267" s="1293"/>
      <c r="O267" s="1293"/>
      <c r="P267" s="1293"/>
      <c r="Q267" s="1293"/>
      <c r="R267" s="1293"/>
      <c r="S267" s="1293"/>
      <c r="T267" s="781"/>
      <c r="U267" s="781"/>
      <c r="V267" s="781"/>
      <c r="W267" s="137"/>
      <c r="X267" s="137"/>
      <c r="Y267" s="137"/>
      <c r="Z267" s="137"/>
    </row>
    <row r="268" ht="15.75" customHeight="1">
      <c r="A268" s="1268"/>
      <c r="B268" s="1268"/>
      <c r="C268" s="624"/>
      <c r="D268" s="1269"/>
      <c r="E268" s="1077"/>
      <c r="F268" s="1078"/>
      <c r="G268" s="1078"/>
      <c r="H268" s="1078"/>
      <c r="I268" s="624"/>
      <c r="J268" s="1536"/>
      <c r="K268" s="1292"/>
      <c r="L268" s="1293"/>
      <c r="M268" s="1293"/>
      <c r="N268" s="1293"/>
      <c r="O268" s="1293"/>
      <c r="P268" s="1293"/>
      <c r="Q268" s="1293"/>
      <c r="R268" s="1293"/>
      <c r="S268" s="1293"/>
      <c r="T268" s="947"/>
      <c r="U268" s="947"/>
      <c r="V268" s="947"/>
      <c r="W268" s="661"/>
      <c r="X268" s="661"/>
      <c r="Y268" s="661"/>
      <c r="Z268" s="661"/>
    </row>
    <row r="269" ht="15.75" customHeight="1">
      <c r="A269" s="1268"/>
      <c r="B269" s="1268"/>
      <c r="C269" s="624"/>
      <c r="D269" s="1269"/>
      <c r="E269" s="1077"/>
      <c r="F269" s="1404"/>
      <c r="G269" s="1078"/>
      <c r="H269" s="1078"/>
      <c r="I269" s="624"/>
      <c r="J269" s="1536"/>
      <c r="K269" s="1292"/>
      <c r="L269" s="1293"/>
      <c r="M269" s="1293"/>
      <c r="N269" s="1293"/>
      <c r="O269" s="1293"/>
      <c r="P269" s="1293"/>
      <c r="Q269" s="1293"/>
      <c r="R269" s="1293"/>
      <c r="S269" s="1293"/>
      <c r="T269" s="947"/>
      <c r="U269" s="947"/>
      <c r="V269" s="947"/>
      <c r="W269" s="661"/>
      <c r="X269" s="661"/>
      <c r="Y269" s="661"/>
      <c r="Z269" s="661"/>
    </row>
    <row r="270" ht="15.75" customHeight="1">
      <c r="A270" s="1385"/>
      <c r="B270" s="1385"/>
      <c r="C270" s="234"/>
      <c r="D270" s="815"/>
      <c r="E270" s="1537"/>
      <c r="F270" s="763"/>
      <c r="G270" s="763"/>
      <c r="H270" s="763"/>
      <c r="I270" s="763"/>
      <c r="J270" s="763"/>
      <c r="K270" s="1293"/>
      <c r="L270" s="1293"/>
      <c r="M270" s="1293"/>
      <c r="N270" s="1293"/>
      <c r="O270" s="1293"/>
      <c r="P270" s="1293"/>
      <c r="Q270" s="1293"/>
      <c r="R270" s="1293"/>
      <c r="S270" s="1293"/>
      <c r="T270" s="781"/>
      <c r="U270" s="781"/>
      <c r="V270" s="781"/>
      <c r="W270" s="137"/>
      <c r="X270" s="137"/>
      <c r="Y270" s="137"/>
      <c r="Z270" s="137"/>
    </row>
    <row r="271" ht="15.75" customHeight="1">
      <c r="A271" s="1385"/>
      <c r="B271" s="1385"/>
      <c r="C271" s="234"/>
      <c r="D271" s="815"/>
      <c r="E271" s="1537"/>
      <c r="F271" s="763"/>
      <c r="G271" s="763"/>
      <c r="H271" s="763"/>
      <c r="I271" s="763"/>
      <c r="J271" s="763"/>
      <c r="K271" s="1293"/>
      <c r="L271" s="1293"/>
      <c r="M271" s="1293"/>
      <c r="N271" s="1293"/>
      <c r="O271" s="1287"/>
      <c r="P271" s="1287"/>
      <c r="Q271" s="1287"/>
      <c r="R271" s="155"/>
      <c r="S271" s="155"/>
      <c r="T271" s="781"/>
      <c r="U271" s="781"/>
      <c r="V271" s="781"/>
      <c r="W271" s="137"/>
      <c r="X271" s="137"/>
      <c r="Y271" s="137"/>
      <c r="Z271" s="137"/>
    </row>
    <row r="272" ht="15.75" customHeight="1">
      <c r="A272" s="1385"/>
      <c r="B272" s="1385"/>
      <c r="C272" s="234"/>
      <c r="D272" s="815"/>
      <c r="E272" s="1537"/>
      <c r="F272" s="763"/>
      <c r="G272" s="763"/>
      <c r="H272" s="763"/>
      <c r="I272" s="763"/>
      <c r="J272" s="763"/>
      <c r="K272" s="1293"/>
      <c r="L272" s="1293"/>
      <c r="M272" s="1293"/>
      <c r="N272" s="1293"/>
      <c r="O272" s="1287"/>
      <c r="P272" s="1287"/>
      <c r="Q272" s="1287"/>
      <c r="R272" s="155"/>
      <c r="S272" s="155"/>
      <c r="T272" s="781"/>
      <c r="U272" s="781"/>
      <c r="V272" s="781"/>
      <c r="W272" s="137"/>
      <c r="X272" s="137"/>
      <c r="Y272" s="137"/>
      <c r="Z272" s="137"/>
    </row>
    <row r="273" ht="15.75" customHeight="1">
      <c r="A273" s="1385"/>
      <c r="B273" s="1385"/>
      <c r="C273" s="234"/>
      <c r="D273" s="815"/>
      <c r="E273" s="1537"/>
      <c r="F273" s="763"/>
      <c r="G273" s="763"/>
      <c r="H273" s="763"/>
      <c r="I273" s="763"/>
      <c r="J273" s="763"/>
      <c r="K273" s="1293"/>
      <c r="L273" s="1293"/>
      <c r="M273" s="1293"/>
      <c r="N273" s="1293"/>
      <c r="O273" s="1287"/>
      <c r="P273" s="1287"/>
      <c r="Q273" s="1287"/>
      <c r="R273" s="155"/>
      <c r="S273" s="155"/>
      <c r="T273" s="781"/>
      <c r="U273" s="781"/>
      <c r="V273" s="781"/>
      <c r="W273" s="137"/>
      <c r="X273" s="137"/>
      <c r="Y273" s="137"/>
      <c r="Z273" s="137"/>
    </row>
    <row r="274" ht="15.75" customHeight="1">
      <c r="A274" s="1385"/>
      <c r="B274" s="1385"/>
      <c r="C274" s="234"/>
      <c r="D274" s="815"/>
      <c r="E274" s="1537"/>
      <c r="F274" s="763"/>
      <c r="G274" s="763"/>
      <c r="H274" s="763"/>
      <c r="I274" s="763"/>
      <c r="J274" s="763"/>
      <c r="K274" s="1293"/>
      <c r="L274" s="1293"/>
      <c r="M274" s="1293"/>
      <c r="N274" s="1293"/>
      <c r="O274" s="1293"/>
      <c r="P274" s="1293"/>
      <c r="Q274" s="1293"/>
      <c r="R274" s="1293"/>
      <c r="S274" s="1293"/>
      <c r="T274" s="781"/>
      <c r="U274" s="781"/>
      <c r="V274" s="781"/>
      <c r="W274" s="137"/>
      <c r="X274" s="137"/>
      <c r="Y274" s="137"/>
      <c r="Z274" s="137"/>
    </row>
    <row r="275" ht="15.75" customHeight="1">
      <c r="A275" s="1385"/>
      <c r="B275" s="1385"/>
      <c r="C275" s="234"/>
      <c r="D275" s="815"/>
      <c r="E275" s="1537"/>
      <c r="F275" s="763"/>
      <c r="G275" s="763"/>
      <c r="H275" s="763"/>
      <c r="I275" s="763"/>
      <c r="J275" s="763"/>
      <c r="K275" s="1293"/>
      <c r="L275" s="1293"/>
      <c r="M275" s="1293"/>
      <c r="N275" s="1293"/>
      <c r="O275" s="1287"/>
      <c r="P275" s="1287"/>
      <c r="Q275" s="1287"/>
      <c r="R275" s="155"/>
      <c r="S275" s="155"/>
      <c r="T275" s="781"/>
      <c r="U275" s="781"/>
      <c r="V275" s="781"/>
      <c r="W275" s="137"/>
      <c r="X275" s="137"/>
      <c r="Y275" s="137"/>
      <c r="Z275" s="137"/>
    </row>
    <row r="276" ht="15.75" customHeight="1">
      <c r="A276" s="1385"/>
      <c r="B276" s="1385"/>
      <c r="C276" s="234"/>
      <c r="D276" s="815"/>
      <c r="E276" s="1537"/>
      <c r="F276" s="763"/>
      <c r="G276" s="763"/>
      <c r="H276" s="763"/>
      <c r="I276" s="763"/>
      <c r="J276" s="763"/>
      <c r="K276" s="1293"/>
      <c r="L276" s="1293"/>
      <c r="M276" s="1293"/>
      <c r="N276" s="1293"/>
      <c r="O276" s="1287"/>
      <c r="P276" s="1287"/>
      <c r="Q276" s="1287"/>
      <c r="R276" s="155"/>
      <c r="S276" s="155"/>
      <c r="T276" s="781"/>
      <c r="U276" s="781"/>
      <c r="V276" s="781"/>
      <c r="W276" s="137"/>
      <c r="X276" s="137"/>
      <c r="Y276" s="137"/>
      <c r="Z276" s="137"/>
    </row>
    <row r="277" ht="15.75" customHeight="1">
      <c r="A277" s="1385"/>
      <c r="B277" s="1385"/>
      <c r="C277" s="234"/>
      <c r="D277" s="815"/>
      <c r="E277" s="1537"/>
      <c r="F277" s="763"/>
      <c r="G277" s="763"/>
      <c r="H277" s="763"/>
      <c r="I277" s="763"/>
      <c r="J277" s="763"/>
      <c r="K277" s="1293"/>
      <c r="L277" s="1293"/>
      <c r="M277" s="1293"/>
      <c r="N277" s="1293"/>
      <c r="O277" s="1287"/>
      <c r="P277" s="1287"/>
      <c r="Q277" s="1287"/>
      <c r="R277" s="155"/>
      <c r="S277" s="155"/>
      <c r="T277" s="781"/>
      <c r="U277" s="781"/>
      <c r="V277" s="781"/>
      <c r="W277" s="137"/>
      <c r="X277" s="137"/>
      <c r="Y277" s="137"/>
      <c r="Z277" s="137"/>
    </row>
    <row r="278" ht="15.75" customHeight="1">
      <c r="A278" s="1385"/>
      <c r="B278" s="1385"/>
      <c r="C278" s="234"/>
      <c r="D278" s="815"/>
      <c r="E278" s="1537"/>
      <c r="F278" s="763"/>
      <c r="G278" s="763"/>
      <c r="H278" s="763"/>
      <c r="I278" s="763"/>
      <c r="J278" s="763"/>
      <c r="K278" s="781"/>
      <c r="L278" s="781"/>
      <c r="M278" s="781"/>
      <c r="N278" s="781"/>
      <c r="O278" s="781"/>
      <c r="P278" s="781"/>
      <c r="Q278" s="781"/>
      <c r="R278" s="781"/>
      <c r="S278" s="781"/>
      <c r="T278" s="781"/>
      <c r="U278" s="781"/>
      <c r="V278" s="781"/>
      <c r="W278" s="137"/>
      <c r="X278" s="137"/>
      <c r="Y278" s="137"/>
      <c r="Z278" s="137"/>
    </row>
    <row r="279" ht="15.75" customHeight="1">
      <c r="A279" s="1385"/>
      <c r="B279" s="1385"/>
      <c r="C279" s="234"/>
      <c r="D279" s="815"/>
      <c r="E279" s="1537"/>
      <c r="F279" s="763"/>
      <c r="G279" s="763"/>
      <c r="H279" s="763"/>
      <c r="I279" s="763"/>
      <c r="J279" s="763"/>
      <c r="K279" s="781"/>
      <c r="L279" s="781"/>
      <c r="M279" s="781"/>
      <c r="N279" s="781"/>
      <c r="O279" s="781"/>
      <c r="P279" s="781"/>
      <c r="Q279" s="781"/>
      <c r="R279" s="781"/>
      <c r="S279" s="781"/>
      <c r="T279" s="781"/>
      <c r="U279" s="781"/>
      <c r="V279" s="781"/>
      <c r="W279" s="137"/>
      <c r="X279" s="137"/>
      <c r="Y279" s="137"/>
      <c r="Z279" s="137"/>
    </row>
    <row r="280" ht="15.75" customHeight="1">
      <c r="A280" s="1385"/>
      <c r="B280" s="1385"/>
      <c r="C280" s="234"/>
      <c r="D280" s="815"/>
      <c r="E280" s="1537"/>
      <c r="F280" s="763"/>
      <c r="G280" s="763"/>
      <c r="H280" s="763"/>
      <c r="I280" s="763"/>
      <c r="J280" s="763"/>
      <c r="K280" s="781"/>
      <c r="L280" s="781"/>
      <c r="M280" s="781"/>
      <c r="N280" s="781"/>
      <c r="O280" s="781"/>
      <c r="P280" s="781"/>
      <c r="Q280" s="781"/>
      <c r="R280" s="781"/>
      <c r="S280" s="781"/>
      <c r="T280" s="781"/>
      <c r="U280" s="781"/>
      <c r="V280" s="781"/>
      <c r="W280" s="137"/>
      <c r="X280" s="137"/>
      <c r="Y280" s="137"/>
      <c r="Z280" s="137"/>
    </row>
    <row r="281" ht="15.75" customHeight="1">
      <c r="A281" s="1385"/>
      <c r="B281" s="1385"/>
      <c r="C281" s="234"/>
      <c r="D281" s="815"/>
      <c r="E281" s="1537"/>
      <c r="F281" s="763"/>
      <c r="G281" s="763"/>
      <c r="H281" s="763"/>
      <c r="I281" s="763"/>
      <c r="J281" s="763"/>
      <c r="K281" s="781"/>
      <c r="L281" s="781"/>
      <c r="M281" s="781"/>
      <c r="N281" s="781"/>
      <c r="O281" s="781"/>
      <c r="P281" s="781"/>
      <c r="Q281" s="781"/>
      <c r="R281" s="781"/>
      <c r="S281" s="781"/>
      <c r="T281" s="781"/>
      <c r="U281" s="781"/>
      <c r="V281" s="781"/>
      <c r="W281" s="137"/>
      <c r="X281" s="137"/>
      <c r="Y281" s="137"/>
      <c r="Z281" s="137"/>
    </row>
    <row r="282" ht="15.75" customHeight="1">
      <c r="A282" s="1385"/>
      <c r="B282" s="1385"/>
      <c r="C282" s="234"/>
      <c r="D282" s="815"/>
      <c r="E282" s="1537"/>
      <c r="F282" s="763"/>
      <c r="G282" s="763"/>
      <c r="H282" s="763"/>
      <c r="I282" s="763"/>
      <c r="J282" s="763"/>
      <c r="K282" s="781"/>
      <c r="L282" s="781"/>
      <c r="M282" s="781"/>
      <c r="N282" s="781"/>
      <c r="O282" s="781"/>
      <c r="P282" s="781"/>
      <c r="Q282" s="781"/>
      <c r="R282" s="781"/>
      <c r="S282" s="781"/>
      <c r="T282" s="781"/>
      <c r="U282" s="781"/>
      <c r="V282" s="781"/>
      <c r="W282" s="137"/>
      <c r="X282" s="137"/>
      <c r="Y282" s="137"/>
      <c r="Z282" s="137"/>
    </row>
    <row r="283" ht="15.75" customHeight="1">
      <c r="A283" s="1385"/>
      <c r="B283" s="1385"/>
      <c r="C283" s="234"/>
      <c r="D283" s="815"/>
      <c r="E283" s="1537"/>
      <c r="F283" s="763"/>
      <c r="G283" s="763"/>
      <c r="H283" s="763"/>
      <c r="I283" s="763"/>
      <c r="J283" s="763"/>
      <c r="K283" s="781"/>
      <c r="L283" s="781"/>
      <c r="M283" s="781"/>
      <c r="N283" s="781"/>
      <c r="O283" s="781"/>
      <c r="P283" s="781"/>
      <c r="Q283" s="781"/>
      <c r="R283" s="781"/>
      <c r="S283" s="781"/>
      <c r="T283" s="781"/>
      <c r="U283" s="781"/>
      <c r="V283" s="781"/>
      <c r="W283" s="137"/>
      <c r="X283" s="137"/>
      <c r="Y283" s="137"/>
      <c r="Z283" s="137"/>
    </row>
    <row r="284" ht="15.75" customHeight="1">
      <c r="A284" s="1385"/>
      <c r="B284" s="1385"/>
      <c r="C284" s="234"/>
      <c r="D284" s="815"/>
      <c r="E284" s="1537"/>
      <c r="F284" s="763"/>
      <c r="G284" s="763"/>
      <c r="H284" s="763"/>
      <c r="I284" s="763"/>
      <c r="J284" s="763"/>
      <c r="K284" s="781"/>
      <c r="L284" s="781"/>
      <c r="M284" s="781"/>
      <c r="N284" s="781"/>
      <c r="O284" s="781"/>
      <c r="P284" s="781"/>
      <c r="Q284" s="781"/>
      <c r="R284" s="781"/>
      <c r="S284" s="781"/>
      <c r="T284" s="781"/>
      <c r="U284" s="781"/>
      <c r="V284" s="781"/>
      <c r="W284" s="137"/>
      <c r="X284" s="137"/>
      <c r="Y284" s="137"/>
      <c r="Z284" s="137"/>
    </row>
    <row r="285" ht="15.75" customHeight="1">
      <c r="A285" s="1385"/>
      <c r="B285" s="1385"/>
      <c r="C285" s="234"/>
      <c r="D285" s="815"/>
      <c r="E285" s="1537"/>
      <c r="F285" s="763"/>
      <c r="G285" s="763"/>
      <c r="H285" s="763"/>
      <c r="I285" s="763"/>
      <c r="J285" s="763"/>
      <c r="K285" s="781"/>
      <c r="L285" s="781"/>
      <c r="M285" s="781"/>
      <c r="N285" s="781"/>
      <c r="O285" s="781"/>
      <c r="P285" s="781"/>
      <c r="Q285" s="781"/>
      <c r="R285" s="781"/>
      <c r="S285" s="781"/>
      <c r="T285" s="781"/>
      <c r="U285" s="781"/>
      <c r="V285" s="781"/>
      <c r="W285" s="137"/>
      <c r="X285" s="137"/>
      <c r="Y285" s="137"/>
      <c r="Z285" s="137"/>
    </row>
    <row r="286" ht="15.75" customHeight="1">
      <c r="A286" s="1385"/>
      <c r="B286" s="1385"/>
      <c r="C286" s="234"/>
      <c r="D286" s="815"/>
      <c r="E286" s="1537"/>
      <c r="F286" s="763"/>
      <c r="G286" s="763"/>
      <c r="H286" s="763"/>
      <c r="I286" s="763"/>
      <c r="J286" s="763"/>
      <c r="K286" s="781"/>
      <c r="L286" s="781"/>
      <c r="M286" s="781"/>
      <c r="N286" s="781"/>
      <c r="O286" s="781"/>
      <c r="P286" s="781"/>
      <c r="Q286" s="781"/>
      <c r="R286" s="781"/>
      <c r="S286" s="781"/>
      <c r="T286" s="781"/>
      <c r="U286" s="781"/>
      <c r="V286" s="781"/>
      <c r="W286" s="137"/>
      <c r="X286" s="137"/>
      <c r="Y286" s="137"/>
      <c r="Z286" s="137"/>
    </row>
    <row r="287" ht="15.75" customHeight="1">
      <c r="A287" s="1385"/>
      <c r="B287" s="1385"/>
      <c r="C287" s="234"/>
      <c r="D287" s="815"/>
      <c r="E287" s="1537"/>
      <c r="F287" s="763"/>
      <c r="G287" s="763"/>
      <c r="H287" s="763"/>
      <c r="I287" s="763"/>
      <c r="J287" s="763"/>
      <c r="K287" s="781"/>
      <c r="L287" s="781"/>
      <c r="M287" s="781"/>
      <c r="N287" s="781"/>
      <c r="O287" s="781"/>
      <c r="P287" s="781"/>
      <c r="Q287" s="781"/>
      <c r="R287" s="781"/>
      <c r="S287" s="781"/>
      <c r="T287" s="781"/>
      <c r="U287" s="781"/>
      <c r="V287" s="781"/>
      <c r="W287" s="137"/>
      <c r="X287" s="137"/>
      <c r="Y287" s="137"/>
      <c r="Z287" s="137"/>
    </row>
    <row r="288" ht="15.75" customHeight="1">
      <c r="A288" s="1385"/>
      <c r="B288" s="1385"/>
      <c r="C288" s="234"/>
      <c r="D288" s="815"/>
      <c r="E288" s="1537"/>
      <c r="F288" s="763"/>
      <c r="G288" s="763"/>
      <c r="H288" s="763"/>
      <c r="I288" s="763"/>
      <c r="J288" s="763"/>
      <c r="K288" s="781"/>
      <c r="L288" s="781"/>
      <c r="M288" s="781"/>
      <c r="N288" s="781"/>
      <c r="O288" s="781"/>
      <c r="P288" s="781"/>
      <c r="Q288" s="781"/>
      <c r="R288" s="781"/>
      <c r="S288" s="781"/>
      <c r="T288" s="781"/>
      <c r="U288" s="781"/>
      <c r="V288" s="781"/>
      <c r="W288" s="137"/>
      <c r="X288" s="137"/>
      <c r="Y288" s="137"/>
      <c r="Z288" s="137"/>
    </row>
    <row r="289" ht="15.75" customHeight="1">
      <c r="A289" s="1385"/>
      <c r="B289" s="1385"/>
      <c r="C289" s="234"/>
      <c r="D289" s="815"/>
      <c r="E289" s="1537"/>
      <c r="F289" s="763"/>
      <c r="G289" s="763"/>
      <c r="H289" s="763"/>
      <c r="I289" s="763"/>
      <c r="J289" s="763"/>
      <c r="K289" s="781"/>
      <c r="L289" s="781"/>
      <c r="M289" s="781"/>
      <c r="N289" s="781"/>
      <c r="O289" s="781"/>
      <c r="P289" s="781"/>
      <c r="Q289" s="781"/>
      <c r="R289" s="781"/>
      <c r="S289" s="781"/>
      <c r="T289" s="781"/>
      <c r="U289" s="781"/>
      <c r="V289" s="781"/>
      <c r="W289" s="137"/>
      <c r="X289" s="137"/>
      <c r="Y289" s="137"/>
      <c r="Z289" s="137"/>
    </row>
    <row r="290" ht="15.75" customHeight="1">
      <c r="A290" s="1385"/>
      <c r="B290" s="1385"/>
      <c r="C290" s="234"/>
      <c r="D290" s="815"/>
      <c r="E290" s="1537"/>
      <c r="F290" s="763"/>
      <c r="G290" s="763"/>
      <c r="H290" s="763"/>
      <c r="I290" s="763"/>
      <c r="J290" s="763"/>
      <c r="K290" s="781"/>
      <c r="L290" s="781"/>
      <c r="M290" s="781"/>
      <c r="N290" s="781"/>
      <c r="O290" s="781"/>
      <c r="P290" s="781"/>
      <c r="Q290" s="781"/>
      <c r="R290" s="781"/>
      <c r="S290" s="781"/>
      <c r="T290" s="781"/>
      <c r="U290" s="781"/>
      <c r="V290" s="781"/>
      <c r="W290" s="137"/>
      <c r="X290" s="137"/>
      <c r="Y290" s="137"/>
      <c r="Z290" s="137"/>
    </row>
    <row r="291" ht="15.75" customHeight="1">
      <c r="A291" s="1385"/>
      <c r="B291" s="1385"/>
      <c r="C291" s="234"/>
      <c r="D291" s="815"/>
      <c r="E291" s="1537"/>
      <c r="F291" s="763"/>
      <c r="G291" s="763"/>
      <c r="H291" s="763"/>
      <c r="I291" s="763"/>
      <c r="J291" s="763"/>
      <c r="K291" s="781"/>
      <c r="L291" s="781"/>
      <c r="M291" s="781"/>
      <c r="N291" s="781"/>
      <c r="O291" s="781"/>
      <c r="P291" s="781"/>
      <c r="Q291" s="781"/>
      <c r="R291" s="781"/>
      <c r="S291" s="781"/>
      <c r="T291" s="781"/>
      <c r="U291" s="781"/>
      <c r="V291" s="781"/>
      <c r="W291" s="137"/>
      <c r="X291" s="137"/>
      <c r="Y291" s="137"/>
      <c r="Z291" s="137"/>
    </row>
    <row r="292" ht="15.75" customHeight="1">
      <c r="A292" s="1385"/>
      <c r="B292" s="1385"/>
      <c r="C292" s="234"/>
      <c r="D292" s="815"/>
      <c r="E292" s="1537"/>
      <c r="F292" s="763"/>
      <c r="G292" s="763"/>
      <c r="H292" s="763"/>
      <c r="I292" s="763"/>
      <c r="J292" s="763"/>
      <c r="K292" s="781"/>
      <c r="L292" s="781"/>
      <c r="M292" s="781"/>
      <c r="N292" s="781"/>
      <c r="O292" s="781"/>
      <c r="P292" s="781"/>
      <c r="Q292" s="781"/>
      <c r="R292" s="781"/>
      <c r="S292" s="781"/>
      <c r="T292" s="781"/>
      <c r="U292" s="781"/>
      <c r="V292" s="781"/>
      <c r="W292" s="137"/>
      <c r="X292" s="137"/>
      <c r="Y292" s="137"/>
      <c r="Z292" s="137"/>
    </row>
    <row r="293" ht="15.75" customHeight="1">
      <c r="A293" s="1385"/>
      <c r="B293" s="1385"/>
      <c r="C293" s="234"/>
      <c r="D293" s="815"/>
      <c r="E293" s="1537"/>
      <c r="F293" s="763"/>
      <c r="G293" s="763"/>
      <c r="H293" s="763"/>
      <c r="I293" s="763"/>
      <c r="J293" s="763"/>
      <c r="K293" s="781"/>
      <c r="L293" s="781"/>
      <c r="M293" s="781"/>
      <c r="N293" s="781"/>
      <c r="O293" s="781"/>
      <c r="P293" s="781"/>
      <c r="Q293" s="781"/>
      <c r="R293" s="781"/>
      <c r="S293" s="781"/>
      <c r="T293" s="781"/>
      <c r="U293" s="781"/>
      <c r="V293" s="781"/>
      <c r="W293" s="137"/>
      <c r="X293" s="137"/>
      <c r="Y293" s="137"/>
      <c r="Z293" s="137"/>
    </row>
    <row r="294" ht="15.75" customHeight="1">
      <c r="A294" s="1385"/>
      <c r="B294" s="1385"/>
      <c r="C294" s="234"/>
      <c r="D294" s="815"/>
      <c r="E294" s="1537"/>
      <c r="F294" s="763"/>
      <c r="G294" s="763"/>
      <c r="H294" s="763"/>
      <c r="I294" s="763"/>
      <c r="J294" s="763"/>
      <c r="K294" s="781"/>
      <c r="L294" s="781"/>
      <c r="M294" s="781"/>
      <c r="N294" s="781"/>
      <c r="O294" s="781"/>
      <c r="P294" s="781"/>
      <c r="Q294" s="781"/>
      <c r="R294" s="781"/>
      <c r="S294" s="781"/>
      <c r="T294" s="781"/>
      <c r="U294" s="781"/>
      <c r="V294" s="781"/>
      <c r="W294" s="137"/>
      <c r="X294" s="137"/>
      <c r="Y294" s="137"/>
      <c r="Z294" s="137"/>
    </row>
    <row r="295" ht="15.75" customHeight="1">
      <c r="A295" s="1385"/>
      <c r="B295" s="1385"/>
      <c r="C295" s="234"/>
      <c r="D295" s="815"/>
      <c r="E295" s="1537"/>
      <c r="F295" s="763"/>
      <c r="G295" s="763"/>
      <c r="H295" s="763"/>
      <c r="I295" s="763"/>
      <c r="J295" s="763"/>
      <c r="K295" s="781"/>
      <c r="L295" s="781"/>
      <c r="M295" s="781"/>
      <c r="N295" s="781"/>
      <c r="O295" s="781"/>
      <c r="P295" s="781"/>
      <c r="Q295" s="781"/>
      <c r="R295" s="781"/>
      <c r="S295" s="781"/>
      <c r="T295" s="781"/>
      <c r="U295" s="781"/>
      <c r="V295" s="781"/>
      <c r="W295" s="137"/>
      <c r="X295" s="137"/>
      <c r="Y295" s="137"/>
      <c r="Z295" s="137"/>
    </row>
    <row r="296" ht="15.75" customHeight="1">
      <c r="A296" s="1385"/>
      <c r="B296" s="1385"/>
      <c r="C296" s="234"/>
      <c r="D296" s="815"/>
      <c r="E296" s="1537"/>
      <c r="F296" s="763"/>
      <c r="G296" s="763"/>
      <c r="H296" s="763"/>
      <c r="I296" s="763"/>
      <c r="J296" s="763"/>
      <c r="K296" s="781"/>
      <c r="L296" s="781"/>
      <c r="M296" s="781"/>
      <c r="N296" s="781"/>
      <c r="O296" s="781"/>
      <c r="P296" s="781"/>
      <c r="Q296" s="781"/>
      <c r="R296" s="781"/>
      <c r="S296" s="781"/>
      <c r="T296" s="781"/>
      <c r="U296" s="781"/>
      <c r="V296" s="781"/>
      <c r="W296" s="137"/>
      <c r="X296" s="137"/>
      <c r="Y296" s="137"/>
      <c r="Z296" s="137"/>
    </row>
    <row r="297" ht="15.75" customHeight="1">
      <c r="A297" s="1385"/>
      <c r="B297" s="1385"/>
      <c r="C297" s="234"/>
      <c r="D297" s="815"/>
      <c r="E297" s="1537"/>
      <c r="F297" s="763"/>
      <c r="G297" s="763"/>
      <c r="H297" s="763"/>
      <c r="I297" s="763"/>
      <c r="J297" s="763"/>
      <c r="K297" s="781"/>
      <c r="L297" s="781"/>
      <c r="M297" s="781"/>
      <c r="N297" s="781"/>
      <c r="O297" s="781"/>
      <c r="P297" s="781"/>
      <c r="Q297" s="781"/>
      <c r="R297" s="781"/>
      <c r="S297" s="781"/>
      <c r="T297" s="781"/>
      <c r="U297" s="781"/>
      <c r="V297" s="781"/>
      <c r="W297" s="137"/>
      <c r="X297" s="137"/>
      <c r="Y297" s="137"/>
      <c r="Z297" s="137"/>
    </row>
    <row r="298" ht="15.75" customHeight="1">
      <c r="A298" s="1385"/>
      <c r="B298" s="1385"/>
      <c r="C298" s="234"/>
      <c r="D298" s="815"/>
      <c r="E298" s="1537"/>
      <c r="F298" s="763"/>
      <c r="G298" s="763"/>
      <c r="H298" s="763"/>
      <c r="I298" s="763"/>
      <c r="J298" s="763"/>
      <c r="K298" s="781"/>
      <c r="L298" s="781"/>
      <c r="M298" s="781"/>
      <c r="N298" s="781"/>
      <c r="O298" s="781"/>
      <c r="P298" s="781"/>
      <c r="Q298" s="781"/>
      <c r="R298" s="781"/>
      <c r="S298" s="781"/>
      <c r="T298" s="781"/>
      <c r="U298" s="781"/>
      <c r="V298" s="781"/>
      <c r="W298" s="137"/>
      <c r="X298" s="137"/>
      <c r="Y298" s="137"/>
      <c r="Z298" s="137"/>
    </row>
    <row r="299" ht="15.75" customHeight="1">
      <c r="A299" s="1385"/>
      <c r="B299" s="1385"/>
      <c r="C299" s="234"/>
      <c r="D299" s="815"/>
      <c r="E299" s="1537"/>
      <c r="F299" s="763"/>
      <c r="G299" s="763"/>
      <c r="H299" s="763"/>
      <c r="I299" s="763"/>
      <c r="J299" s="763"/>
      <c r="K299" s="781"/>
      <c r="L299" s="781"/>
      <c r="M299" s="781"/>
      <c r="N299" s="781"/>
      <c r="O299" s="781"/>
      <c r="P299" s="781"/>
      <c r="Q299" s="781"/>
      <c r="R299" s="781"/>
      <c r="S299" s="781"/>
      <c r="T299" s="781"/>
      <c r="U299" s="781"/>
      <c r="V299" s="781"/>
      <c r="W299" s="137"/>
      <c r="X299" s="137"/>
      <c r="Y299" s="137"/>
      <c r="Z299" s="137"/>
    </row>
    <row r="300" ht="15.75" customHeight="1">
      <c r="A300" s="1385"/>
      <c r="B300" s="1385"/>
      <c r="C300" s="234"/>
      <c r="D300" s="815"/>
      <c r="E300" s="1537"/>
      <c r="F300" s="763"/>
      <c r="G300" s="763"/>
      <c r="H300" s="763"/>
      <c r="I300" s="763"/>
      <c r="J300" s="763"/>
      <c r="K300" s="781"/>
      <c r="L300" s="781"/>
      <c r="M300" s="781"/>
      <c r="N300" s="781"/>
      <c r="O300" s="781"/>
      <c r="P300" s="781"/>
      <c r="Q300" s="781"/>
      <c r="R300" s="781"/>
      <c r="S300" s="781"/>
      <c r="T300" s="781"/>
      <c r="U300" s="781"/>
      <c r="V300" s="781"/>
      <c r="W300" s="137"/>
      <c r="X300" s="137"/>
      <c r="Y300" s="137"/>
      <c r="Z300" s="137"/>
    </row>
    <row r="301" ht="15.75" customHeight="1">
      <c r="A301" s="1385"/>
      <c r="B301" s="1385"/>
      <c r="C301" s="234"/>
      <c r="D301" s="815"/>
      <c r="E301" s="1537"/>
      <c r="F301" s="763"/>
      <c r="G301" s="763"/>
      <c r="H301" s="763"/>
      <c r="I301" s="763"/>
      <c r="J301" s="763"/>
      <c r="K301" s="781"/>
      <c r="L301" s="781"/>
      <c r="M301" s="781"/>
      <c r="N301" s="781"/>
      <c r="O301" s="781"/>
      <c r="P301" s="781"/>
      <c r="Q301" s="781"/>
      <c r="R301" s="781"/>
      <c r="S301" s="781"/>
      <c r="T301" s="781"/>
      <c r="U301" s="781"/>
      <c r="V301" s="781"/>
      <c r="W301" s="137"/>
      <c r="X301" s="137"/>
      <c r="Y301" s="137"/>
      <c r="Z301" s="137"/>
    </row>
    <row r="302" ht="15.75" customHeight="1">
      <c r="A302" s="1385"/>
      <c r="B302" s="1385"/>
      <c r="C302" s="234"/>
      <c r="D302" s="815"/>
      <c r="E302" s="1537"/>
      <c r="F302" s="763"/>
      <c r="G302" s="763"/>
      <c r="H302" s="763"/>
      <c r="I302" s="763"/>
      <c r="J302" s="763"/>
      <c r="K302" s="781"/>
      <c r="L302" s="781"/>
      <c r="M302" s="781"/>
      <c r="N302" s="781"/>
      <c r="O302" s="781"/>
      <c r="P302" s="781"/>
      <c r="Q302" s="781"/>
      <c r="R302" s="781"/>
      <c r="S302" s="781"/>
      <c r="T302" s="781"/>
      <c r="U302" s="781"/>
      <c r="V302" s="781"/>
      <c r="W302" s="137"/>
      <c r="X302" s="137"/>
      <c r="Y302" s="137"/>
      <c r="Z302" s="137"/>
    </row>
    <row r="303" ht="15.75" customHeight="1">
      <c r="A303" s="1385"/>
      <c r="B303" s="1385"/>
      <c r="C303" s="234"/>
      <c r="D303" s="815"/>
      <c r="E303" s="1537"/>
      <c r="F303" s="763"/>
      <c r="G303" s="763"/>
      <c r="H303" s="763"/>
      <c r="I303" s="763"/>
      <c r="J303" s="763"/>
      <c r="K303" s="781"/>
      <c r="L303" s="781"/>
      <c r="M303" s="781"/>
      <c r="N303" s="781"/>
      <c r="O303" s="781"/>
      <c r="P303" s="781"/>
      <c r="Q303" s="781"/>
      <c r="R303" s="781"/>
      <c r="S303" s="781"/>
      <c r="T303" s="781"/>
      <c r="U303" s="781"/>
      <c r="V303" s="781"/>
      <c r="W303" s="137"/>
      <c r="X303" s="137"/>
      <c r="Y303" s="137"/>
      <c r="Z303" s="137"/>
    </row>
    <row r="304" ht="15.75" customHeight="1">
      <c r="A304" s="1385"/>
      <c r="B304" s="1385"/>
      <c r="C304" s="234"/>
      <c r="D304" s="815"/>
      <c r="E304" s="1537"/>
      <c r="F304" s="763"/>
      <c r="G304" s="763"/>
      <c r="H304" s="763"/>
      <c r="I304" s="763"/>
      <c r="J304" s="763"/>
      <c r="K304" s="781"/>
      <c r="L304" s="781"/>
      <c r="M304" s="781"/>
      <c r="N304" s="781"/>
      <c r="O304" s="781"/>
      <c r="P304" s="781"/>
      <c r="Q304" s="781"/>
      <c r="R304" s="781"/>
      <c r="S304" s="781"/>
      <c r="T304" s="781"/>
      <c r="U304" s="781"/>
      <c r="V304" s="781"/>
      <c r="W304" s="137"/>
      <c r="X304" s="137"/>
      <c r="Y304" s="137"/>
      <c r="Z304" s="137"/>
    </row>
    <row r="305" ht="15.75" customHeight="1">
      <c r="A305" s="1385"/>
      <c r="B305" s="1385"/>
      <c r="C305" s="234"/>
      <c r="D305" s="815"/>
      <c r="E305" s="1537"/>
      <c r="F305" s="763"/>
      <c r="G305" s="763"/>
      <c r="H305" s="763"/>
      <c r="I305" s="763"/>
      <c r="J305" s="763"/>
      <c r="K305" s="781"/>
      <c r="L305" s="781"/>
      <c r="M305" s="781"/>
      <c r="N305" s="781"/>
      <c r="O305" s="781"/>
      <c r="P305" s="781"/>
      <c r="Q305" s="781"/>
      <c r="R305" s="781"/>
      <c r="S305" s="781"/>
      <c r="T305" s="781"/>
      <c r="U305" s="781"/>
      <c r="V305" s="781"/>
      <c r="W305" s="137"/>
      <c r="X305" s="137"/>
      <c r="Y305" s="137"/>
      <c r="Z305" s="137"/>
    </row>
    <row r="306" ht="15.75" customHeight="1">
      <c r="A306" s="1385"/>
      <c r="B306" s="1385"/>
      <c r="C306" s="234"/>
      <c r="D306" s="815"/>
      <c r="E306" s="1537"/>
      <c r="F306" s="763"/>
      <c r="G306" s="763"/>
      <c r="H306" s="763"/>
      <c r="I306" s="763"/>
      <c r="J306" s="763"/>
      <c r="K306" s="781"/>
      <c r="L306" s="781"/>
      <c r="M306" s="781"/>
      <c r="N306" s="781"/>
      <c r="O306" s="781"/>
      <c r="P306" s="781"/>
      <c r="Q306" s="781"/>
      <c r="R306" s="781"/>
      <c r="S306" s="781"/>
      <c r="T306" s="781"/>
      <c r="U306" s="781"/>
      <c r="V306" s="781"/>
      <c r="W306" s="137"/>
      <c r="X306" s="137"/>
      <c r="Y306" s="137"/>
      <c r="Z306" s="137"/>
    </row>
    <row r="307" ht="15.75" customHeight="1">
      <c r="A307" s="1385"/>
      <c r="B307" s="1385"/>
      <c r="C307" s="234"/>
      <c r="D307" s="815"/>
      <c r="E307" s="1537"/>
      <c r="F307" s="763"/>
      <c r="G307" s="763"/>
      <c r="H307" s="763"/>
      <c r="I307" s="763"/>
      <c r="J307" s="763"/>
      <c r="K307" s="781"/>
      <c r="L307" s="781"/>
      <c r="M307" s="781"/>
      <c r="N307" s="781"/>
      <c r="O307" s="781"/>
      <c r="P307" s="781"/>
      <c r="Q307" s="781"/>
      <c r="R307" s="781"/>
      <c r="S307" s="781"/>
      <c r="T307" s="781"/>
      <c r="U307" s="781"/>
      <c r="V307" s="781"/>
      <c r="W307" s="137"/>
      <c r="X307" s="137"/>
      <c r="Y307" s="137"/>
      <c r="Z307" s="137"/>
    </row>
    <row r="308" ht="15.75" customHeight="1">
      <c r="A308" s="1385"/>
      <c r="B308" s="1385"/>
      <c r="C308" s="234"/>
      <c r="D308" s="815"/>
      <c r="E308" s="1537"/>
      <c r="F308" s="763"/>
      <c r="G308" s="763"/>
      <c r="H308" s="763"/>
      <c r="I308" s="763"/>
      <c r="J308" s="763"/>
      <c r="K308" s="781"/>
      <c r="L308" s="781"/>
      <c r="M308" s="781"/>
      <c r="N308" s="781"/>
      <c r="O308" s="781"/>
      <c r="P308" s="781"/>
      <c r="Q308" s="781"/>
      <c r="R308" s="781"/>
      <c r="S308" s="781"/>
      <c r="T308" s="781"/>
      <c r="U308" s="781"/>
      <c r="V308" s="781"/>
      <c r="W308" s="137"/>
      <c r="X308" s="137"/>
      <c r="Y308" s="137"/>
      <c r="Z308" s="137"/>
    </row>
    <row r="309" ht="15.75" customHeight="1">
      <c r="A309" s="1385"/>
      <c r="B309" s="1385"/>
      <c r="C309" s="234"/>
      <c r="D309" s="815"/>
      <c r="E309" s="1537"/>
      <c r="F309" s="763"/>
      <c r="G309" s="763"/>
      <c r="H309" s="763"/>
      <c r="I309" s="763"/>
      <c r="J309" s="763"/>
      <c r="K309" s="781"/>
      <c r="L309" s="781"/>
      <c r="M309" s="781"/>
      <c r="N309" s="781"/>
      <c r="O309" s="781"/>
      <c r="P309" s="781"/>
      <c r="Q309" s="781"/>
      <c r="R309" s="781"/>
      <c r="S309" s="781"/>
      <c r="T309" s="781"/>
      <c r="U309" s="781"/>
      <c r="V309" s="781"/>
      <c r="W309" s="137"/>
      <c r="X309" s="137"/>
      <c r="Y309" s="137"/>
      <c r="Z309" s="137"/>
    </row>
    <row r="310" ht="15.75" customHeight="1">
      <c r="A310" s="1385"/>
      <c r="B310" s="1385"/>
      <c r="C310" s="234"/>
      <c r="D310" s="815"/>
      <c r="E310" s="1537"/>
      <c r="F310" s="763"/>
      <c r="G310" s="763"/>
      <c r="H310" s="763"/>
      <c r="I310" s="763"/>
      <c r="J310" s="763"/>
      <c r="K310" s="781"/>
      <c r="L310" s="781"/>
      <c r="M310" s="781"/>
      <c r="N310" s="781"/>
      <c r="O310" s="781"/>
      <c r="P310" s="781"/>
      <c r="Q310" s="781"/>
      <c r="R310" s="781"/>
      <c r="S310" s="781"/>
      <c r="T310" s="781"/>
      <c r="U310" s="781"/>
      <c r="V310" s="781"/>
      <c r="W310" s="137"/>
      <c r="X310" s="137"/>
      <c r="Y310" s="137"/>
      <c r="Z310" s="137"/>
    </row>
    <row r="311" ht="15.75" customHeight="1">
      <c r="A311" s="1385"/>
      <c r="B311" s="1385"/>
      <c r="C311" s="234"/>
      <c r="D311" s="815"/>
      <c r="E311" s="1537"/>
      <c r="F311" s="763"/>
      <c r="G311" s="763"/>
      <c r="H311" s="763"/>
      <c r="I311" s="763"/>
      <c r="J311" s="763"/>
      <c r="K311" s="781"/>
      <c r="L311" s="781"/>
      <c r="M311" s="781"/>
      <c r="N311" s="781"/>
      <c r="O311" s="781"/>
      <c r="P311" s="781"/>
      <c r="Q311" s="781"/>
      <c r="R311" s="781"/>
      <c r="S311" s="781"/>
      <c r="T311" s="781"/>
      <c r="U311" s="781"/>
      <c r="V311" s="781"/>
      <c r="W311" s="137"/>
      <c r="X311" s="137"/>
      <c r="Y311" s="137"/>
      <c r="Z311" s="137"/>
    </row>
    <row r="312" ht="15.75" customHeight="1">
      <c r="A312" s="1385"/>
      <c r="B312" s="1385"/>
      <c r="C312" s="234"/>
      <c r="D312" s="815"/>
      <c r="E312" s="1537"/>
      <c r="F312" s="763"/>
      <c r="G312" s="763"/>
      <c r="H312" s="763"/>
      <c r="I312" s="763"/>
      <c r="J312" s="763"/>
      <c r="K312" s="781"/>
      <c r="L312" s="781"/>
      <c r="M312" s="781"/>
      <c r="N312" s="781"/>
      <c r="O312" s="781"/>
      <c r="P312" s="781"/>
      <c r="Q312" s="781"/>
      <c r="R312" s="781"/>
      <c r="S312" s="781"/>
      <c r="T312" s="781"/>
      <c r="U312" s="781"/>
      <c r="V312" s="781"/>
      <c r="W312" s="137"/>
      <c r="X312" s="137"/>
      <c r="Y312" s="137"/>
      <c r="Z312" s="137"/>
    </row>
    <row r="313" ht="15.75" customHeight="1">
      <c r="A313" s="1385"/>
      <c r="B313" s="1385"/>
      <c r="C313" s="234"/>
      <c r="D313" s="815"/>
      <c r="E313" s="1537"/>
      <c r="F313" s="763"/>
      <c r="G313" s="763"/>
      <c r="H313" s="763"/>
      <c r="I313" s="763"/>
      <c r="J313" s="763"/>
      <c r="K313" s="781"/>
      <c r="L313" s="781"/>
      <c r="M313" s="781"/>
      <c r="N313" s="781"/>
      <c r="O313" s="781"/>
      <c r="P313" s="781"/>
      <c r="Q313" s="781"/>
      <c r="R313" s="781"/>
      <c r="S313" s="781"/>
      <c r="T313" s="781"/>
      <c r="U313" s="781"/>
      <c r="V313" s="781"/>
      <c r="W313" s="137"/>
      <c r="X313" s="137"/>
      <c r="Y313" s="137"/>
      <c r="Z313" s="137"/>
    </row>
    <row r="314" ht="15.75" customHeight="1">
      <c r="A314" s="1385"/>
      <c r="B314" s="1385"/>
      <c r="C314" s="234"/>
      <c r="D314" s="815"/>
      <c r="E314" s="1537"/>
      <c r="F314" s="763"/>
      <c r="G314" s="763"/>
      <c r="H314" s="763"/>
      <c r="I314" s="763"/>
      <c r="J314" s="763"/>
      <c r="K314" s="781"/>
      <c r="L314" s="781"/>
      <c r="M314" s="781"/>
      <c r="N314" s="781"/>
      <c r="O314" s="781"/>
      <c r="P314" s="781"/>
      <c r="Q314" s="781"/>
      <c r="R314" s="781"/>
      <c r="S314" s="781"/>
      <c r="T314" s="781"/>
      <c r="U314" s="781"/>
      <c r="V314" s="781"/>
      <c r="W314" s="137"/>
      <c r="X314" s="137"/>
      <c r="Y314" s="137"/>
      <c r="Z314" s="137"/>
    </row>
    <row r="315" ht="15.75" customHeight="1">
      <c r="A315" s="1385"/>
      <c r="B315" s="1385"/>
      <c r="C315" s="234"/>
      <c r="D315" s="815"/>
      <c r="E315" s="1537"/>
      <c r="F315" s="763"/>
      <c r="G315" s="763"/>
      <c r="H315" s="763"/>
      <c r="I315" s="763"/>
      <c r="J315" s="763"/>
      <c r="K315" s="781"/>
      <c r="L315" s="781"/>
      <c r="M315" s="781"/>
      <c r="N315" s="781"/>
      <c r="O315" s="781"/>
      <c r="P315" s="781"/>
      <c r="Q315" s="781"/>
      <c r="R315" s="781"/>
      <c r="S315" s="781"/>
      <c r="T315" s="781"/>
      <c r="U315" s="781"/>
      <c r="V315" s="781"/>
      <c r="W315" s="137"/>
      <c r="X315" s="137"/>
      <c r="Y315" s="137"/>
      <c r="Z315" s="137"/>
    </row>
    <row r="316" ht="15.75" customHeight="1">
      <c r="A316" s="1385"/>
      <c r="B316" s="1385"/>
      <c r="C316" s="234"/>
      <c r="D316" s="815"/>
      <c r="E316" s="1537"/>
      <c r="F316" s="763"/>
      <c r="G316" s="763"/>
      <c r="H316" s="763"/>
      <c r="I316" s="763"/>
      <c r="J316" s="763"/>
      <c r="K316" s="781"/>
      <c r="L316" s="781"/>
      <c r="M316" s="781"/>
      <c r="N316" s="781"/>
      <c r="O316" s="781"/>
      <c r="P316" s="781"/>
      <c r="Q316" s="781"/>
      <c r="R316" s="781"/>
      <c r="S316" s="781"/>
      <c r="T316" s="781"/>
      <c r="U316" s="781"/>
      <c r="V316" s="781"/>
      <c r="W316" s="137"/>
      <c r="X316" s="137"/>
      <c r="Y316" s="137"/>
      <c r="Z316" s="137"/>
    </row>
    <row r="317" ht="15.75" customHeight="1">
      <c r="A317" s="1385"/>
      <c r="B317" s="1385"/>
      <c r="C317" s="234"/>
      <c r="D317" s="815"/>
      <c r="E317" s="1537"/>
      <c r="F317" s="763"/>
      <c r="G317" s="763"/>
      <c r="H317" s="763"/>
      <c r="I317" s="763"/>
      <c r="J317" s="763"/>
      <c r="K317" s="781"/>
      <c r="L317" s="781"/>
      <c r="M317" s="781"/>
      <c r="N317" s="781"/>
      <c r="O317" s="781"/>
      <c r="P317" s="781"/>
      <c r="Q317" s="781"/>
      <c r="R317" s="781"/>
      <c r="S317" s="781"/>
      <c r="T317" s="781"/>
      <c r="U317" s="781"/>
      <c r="V317" s="781"/>
      <c r="W317" s="137"/>
      <c r="X317" s="137"/>
      <c r="Y317" s="137"/>
      <c r="Z317" s="137"/>
    </row>
    <row r="318" ht="15.75" customHeight="1">
      <c r="A318" s="1385"/>
      <c r="B318" s="1385"/>
      <c r="C318" s="234"/>
      <c r="D318" s="815"/>
      <c r="E318" s="1537"/>
      <c r="F318" s="763"/>
      <c r="G318" s="763"/>
      <c r="H318" s="763"/>
      <c r="I318" s="763"/>
      <c r="J318" s="763"/>
      <c r="K318" s="781"/>
      <c r="L318" s="781"/>
      <c r="M318" s="781"/>
      <c r="N318" s="781"/>
      <c r="O318" s="781"/>
      <c r="P318" s="781"/>
      <c r="Q318" s="781"/>
      <c r="R318" s="781"/>
      <c r="S318" s="781"/>
      <c r="T318" s="781"/>
      <c r="U318" s="781"/>
      <c r="V318" s="781"/>
      <c r="W318" s="137"/>
      <c r="X318" s="137"/>
      <c r="Y318" s="137"/>
      <c r="Z318" s="137"/>
    </row>
    <row r="319" ht="15.75" customHeight="1">
      <c r="A319" s="1385"/>
      <c r="B319" s="1385"/>
      <c r="C319" s="234"/>
      <c r="D319" s="815"/>
      <c r="E319" s="1537"/>
      <c r="F319" s="763"/>
      <c r="G319" s="763"/>
      <c r="H319" s="763"/>
      <c r="I319" s="763"/>
      <c r="J319" s="763"/>
      <c r="K319" s="781"/>
      <c r="L319" s="781"/>
      <c r="M319" s="781"/>
      <c r="N319" s="781"/>
      <c r="O319" s="781"/>
      <c r="P319" s="781"/>
      <c r="Q319" s="781"/>
      <c r="R319" s="781"/>
      <c r="S319" s="781"/>
      <c r="T319" s="781"/>
      <c r="U319" s="781"/>
      <c r="V319" s="781"/>
      <c r="W319" s="137"/>
      <c r="X319" s="137"/>
      <c r="Y319" s="137"/>
      <c r="Z319" s="137"/>
    </row>
    <row r="320" ht="15.75" customHeight="1">
      <c r="A320" s="1385"/>
      <c r="B320" s="1385"/>
      <c r="C320" s="234"/>
      <c r="D320" s="815"/>
      <c r="E320" s="1537"/>
      <c r="F320" s="763"/>
      <c r="G320" s="763"/>
      <c r="H320" s="763"/>
      <c r="I320" s="763"/>
      <c r="J320" s="763"/>
      <c r="K320" s="781"/>
      <c r="L320" s="781"/>
      <c r="M320" s="781"/>
      <c r="N320" s="781"/>
      <c r="O320" s="781"/>
      <c r="P320" s="781"/>
      <c r="Q320" s="781"/>
      <c r="R320" s="781"/>
      <c r="S320" s="781"/>
      <c r="T320" s="781"/>
      <c r="U320" s="781"/>
      <c r="V320" s="781"/>
      <c r="W320" s="137"/>
      <c r="X320" s="137"/>
      <c r="Y320" s="137"/>
      <c r="Z320" s="137"/>
    </row>
    <row r="321" ht="15.75" customHeight="1">
      <c r="A321" s="1385"/>
      <c r="B321" s="1385"/>
      <c r="C321" s="234"/>
      <c r="D321" s="815"/>
      <c r="E321" s="1537"/>
      <c r="F321" s="763"/>
      <c r="G321" s="763"/>
      <c r="H321" s="763"/>
      <c r="I321" s="763"/>
      <c r="J321" s="763"/>
      <c r="K321" s="781"/>
      <c r="L321" s="781"/>
      <c r="M321" s="781"/>
      <c r="N321" s="781"/>
      <c r="O321" s="781"/>
      <c r="P321" s="781"/>
      <c r="Q321" s="781"/>
      <c r="R321" s="781"/>
      <c r="S321" s="781"/>
      <c r="T321" s="781"/>
      <c r="U321" s="781"/>
      <c r="V321" s="781"/>
      <c r="W321" s="137"/>
      <c r="X321" s="137"/>
      <c r="Y321" s="137"/>
      <c r="Z321" s="137"/>
    </row>
    <row r="322" ht="15.75" customHeight="1">
      <c r="A322" s="1385"/>
      <c r="B322" s="1385"/>
      <c r="C322" s="234"/>
      <c r="D322" s="815"/>
      <c r="E322" s="1537"/>
      <c r="F322" s="763"/>
      <c r="G322" s="763"/>
      <c r="H322" s="763"/>
      <c r="I322" s="763"/>
      <c r="J322" s="763"/>
      <c r="K322" s="781"/>
      <c r="L322" s="781"/>
      <c r="M322" s="781"/>
      <c r="N322" s="781"/>
      <c r="O322" s="781"/>
      <c r="P322" s="781"/>
      <c r="Q322" s="781"/>
      <c r="R322" s="781"/>
      <c r="S322" s="781"/>
      <c r="T322" s="781"/>
      <c r="U322" s="781"/>
      <c r="V322" s="781"/>
      <c r="W322" s="137"/>
      <c r="X322" s="137"/>
      <c r="Y322" s="137"/>
      <c r="Z322" s="137"/>
    </row>
    <row r="323" ht="15.75" customHeight="1">
      <c r="A323" s="1385"/>
      <c r="B323" s="1385"/>
      <c r="C323" s="234"/>
      <c r="D323" s="815"/>
      <c r="E323" s="1537"/>
      <c r="F323" s="763"/>
      <c r="G323" s="763"/>
      <c r="H323" s="763"/>
      <c r="I323" s="763"/>
      <c r="J323" s="763"/>
      <c r="K323" s="781"/>
      <c r="L323" s="781"/>
      <c r="M323" s="781"/>
      <c r="N323" s="781"/>
      <c r="O323" s="781"/>
      <c r="P323" s="781"/>
      <c r="Q323" s="781"/>
      <c r="R323" s="781"/>
      <c r="S323" s="781"/>
      <c r="T323" s="781"/>
      <c r="U323" s="781"/>
      <c r="V323" s="781"/>
      <c r="W323" s="137"/>
      <c r="X323" s="137"/>
      <c r="Y323" s="137"/>
      <c r="Z323" s="137"/>
    </row>
    <row r="324" ht="15.75" customHeight="1">
      <c r="A324" s="1385"/>
      <c r="B324" s="1385"/>
      <c r="C324" s="234"/>
      <c r="D324" s="815"/>
      <c r="E324" s="1537"/>
      <c r="F324" s="763"/>
      <c r="G324" s="763"/>
      <c r="H324" s="763"/>
      <c r="I324" s="763"/>
      <c r="J324" s="763"/>
      <c r="K324" s="781"/>
      <c r="L324" s="781"/>
      <c r="M324" s="781"/>
      <c r="N324" s="781"/>
      <c r="O324" s="781"/>
      <c r="P324" s="781"/>
      <c r="Q324" s="781"/>
      <c r="R324" s="781"/>
      <c r="S324" s="781"/>
      <c r="T324" s="781"/>
      <c r="U324" s="781"/>
      <c r="V324" s="781"/>
      <c r="W324" s="137"/>
      <c r="X324" s="137"/>
      <c r="Y324" s="137"/>
      <c r="Z324" s="137"/>
    </row>
    <row r="325" ht="15.75" customHeight="1">
      <c r="A325" s="1385"/>
      <c r="B325" s="1385"/>
      <c r="C325" s="234"/>
      <c r="D325" s="815"/>
      <c r="E325" s="1537"/>
      <c r="F325" s="763"/>
      <c r="G325" s="763"/>
      <c r="H325" s="763"/>
      <c r="I325" s="763"/>
      <c r="J325" s="763"/>
      <c r="K325" s="781"/>
      <c r="L325" s="781"/>
      <c r="M325" s="781"/>
      <c r="N325" s="781"/>
      <c r="O325" s="781"/>
      <c r="P325" s="781"/>
      <c r="Q325" s="781"/>
      <c r="R325" s="781"/>
      <c r="S325" s="781"/>
      <c r="T325" s="781"/>
      <c r="U325" s="781"/>
      <c r="V325" s="781"/>
      <c r="W325" s="137"/>
      <c r="X325" s="137"/>
      <c r="Y325" s="137"/>
      <c r="Z325" s="137"/>
    </row>
    <row r="326" ht="15.75" customHeight="1">
      <c r="A326" s="1385"/>
      <c r="B326" s="1385"/>
      <c r="C326" s="234"/>
      <c r="D326" s="815"/>
      <c r="E326" s="1537"/>
      <c r="F326" s="763"/>
      <c r="G326" s="763"/>
      <c r="H326" s="763"/>
      <c r="I326" s="763"/>
      <c r="J326" s="763"/>
      <c r="K326" s="781"/>
      <c r="L326" s="781"/>
      <c r="M326" s="781"/>
      <c r="N326" s="781"/>
      <c r="O326" s="781"/>
      <c r="P326" s="781"/>
      <c r="Q326" s="781"/>
      <c r="R326" s="781"/>
      <c r="S326" s="781"/>
      <c r="T326" s="781"/>
      <c r="U326" s="781"/>
      <c r="V326" s="781"/>
      <c r="W326" s="137"/>
      <c r="X326" s="137"/>
      <c r="Y326" s="137"/>
      <c r="Z326" s="137"/>
    </row>
    <row r="327" ht="15.75" customHeight="1">
      <c r="A327" s="1385"/>
      <c r="B327" s="1385"/>
      <c r="C327" s="234"/>
      <c r="D327" s="815"/>
      <c r="E327" s="1537"/>
      <c r="F327" s="763"/>
      <c r="G327" s="763"/>
      <c r="H327" s="763"/>
      <c r="I327" s="763"/>
      <c r="J327" s="763"/>
      <c r="K327" s="781"/>
      <c r="L327" s="781"/>
      <c r="M327" s="781"/>
      <c r="N327" s="781"/>
      <c r="O327" s="781"/>
      <c r="P327" s="781"/>
      <c r="Q327" s="781"/>
      <c r="R327" s="781"/>
      <c r="S327" s="781"/>
      <c r="T327" s="781"/>
      <c r="U327" s="781"/>
      <c r="V327" s="781"/>
      <c r="W327" s="137"/>
      <c r="X327" s="137"/>
      <c r="Y327" s="137"/>
      <c r="Z327" s="137"/>
    </row>
    <row r="328" ht="15.75" customHeight="1">
      <c r="A328" s="1385"/>
      <c r="B328" s="1385"/>
      <c r="C328" s="234"/>
      <c r="D328" s="815"/>
      <c r="E328" s="1537"/>
      <c r="F328" s="763"/>
      <c r="G328" s="763"/>
      <c r="H328" s="763"/>
      <c r="I328" s="763"/>
      <c r="J328" s="763"/>
      <c r="K328" s="781"/>
      <c r="L328" s="781"/>
      <c r="M328" s="781"/>
      <c r="N328" s="781"/>
      <c r="O328" s="781"/>
      <c r="P328" s="781"/>
      <c r="Q328" s="781"/>
      <c r="R328" s="781"/>
      <c r="S328" s="781"/>
      <c r="T328" s="781"/>
      <c r="U328" s="781"/>
      <c r="V328" s="781"/>
      <c r="W328" s="137"/>
      <c r="X328" s="137"/>
      <c r="Y328" s="137"/>
      <c r="Z328" s="137"/>
    </row>
    <row r="329" ht="15.75" customHeight="1">
      <c r="A329" s="1385"/>
      <c r="B329" s="1385"/>
      <c r="C329" s="234"/>
      <c r="D329" s="815"/>
      <c r="E329" s="1537"/>
      <c r="F329" s="763"/>
      <c r="G329" s="763"/>
      <c r="H329" s="763"/>
      <c r="I329" s="763"/>
      <c r="J329" s="763"/>
      <c r="K329" s="781"/>
      <c r="L329" s="781"/>
      <c r="M329" s="781"/>
      <c r="N329" s="781"/>
      <c r="O329" s="781"/>
      <c r="P329" s="781"/>
      <c r="Q329" s="781"/>
      <c r="R329" s="781"/>
      <c r="S329" s="781"/>
      <c r="T329" s="781"/>
      <c r="U329" s="781"/>
      <c r="V329" s="781"/>
      <c r="W329" s="137"/>
      <c r="X329" s="137"/>
      <c r="Y329" s="137"/>
      <c r="Z329" s="137"/>
    </row>
    <row r="330" ht="15.75" customHeight="1">
      <c r="A330" s="1385"/>
      <c r="B330" s="1385"/>
      <c r="C330" s="234"/>
      <c r="D330" s="815"/>
      <c r="E330" s="1537"/>
      <c r="F330" s="763"/>
      <c r="G330" s="763"/>
      <c r="H330" s="763"/>
      <c r="I330" s="763"/>
      <c r="J330" s="763"/>
      <c r="K330" s="781"/>
      <c r="L330" s="781"/>
      <c r="M330" s="781"/>
      <c r="N330" s="781"/>
      <c r="O330" s="781"/>
      <c r="P330" s="781"/>
      <c r="Q330" s="781"/>
      <c r="R330" s="781"/>
      <c r="S330" s="781"/>
      <c r="T330" s="781"/>
      <c r="U330" s="781"/>
      <c r="V330" s="781"/>
      <c r="W330" s="137"/>
      <c r="X330" s="137"/>
      <c r="Y330" s="137"/>
      <c r="Z330" s="137"/>
    </row>
    <row r="331" ht="15.75" customHeight="1">
      <c r="A331" s="1385"/>
      <c r="B331" s="1385"/>
      <c r="C331" s="234"/>
      <c r="D331" s="815"/>
      <c r="E331" s="1537"/>
      <c r="F331" s="763"/>
      <c r="G331" s="763"/>
      <c r="H331" s="763"/>
      <c r="I331" s="763"/>
      <c r="J331" s="763"/>
      <c r="K331" s="781"/>
      <c r="L331" s="781"/>
      <c r="M331" s="781"/>
      <c r="N331" s="781"/>
      <c r="O331" s="781"/>
      <c r="P331" s="781"/>
      <c r="Q331" s="781"/>
      <c r="R331" s="781"/>
      <c r="S331" s="781"/>
      <c r="T331" s="781"/>
      <c r="U331" s="781"/>
      <c r="V331" s="781"/>
      <c r="W331" s="137"/>
      <c r="X331" s="137"/>
      <c r="Y331" s="137"/>
      <c r="Z331" s="137"/>
    </row>
    <row r="332" ht="15.75" customHeight="1">
      <c r="A332" s="1385"/>
      <c r="B332" s="1385"/>
      <c r="C332" s="234"/>
      <c r="D332" s="815"/>
      <c r="E332" s="1537"/>
      <c r="F332" s="763"/>
      <c r="G332" s="763"/>
      <c r="H332" s="763"/>
      <c r="I332" s="763"/>
      <c r="J332" s="763"/>
      <c r="K332" s="781"/>
      <c r="L332" s="781"/>
      <c r="M332" s="781"/>
      <c r="N332" s="781"/>
      <c r="O332" s="781"/>
      <c r="P332" s="781"/>
      <c r="Q332" s="781"/>
      <c r="R332" s="781"/>
      <c r="S332" s="781"/>
      <c r="T332" s="781"/>
      <c r="U332" s="781"/>
      <c r="V332" s="781"/>
      <c r="W332" s="137"/>
      <c r="X332" s="137"/>
      <c r="Y332" s="137"/>
      <c r="Z332" s="137"/>
    </row>
    <row r="333" ht="15.75" customHeight="1">
      <c r="A333" s="1385"/>
      <c r="B333" s="1385"/>
      <c r="C333" s="234"/>
      <c r="D333" s="815"/>
      <c r="E333" s="1537"/>
      <c r="F333" s="763"/>
      <c r="G333" s="763"/>
      <c r="H333" s="763"/>
      <c r="I333" s="763"/>
      <c r="J333" s="763"/>
      <c r="K333" s="781"/>
      <c r="L333" s="781"/>
      <c r="M333" s="781"/>
      <c r="N333" s="781"/>
      <c r="O333" s="781"/>
      <c r="P333" s="781"/>
      <c r="Q333" s="781"/>
      <c r="R333" s="781"/>
      <c r="S333" s="781"/>
      <c r="T333" s="781"/>
      <c r="U333" s="781"/>
      <c r="V333" s="781"/>
      <c r="W333" s="137"/>
      <c r="X333" s="137"/>
      <c r="Y333" s="137"/>
      <c r="Z333" s="137"/>
    </row>
    <row r="334" ht="15.75" customHeight="1">
      <c r="A334" s="1385"/>
      <c r="B334" s="1385"/>
      <c r="C334" s="234"/>
      <c r="D334" s="815"/>
      <c r="E334" s="1537"/>
      <c r="F334" s="763"/>
      <c r="G334" s="763"/>
      <c r="H334" s="763"/>
      <c r="I334" s="763"/>
      <c r="J334" s="763"/>
      <c r="K334" s="781"/>
      <c r="L334" s="781"/>
      <c r="M334" s="781"/>
      <c r="N334" s="781"/>
      <c r="O334" s="781"/>
      <c r="P334" s="781"/>
      <c r="Q334" s="781"/>
      <c r="R334" s="781"/>
      <c r="S334" s="781"/>
      <c r="T334" s="781"/>
      <c r="U334" s="781"/>
      <c r="V334" s="781"/>
      <c r="W334" s="137"/>
      <c r="X334" s="137"/>
      <c r="Y334" s="137"/>
      <c r="Z334" s="137"/>
    </row>
    <row r="335" ht="15.75" customHeight="1">
      <c r="A335" s="1385"/>
      <c r="B335" s="1385"/>
      <c r="C335" s="234"/>
      <c r="D335" s="815"/>
      <c r="E335" s="1537"/>
      <c r="F335" s="763"/>
      <c r="G335" s="763"/>
      <c r="H335" s="763"/>
      <c r="I335" s="763"/>
      <c r="J335" s="763"/>
      <c r="K335" s="781"/>
      <c r="L335" s="781"/>
      <c r="M335" s="781"/>
      <c r="N335" s="781"/>
      <c r="O335" s="781"/>
      <c r="P335" s="781"/>
      <c r="Q335" s="781"/>
      <c r="R335" s="781"/>
      <c r="S335" s="781"/>
      <c r="T335" s="781"/>
      <c r="U335" s="781"/>
      <c r="V335" s="781"/>
      <c r="W335" s="137"/>
      <c r="X335" s="137"/>
      <c r="Y335" s="137"/>
      <c r="Z335" s="137"/>
    </row>
    <row r="336" ht="15.75" customHeight="1">
      <c r="A336" s="1385"/>
      <c r="B336" s="1385"/>
      <c r="C336" s="234"/>
      <c r="D336" s="815"/>
      <c r="E336" s="1537"/>
      <c r="F336" s="763"/>
      <c r="G336" s="763"/>
      <c r="H336" s="763"/>
      <c r="I336" s="763"/>
      <c r="J336" s="763"/>
      <c r="K336" s="781"/>
      <c r="L336" s="781"/>
      <c r="M336" s="781"/>
      <c r="N336" s="781"/>
      <c r="O336" s="781"/>
      <c r="P336" s="781"/>
      <c r="Q336" s="781"/>
      <c r="R336" s="781"/>
      <c r="S336" s="781"/>
      <c r="T336" s="781"/>
      <c r="U336" s="781"/>
      <c r="V336" s="781"/>
      <c r="W336" s="137"/>
      <c r="X336" s="137"/>
      <c r="Y336" s="137"/>
      <c r="Z336" s="137"/>
    </row>
    <row r="337" ht="15.75" customHeight="1">
      <c r="A337" s="1385"/>
      <c r="B337" s="1385"/>
      <c r="C337" s="234"/>
      <c r="D337" s="815"/>
      <c r="E337" s="1537"/>
      <c r="F337" s="763"/>
      <c r="G337" s="763"/>
      <c r="H337" s="763"/>
      <c r="I337" s="763"/>
      <c r="J337" s="763"/>
      <c r="K337" s="781"/>
      <c r="L337" s="781"/>
      <c r="M337" s="781"/>
      <c r="N337" s="781"/>
      <c r="O337" s="781"/>
      <c r="P337" s="781"/>
      <c r="Q337" s="781"/>
      <c r="R337" s="781"/>
      <c r="S337" s="781"/>
      <c r="T337" s="781"/>
      <c r="U337" s="781"/>
      <c r="V337" s="781"/>
      <c r="W337" s="137"/>
      <c r="X337" s="137"/>
      <c r="Y337" s="137"/>
      <c r="Z337" s="137"/>
    </row>
    <row r="338" ht="15.75" customHeight="1">
      <c r="A338" s="1385"/>
      <c r="B338" s="1385"/>
      <c r="C338" s="234"/>
      <c r="D338" s="815"/>
      <c r="E338" s="1537"/>
      <c r="F338" s="763"/>
      <c r="G338" s="763"/>
      <c r="H338" s="763"/>
      <c r="I338" s="763"/>
      <c r="J338" s="763"/>
      <c r="K338" s="781"/>
      <c r="L338" s="781"/>
      <c r="M338" s="781"/>
      <c r="N338" s="781"/>
      <c r="O338" s="781"/>
      <c r="P338" s="781"/>
      <c r="Q338" s="781"/>
      <c r="R338" s="781"/>
      <c r="S338" s="781"/>
      <c r="T338" s="781"/>
      <c r="U338" s="781"/>
      <c r="V338" s="781"/>
      <c r="W338" s="137"/>
      <c r="X338" s="137"/>
      <c r="Y338" s="137"/>
      <c r="Z338" s="137"/>
    </row>
    <row r="339" ht="15.75" customHeight="1">
      <c r="A339" s="1385"/>
      <c r="B339" s="1385"/>
      <c r="C339" s="234"/>
      <c r="D339" s="815"/>
      <c r="E339" s="1537"/>
      <c r="F339" s="763"/>
      <c r="G339" s="763"/>
      <c r="H339" s="763"/>
      <c r="I339" s="763"/>
      <c r="J339" s="763"/>
      <c r="K339" s="781"/>
      <c r="L339" s="781"/>
      <c r="M339" s="781"/>
      <c r="N339" s="781"/>
      <c r="O339" s="781"/>
      <c r="P339" s="781"/>
      <c r="Q339" s="781"/>
      <c r="R339" s="781"/>
      <c r="S339" s="781"/>
      <c r="T339" s="781"/>
      <c r="U339" s="781"/>
      <c r="V339" s="781"/>
      <c r="W339" s="137"/>
      <c r="X339" s="137"/>
      <c r="Y339" s="137"/>
      <c r="Z339" s="137"/>
    </row>
    <row r="340" ht="15.75" customHeight="1">
      <c r="A340" s="1385"/>
      <c r="B340" s="1385"/>
      <c r="C340" s="234"/>
      <c r="D340" s="815"/>
      <c r="E340" s="1537"/>
      <c r="F340" s="763"/>
      <c r="G340" s="763"/>
      <c r="H340" s="763"/>
      <c r="I340" s="763"/>
      <c r="J340" s="763"/>
      <c r="K340" s="781"/>
      <c r="L340" s="781"/>
      <c r="M340" s="781"/>
      <c r="N340" s="781"/>
      <c r="O340" s="781"/>
      <c r="P340" s="781"/>
      <c r="Q340" s="781"/>
      <c r="R340" s="781"/>
      <c r="S340" s="781"/>
      <c r="T340" s="781"/>
      <c r="U340" s="781"/>
      <c r="V340" s="781"/>
      <c r="W340" s="137"/>
      <c r="X340" s="137"/>
      <c r="Y340" s="137"/>
      <c r="Z340" s="137"/>
    </row>
    <row r="341" ht="15.75" customHeight="1">
      <c r="A341" s="1385"/>
      <c r="B341" s="1385"/>
      <c r="C341" s="234"/>
      <c r="D341" s="815"/>
      <c r="E341" s="1537"/>
      <c r="F341" s="763"/>
      <c r="G341" s="763"/>
      <c r="H341" s="763"/>
      <c r="I341" s="763"/>
      <c r="J341" s="763"/>
      <c r="K341" s="781"/>
      <c r="L341" s="781"/>
      <c r="M341" s="781"/>
      <c r="N341" s="781"/>
      <c r="O341" s="781"/>
      <c r="P341" s="781"/>
      <c r="Q341" s="781"/>
      <c r="R341" s="781"/>
      <c r="S341" s="781"/>
      <c r="T341" s="781"/>
      <c r="U341" s="781"/>
      <c r="V341" s="781"/>
      <c r="W341" s="137"/>
      <c r="X341" s="137"/>
      <c r="Y341" s="137"/>
      <c r="Z341" s="137"/>
    </row>
    <row r="342" ht="15.75" customHeight="1">
      <c r="A342" s="1385"/>
      <c r="B342" s="1385"/>
      <c r="C342" s="234"/>
      <c r="D342" s="815"/>
      <c r="E342" s="1537"/>
      <c r="F342" s="763"/>
      <c r="G342" s="763"/>
      <c r="H342" s="763"/>
      <c r="I342" s="763"/>
      <c r="J342" s="763"/>
      <c r="K342" s="781"/>
      <c r="L342" s="781"/>
      <c r="M342" s="781"/>
      <c r="N342" s="781"/>
      <c r="O342" s="781"/>
      <c r="P342" s="781"/>
      <c r="Q342" s="781"/>
      <c r="R342" s="781"/>
      <c r="S342" s="781"/>
      <c r="T342" s="781"/>
      <c r="U342" s="781"/>
      <c r="V342" s="781"/>
      <c r="W342" s="137"/>
      <c r="X342" s="137"/>
      <c r="Y342" s="137"/>
      <c r="Z342" s="137"/>
    </row>
    <row r="343" ht="15.75" customHeight="1">
      <c r="A343" s="1385"/>
      <c r="B343" s="1385"/>
      <c r="C343" s="234"/>
      <c r="D343" s="815"/>
      <c r="E343" s="1537"/>
      <c r="F343" s="763"/>
      <c r="G343" s="763"/>
      <c r="H343" s="763"/>
      <c r="I343" s="763"/>
      <c r="J343" s="763"/>
      <c r="K343" s="781"/>
      <c r="L343" s="781"/>
      <c r="M343" s="781"/>
      <c r="N343" s="781"/>
      <c r="O343" s="781"/>
      <c r="P343" s="781"/>
      <c r="Q343" s="781"/>
      <c r="R343" s="781"/>
      <c r="S343" s="781"/>
      <c r="T343" s="781"/>
      <c r="U343" s="781"/>
      <c r="V343" s="781"/>
      <c r="W343" s="137"/>
      <c r="X343" s="137"/>
      <c r="Y343" s="137"/>
      <c r="Z343" s="137"/>
    </row>
    <row r="344" ht="15.75" customHeight="1">
      <c r="A344" s="1385"/>
      <c r="B344" s="1385"/>
      <c r="C344" s="234"/>
      <c r="D344" s="815"/>
      <c r="E344" s="1537"/>
      <c r="F344" s="763"/>
      <c r="G344" s="763"/>
      <c r="H344" s="763"/>
      <c r="I344" s="763"/>
      <c r="J344" s="763"/>
      <c r="K344" s="781"/>
      <c r="L344" s="781"/>
      <c r="M344" s="781"/>
      <c r="N344" s="781"/>
      <c r="O344" s="781"/>
      <c r="P344" s="781"/>
      <c r="Q344" s="781"/>
      <c r="R344" s="781"/>
      <c r="S344" s="781"/>
      <c r="T344" s="781"/>
      <c r="U344" s="781"/>
      <c r="V344" s="781"/>
      <c r="W344" s="137"/>
      <c r="X344" s="137"/>
      <c r="Y344" s="137"/>
      <c r="Z344" s="137"/>
    </row>
    <row r="345" ht="15.75" customHeight="1">
      <c r="A345" s="1385"/>
      <c r="B345" s="1385"/>
      <c r="C345" s="234"/>
      <c r="D345" s="815"/>
      <c r="E345" s="1537"/>
      <c r="F345" s="763"/>
      <c r="G345" s="763"/>
      <c r="H345" s="763"/>
      <c r="I345" s="763"/>
      <c r="J345" s="763"/>
      <c r="K345" s="781"/>
      <c r="L345" s="781"/>
      <c r="M345" s="781"/>
      <c r="N345" s="781"/>
      <c r="O345" s="781"/>
      <c r="P345" s="781"/>
      <c r="Q345" s="781"/>
      <c r="R345" s="781"/>
      <c r="S345" s="781"/>
      <c r="T345" s="781"/>
      <c r="U345" s="781"/>
      <c r="V345" s="781"/>
      <c r="W345" s="137"/>
      <c r="X345" s="137"/>
      <c r="Y345" s="137"/>
      <c r="Z345" s="137"/>
    </row>
    <row r="346" ht="15.75" customHeight="1">
      <c r="A346" s="1385"/>
      <c r="B346" s="1385"/>
      <c r="C346" s="234"/>
      <c r="D346" s="815"/>
      <c r="E346" s="1537"/>
      <c r="F346" s="763"/>
      <c r="G346" s="763"/>
      <c r="H346" s="763"/>
      <c r="I346" s="763"/>
      <c r="J346" s="763"/>
      <c r="K346" s="781"/>
      <c r="L346" s="781"/>
      <c r="M346" s="781"/>
      <c r="N346" s="781"/>
      <c r="O346" s="781"/>
      <c r="P346" s="781"/>
      <c r="Q346" s="781"/>
      <c r="R346" s="781"/>
      <c r="S346" s="781"/>
      <c r="T346" s="781"/>
      <c r="U346" s="781"/>
      <c r="V346" s="781"/>
      <c r="W346" s="137"/>
      <c r="X346" s="137"/>
      <c r="Y346" s="137"/>
      <c r="Z346" s="137"/>
    </row>
    <row r="347" ht="15.75" customHeight="1">
      <c r="A347" s="1385"/>
      <c r="B347" s="1385"/>
      <c r="C347" s="234"/>
      <c r="D347" s="815"/>
      <c r="E347" s="1537"/>
      <c r="F347" s="763"/>
      <c r="G347" s="763"/>
      <c r="H347" s="763"/>
      <c r="I347" s="763"/>
      <c r="J347" s="763"/>
      <c r="K347" s="781"/>
      <c r="L347" s="781"/>
      <c r="M347" s="781"/>
      <c r="N347" s="781"/>
      <c r="O347" s="781"/>
      <c r="P347" s="781"/>
      <c r="Q347" s="781"/>
      <c r="R347" s="781"/>
      <c r="S347" s="781"/>
      <c r="T347" s="781"/>
      <c r="U347" s="781"/>
      <c r="V347" s="781"/>
      <c r="W347" s="137"/>
      <c r="X347" s="137"/>
      <c r="Y347" s="137"/>
      <c r="Z347" s="137"/>
    </row>
    <row r="348" ht="15.75" customHeight="1">
      <c r="A348" s="1385"/>
      <c r="B348" s="1385"/>
      <c r="C348" s="234"/>
      <c r="D348" s="815"/>
      <c r="E348" s="1537"/>
      <c r="F348" s="763"/>
      <c r="G348" s="763"/>
      <c r="H348" s="763"/>
      <c r="I348" s="763"/>
      <c r="J348" s="763"/>
      <c r="K348" s="781"/>
      <c r="L348" s="781"/>
      <c r="M348" s="781"/>
      <c r="N348" s="781"/>
      <c r="O348" s="781"/>
      <c r="P348" s="781"/>
      <c r="Q348" s="781"/>
      <c r="R348" s="781"/>
      <c r="S348" s="781"/>
      <c r="T348" s="781"/>
      <c r="U348" s="781"/>
      <c r="V348" s="781"/>
      <c r="W348" s="137"/>
      <c r="X348" s="137"/>
      <c r="Y348" s="137"/>
      <c r="Z348" s="137"/>
    </row>
    <row r="349" ht="15.75" customHeight="1">
      <c r="A349" s="1385"/>
      <c r="B349" s="1385"/>
      <c r="C349" s="234"/>
      <c r="D349" s="815"/>
      <c r="E349" s="1537"/>
      <c r="F349" s="763"/>
      <c r="G349" s="763"/>
      <c r="H349" s="763"/>
      <c r="I349" s="763"/>
      <c r="J349" s="763"/>
      <c r="K349" s="781"/>
      <c r="L349" s="781"/>
      <c r="M349" s="781"/>
      <c r="N349" s="781"/>
      <c r="O349" s="781"/>
      <c r="P349" s="781"/>
      <c r="Q349" s="781"/>
      <c r="R349" s="781"/>
      <c r="S349" s="781"/>
      <c r="T349" s="781"/>
      <c r="U349" s="781"/>
      <c r="V349" s="781"/>
      <c r="W349" s="137"/>
      <c r="X349" s="137"/>
      <c r="Y349" s="137"/>
      <c r="Z349" s="137"/>
    </row>
    <row r="350" ht="15.75" customHeight="1">
      <c r="A350" s="1385"/>
      <c r="B350" s="1385"/>
      <c r="C350" s="234"/>
      <c r="D350" s="815"/>
      <c r="E350" s="1537"/>
      <c r="F350" s="763"/>
      <c r="G350" s="763"/>
      <c r="H350" s="763"/>
      <c r="I350" s="763"/>
      <c r="J350" s="763"/>
      <c r="K350" s="781"/>
      <c r="L350" s="781"/>
      <c r="M350" s="781"/>
      <c r="N350" s="781"/>
      <c r="O350" s="781"/>
      <c r="P350" s="781"/>
      <c r="Q350" s="781"/>
      <c r="R350" s="781"/>
      <c r="S350" s="781"/>
      <c r="T350" s="781"/>
      <c r="U350" s="781"/>
      <c r="V350" s="781"/>
      <c r="W350" s="137"/>
      <c r="X350" s="137"/>
      <c r="Y350" s="137"/>
      <c r="Z350" s="137"/>
    </row>
    <row r="351" ht="15.75" customHeight="1">
      <c r="A351" s="1385"/>
      <c r="B351" s="1385"/>
      <c r="C351" s="234"/>
      <c r="D351" s="815"/>
      <c r="E351" s="1537"/>
      <c r="F351" s="763"/>
      <c r="G351" s="763"/>
      <c r="H351" s="763"/>
      <c r="I351" s="763"/>
      <c r="J351" s="763"/>
      <c r="K351" s="781"/>
      <c r="L351" s="781"/>
      <c r="M351" s="781"/>
      <c r="N351" s="781"/>
      <c r="O351" s="781"/>
      <c r="P351" s="781"/>
      <c r="Q351" s="781"/>
      <c r="R351" s="781"/>
      <c r="S351" s="781"/>
      <c r="T351" s="781"/>
      <c r="U351" s="781"/>
      <c r="V351" s="781"/>
      <c r="W351" s="137"/>
      <c r="X351" s="137"/>
      <c r="Y351" s="137"/>
      <c r="Z351" s="137"/>
    </row>
    <row r="352" ht="15.75" customHeight="1">
      <c r="A352" s="1385"/>
      <c r="B352" s="1385"/>
      <c r="C352" s="234"/>
      <c r="D352" s="815"/>
      <c r="E352" s="1537"/>
      <c r="F352" s="763"/>
      <c r="G352" s="763"/>
      <c r="H352" s="763"/>
      <c r="I352" s="763"/>
      <c r="J352" s="763"/>
      <c r="K352" s="781"/>
      <c r="L352" s="781"/>
      <c r="M352" s="781"/>
      <c r="N352" s="781"/>
      <c r="O352" s="781"/>
      <c r="P352" s="781"/>
      <c r="Q352" s="781"/>
      <c r="R352" s="781"/>
      <c r="S352" s="781"/>
      <c r="T352" s="781"/>
      <c r="U352" s="781"/>
      <c r="V352" s="781"/>
      <c r="W352" s="137"/>
      <c r="X352" s="137"/>
      <c r="Y352" s="137"/>
      <c r="Z352" s="137"/>
    </row>
    <row r="353" ht="15.75" customHeight="1">
      <c r="A353" s="1385"/>
      <c r="B353" s="1385"/>
      <c r="C353" s="234"/>
      <c r="D353" s="815"/>
      <c r="E353" s="1537"/>
      <c r="F353" s="763"/>
      <c r="G353" s="763"/>
      <c r="H353" s="763"/>
      <c r="I353" s="763"/>
      <c r="J353" s="763"/>
      <c r="K353" s="781"/>
      <c r="L353" s="781"/>
      <c r="M353" s="781"/>
      <c r="N353" s="781"/>
      <c r="O353" s="781"/>
      <c r="P353" s="781"/>
      <c r="Q353" s="781"/>
      <c r="R353" s="781"/>
      <c r="S353" s="781"/>
      <c r="T353" s="781"/>
      <c r="U353" s="781"/>
      <c r="V353" s="781"/>
      <c r="W353" s="137"/>
      <c r="X353" s="137"/>
      <c r="Y353" s="137"/>
      <c r="Z353" s="137"/>
    </row>
    <row r="354" ht="15.75" customHeight="1">
      <c r="A354" s="1385"/>
      <c r="B354" s="1385"/>
      <c r="C354" s="234"/>
      <c r="D354" s="815"/>
      <c r="E354" s="1537"/>
      <c r="F354" s="763"/>
      <c r="G354" s="763"/>
      <c r="H354" s="763"/>
      <c r="I354" s="763"/>
      <c r="J354" s="763"/>
      <c r="K354" s="781"/>
      <c r="L354" s="781"/>
      <c r="M354" s="781"/>
      <c r="N354" s="781"/>
      <c r="O354" s="781"/>
      <c r="P354" s="781"/>
      <c r="Q354" s="781"/>
      <c r="R354" s="781"/>
      <c r="S354" s="781"/>
      <c r="T354" s="781"/>
      <c r="U354" s="781"/>
      <c r="V354" s="781"/>
      <c r="W354" s="137"/>
      <c r="X354" s="137"/>
      <c r="Y354" s="137"/>
      <c r="Z354" s="137"/>
    </row>
    <row r="355" ht="15.75" customHeight="1">
      <c r="A355" s="1385"/>
      <c r="B355" s="1385"/>
      <c r="C355" s="234"/>
      <c r="D355" s="815"/>
      <c r="E355" s="1537"/>
      <c r="F355" s="763"/>
      <c r="G355" s="763"/>
      <c r="H355" s="763"/>
      <c r="I355" s="763"/>
      <c r="J355" s="763"/>
      <c r="K355" s="781"/>
      <c r="L355" s="781"/>
      <c r="M355" s="781"/>
      <c r="N355" s="781"/>
      <c r="O355" s="781"/>
      <c r="P355" s="781"/>
      <c r="Q355" s="781"/>
      <c r="R355" s="781"/>
      <c r="S355" s="781"/>
      <c r="T355" s="781"/>
      <c r="U355" s="781"/>
      <c r="V355" s="781"/>
      <c r="W355" s="137"/>
      <c r="X355" s="137"/>
      <c r="Y355" s="137"/>
      <c r="Z355" s="137"/>
    </row>
    <row r="356" ht="15.75" customHeight="1">
      <c r="A356" s="1385"/>
      <c r="B356" s="1385"/>
      <c r="C356" s="234"/>
      <c r="D356" s="815"/>
      <c r="E356" s="1537"/>
      <c r="F356" s="763"/>
      <c r="G356" s="763"/>
      <c r="H356" s="763"/>
      <c r="I356" s="763"/>
      <c r="J356" s="763"/>
      <c r="K356" s="781"/>
      <c r="L356" s="781"/>
      <c r="M356" s="781"/>
      <c r="N356" s="781"/>
      <c r="O356" s="781"/>
      <c r="P356" s="781"/>
      <c r="Q356" s="781"/>
      <c r="R356" s="781"/>
      <c r="S356" s="781"/>
      <c r="T356" s="781"/>
      <c r="U356" s="781"/>
      <c r="V356" s="781"/>
      <c r="W356" s="137"/>
      <c r="X356" s="137"/>
      <c r="Y356" s="137"/>
      <c r="Z356" s="137"/>
    </row>
    <row r="357" ht="15.75" customHeight="1">
      <c r="A357" s="1385"/>
      <c r="B357" s="1385"/>
      <c r="C357" s="234"/>
      <c r="D357" s="815"/>
      <c r="E357" s="1537"/>
      <c r="F357" s="763"/>
      <c r="G357" s="763"/>
      <c r="H357" s="763"/>
      <c r="I357" s="763"/>
      <c r="J357" s="763"/>
      <c r="K357" s="781"/>
      <c r="L357" s="781"/>
      <c r="M357" s="781"/>
      <c r="N357" s="781"/>
      <c r="O357" s="781"/>
      <c r="P357" s="781"/>
      <c r="Q357" s="781"/>
      <c r="R357" s="781"/>
      <c r="S357" s="781"/>
      <c r="T357" s="781"/>
      <c r="U357" s="781"/>
      <c r="V357" s="781"/>
      <c r="W357" s="137"/>
      <c r="X357" s="137"/>
      <c r="Y357" s="137"/>
      <c r="Z357" s="137"/>
    </row>
    <row r="358" ht="15.75" customHeight="1">
      <c r="A358" s="1385"/>
      <c r="B358" s="1385"/>
      <c r="C358" s="234"/>
      <c r="D358" s="815"/>
      <c r="E358" s="1537"/>
      <c r="F358" s="763"/>
      <c r="G358" s="763"/>
      <c r="H358" s="763"/>
      <c r="I358" s="763"/>
      <c r="J358" s="763"/>
      <c r="K358" s="781"/>
      <c r="L358" s="781"/>
      <c r="M358" s="781"/>
      <c r="N358" s="781"/>
      <c r="O358" s="781"/>
      <c r="P358" s="781"/>
      <c r="Q358" s="781"/>
      <c r="R358" s="781"/>
      <c r="S358" s="781"/>
      <c r="T358" s="781"/>
      <c r="U358" s="781"/>
      <c r="V358" s="781"/>
      <c r="W358" s="137"/>
      <c r="X358" s="137"/>
      <c r="Y358" s="137"/>
      <c r="Z358" s="137"/>
    </row>
    <row r="359" ht="15.75" customHeight="1">
      <c r="A359" s="1385"/>
      <c r="B359" s="1385"/>
      <c r="C359" s="234"/>
      <c r="D359" s="815"/>
      <c r="E359" s="1537"/>
      <c r="F359" s="763"/>
      <c r="G359" s="763"/>
      <c r="H359" s="763"/>
      <c r="I359" s="763"/>
      <c r="J359" s="763"/>
      <c r="K359" s="781"/>
      <c r="L359" s="781"/>
      <c r="M359" s="781"/>
      <c r="N359" s="781"/>
      <c r="O359" s="781"/>
      <c r="P359" s="781"/>
      <c r="Q359" s="781"/>
      <c r="R359" s="781"/>
      <c r="S359" s="781"/>
      <c r="T359" s="781"/>
      <c r="U359" s="781"/>
      <c r="V359" s="781"/>
      <c r="W359" s="137"/>
      <c r="X359" s="137"/>
      <c r="Y359" s="137"/>
      <c r="Z359" s="137"/>
    </row>
    <row r="360" ht="15.75" customHeight="1">
      <c r="A360" s="1385"/>
      <c r="B360" s="1385"/>
      <c r="C360" s="234"/>
      <c r="D360" s="815"/>
      <c r="E360" s="1537"/>
      <c r="F360" s="763"/>
      <c r="G360" s="763"/>
      <c r="H360" s="763"/>
      <c r="I360" s="763"/>
      <c r="J360" s="763"/>
      <c r="K360" s="781"/>
      <c r="L360" s="781"/>
      <c r="M360" s="781"/>
      <c r="N360" s="781"/>
      <c r="O360" s="781"/>
      <c r="P360" s="781"/>
      <c r="Q360" s="781"/>
      <c r="R360" s="781"/>
      <c r="S360" s="781"/>
      <c r="T360" s="781"/>
      <c r="U360" s="781"/>
      <c r="V360" s="781"/>
      <c r="W360" s="137"/>
      <c r="X360" s="137"/>
      <c r="Y360" s="137"/>
      <c r="Z360" s="137"/>
    </row>
    <row r="361" ht="15.75" customHeight="1">
      <c r="A361" s="1385"/>
      <c r="B361" s="1385"/>
      <c r="C361" s="234"/>
      <c r="D361" s="815"/>
      <c r="E361" s="1537"/>
      <c r="F361" s="763"/>
      <c r="G361" s="763"/>
      <c r="H361" s="763"/>
      <c r="I361" s="763"/>
      <c r="J361" s="763"/>
      <c r="K361" s="781"/>
      <c r="L361" s="781"/>
      <c r="M361" s="781"/>
      <c r="N361" s="781"/>
      <c r="O361" s="781"/>
      <c r="P361" s="781"/>
      <c r="Q361" s="781"/>
      <c r="R361" s="781"/>
      <c r="S361" s="781"/>
      <c r="T361" s="781"/>
      <c r="U361" s="781"/>
      <c r="V361" s="781"/>
      <c r="W361" s="137"/>
      <c r="X361" s="137"/>
      <c r="Y361" s="137"/>
      <c r="Z361" s="137"/>
    </row>
    <row r="362" ht="15.75" customHeight="1">
      <c r="A362" s="1385"/>
      <c r="B362" s="1385"/>
      <c r="C362" s="234"/>
      <c r="D362" s="815"/>
      <c r="E362" s="1537"/>
      <c r="F362" s="763"/>
      <c r="G362" s="763"/>
      <c r="H362" s="763"/>
      <c r="I362" s="763"/>
      <c r="J362" s="763"/>
      <c r="K362" s="781"/>
      <c r="L362" s="781"/>
      <c r="M362" s="781"/>
      <c r="N362" s="781"/>
      <c r="O362" s="781"/>
      <c r="P362" s="781"/>
      <c r="Q362" s="781"/>
      <c r="R362" s="781"/>
      <c r="S362" s="781"/>
      <c r="T362" s="781"/>
      <c r="U362" s="781"/>
      <c r="V362" s="781"/>
      <c r="W362" s="137"/>
      <c r="X362" s="137"/>
      <c r="Y362" s="137"/>
      <c r="Z362" s="137"/>
    </row>
    <row r="363" ht="15.75" customHeight="1">
      <c r="A363" s="1385"/>
      <c r="B363" s="1385"/>
      <c r="C363" s="234"/>
      <c r="D363" s="815"/>
      <c r="E363" s="1537"/>
      <c r="F363" s="763"/>
      <c r="G363" s="763"/>
      <c r="H363" s="763"/>
      <c r="I363" s="763"/>
      <c r="J363" s="763"/>
      <c r="K363" s="781"/>
      <c r="L363" s="781"/>
      <c r="M363" s="781"/>
      <c r="N363" s="781"/>
      <c r="O363" s="781"/>
      <c r="P363" s="781"/>
      <c r="Q363" s="781"/>
      <c r="R363" s="781"/>
      <c r="S363" s="781"/>
      <c r="T363" s="781"/>
      <c r="U363" s="781"/>
      <c r="V363" s="781"/>
      <c r="W363" s="137"/>
      <c r="X363" s="137"/>
      <c r="Y363" s="137"/>
      <c r="Z363" s="137"/>
    </row>
    <row r="364" ht="15.75" customHeight="1">
      <c r="A364" s="1385"/>
      <c r="B364" s="1385"/>
      <c r="C364" s="234"/>
      <c r="D364" s="815"/>
      <c r="E364" s="1537"/>
      <c r="F364" s="763"/>
      <c r="G364" s="763"/>
      <c r="H364" s="763"/>
      <c r="I364" s="763"/>
      <c r="J364" s="763"/>
      <c r="K364" s="781"/>
      <c r="L364" s="781"/>
      <c r="M364" s="781"/>
      <c r="N364" s="781"/>
      <c r="O364" s="781"/>
      <c r="P364" s="781"/>
      <c r="Q364" s="781"/>
      <c r="R364" s="781"/>
      <c r="S364" s="781"/>
      <c r="T364" s="781"/>
      <c r="U364" s="781"/>
      <c r="V364" s="781"/>
      <c r="W364" s="137"/>
      <c r="X364" s="137"/>
      <c r="Y364" s="137"/>
      <c r="Z364" s="137"/>
    </row>
    <row r="365" ht="15.75" customHeight="1">
      <c r="A365" s="1385"/>
      <c r="B365" s="1385"/>
      <c r="C365" s="234"/>
      <c r="D365" s="815"/>
      <c r="E365" s="1537"/>
      <c r="F365" s="763"/>
      <c r="G365" s="763"/>
      <c r="H365" s="763"/>
      <c r="I365" s="763"/>
      <c r="J365" s="763"/>
      <c r="K365" s="781"/>
      <c r="L365" s="781"/>
      <c r="M365" s="781"/>
      <c r="N365" s="781"/>
      <c r="O365" s="781"/>
      <c r="P365" s="781"/>
      <c r="Q365" s="781"/>
      <c r="R365" s="781"/>
      <c r="S365" s="781"/>
      <c r="T365" s="781"/>
      <c r="U365" s="781"/>
      <c r="V365" s="781"/>
      <c r="W365" s="137"/>
      <c r="X365" s="137"/>
      <c r="Y365" s="137"/>
      <c r="Z365" s="137"/>
    </row>
    <row r="366" ht="15.75" customHeight="1">
      <c r="A366" s="1385"/>
      <c r="B366" s="1385"/>
      <c r="C366" s="234"/>
      <c r="D366" s="815"/>
      <c r="E366" s="1537"/>
      <c r="F366" s="763"/>
      <c r="G366" s="763"/>
      <c r="H366" s="763"/>
      <c r="I366" s="763"/>
      <c r="J366" s="763"/>
      <c r="K366" s="781"/>
      <c r="L366" s="781"/>
      <c r="M366" s="781"/>
      <c r="N366" s="781"/>
      <c r="O366" s="781"/>
      <c r="P366" s="781"/>
      <c r="Q366" s="781"/>
      <c r="R366" s="781"/>
      <c r="S366" s="781"/>
      <c r="T366" s="781"/>
      <c r="U366" s="781"/>
      <c r="V366" s="781"/>
      <c r="W366" s="137"/>
      <c r="X366" s="137"/>
      <c r="Y366" s="137"/>
      <c r="Z366" s="137"/>
    </row>
    <row r="367" ht="15.75" customHeight="1">
      <c r="A367" s="1385"/>
      <c r="B367" s="1385"/>
      <c r="C367" s="234"/>
      <c r="D367" s="815"/>
      <c r="E367" s="1537"/>
      <c r="F367" s="763"/>
      <c r="G367" s="763"/>
      <c r="H367" s="763"/>
      <c r="I367" s="763"/>
      <c r="J367" s="763"/>
      <c r="K367" s="781"/>
      <c r="L367" s="781"/>
      <c r="M367" s="781"/>
      <c r="N367" s="781"/>
      <c r="O367" s="781"/>
      <c r="P367" s="781"/>
      <c r="Q367" s="781"/>
      <c r="R367" s="781"/>
      <c r="S367" s="781"/>
      <c r="T367" s="781"/>
      <c r="U367" s="781"/>
      <c r="V367" s="781"/>
      <c r="W367" s="137"/>
      <c r="X367" s="137"/>
      <c r="Y367" s="137"/>
      <c r="Z367" s="137"/>
    </row>
    <row r="368" ht="15.75" customHeight="1">
      <c r="A368" s="1385"/>
      <c r="B368" s="1385"/>
      <c r="C368" s="234"/>
      <c r="D368" s="815"/>
      <c r="E368" s="1537"/>
      <c r="F368" s="763"/>
      <c r="G368" s="763"/>
      <c r="H368" s="763"/>
      <c r="I368" s="763"/>
      <c r="J368" s="763"/>
      <c r="K368" s="781"/>
      <c r="L368" s="781"/>
      <c r="M368" s="781"/>
      <c r="N368" s="781"/>
      <c r="O368" s="781"/>
      <c r="P368" s="781"/>
      <c r="Q368" s="781"/>
      <c r="R368" s="781"/>
      <c r="S368" s="781"/>
      <c r="T368" s="781"/>
      <c r="U368" s="781"/>
      <c r="V368" s="781"/>
      <c r="W368" s="137"/>
      <c r="X368" s="137"/>
      <c r="Y368" s="137"/>
      <c r="Z368" s="137"/>
    </row>
    <row r="369" ht="15.75" customHeight="1">
      <c r="A369" s="1385"/>
      <c r="B369" s="1385"/>
      <c r="C369" s="234"/>
      <c r="D369" s="815"/>
      <c r="E369" s="1537"/>
      <c r="F369" s="763"/>
      <c r="G369" s="763"/>
      <c r="H369" s="763"/>
      <c r="I369" s="763"/>
      <c r="J369" s="763"/>
      <c r="K369" s="781"/>
      <c r="L369" s="781"/>
      <c r="M369" s="781"/>
      <c r="N369" s="781"/>
      <c r="O369" s="781"/>
      <c r="P369" s="781"/>
      <c r="Q369" s="781"/>
      <c r="R369" s="781"/>
      <c r="S369" s="781"/>
      <c r="T369" s="781"/>
      <c r="U369" s="781"/>
      <c r="V369" s="781"/>
      <c r="W369" s="137"/>
      <c r="X369" s="137"/>
      <c r="Y369" s="137"/>
      <c r="Z369" s="137"/>
    </row>
    <row r="370" ht="15.75" customHeight="1">
      <c r="A370" s="1385"/>
      <c r="B370" s="1385"/>
      <c r="C370" s="234"/>
      <c r="D370" s="815"/>
      <c r="E370" s="1537"/>
      <c r="F370" s="763"/>
      <c r="G370" s="763"/>
      <c r="H370" s="763"/>
      <c r="I370" s="763"/>
      <c r="J370" s="763"/>
      <c r="K370" s="781"/>
      <c r="L370" s="781"/>
      <c r="M370" s="781"/>
      <c r="N370" s="781"/>
      <c r="O370" s="781"/>
      <c r="P370" s="781"/>
      <c r="Q370" s="781"/>
      <c r="R370" s="781"/>
      <c r="S370" s="781"/>
      <c r="T370" s="781"/>
      <c r="U370" s="781"/>
      <c r="V370" s="781"/>
      <c r="W370" s="137"/>
      <c r="X370" s="137"/>
      <c r="Y370" s="137"/>
      <c r="Z370" s="137"/>
    </row>
    <row r="371" ht="15.75" customHeight="1">
      <c r="A371" s="1385"/>
      <c r="B371" s="1385"/>
      <c r="C371" s="234"/>
      <c r="D371" s="815"/>
      <c r="E371" s="1537"/>
      <c r="F371" s="763"/>
      <c r="G371" s="763"/>
      <c r="H371" s="763"/>
      <c r="I371" s="763"/>
      <c r="J371" s="763"/>
      <c r="K371" s="781"/>
      <c r="L371" s="781"/>
      <c r="M371" s="781"/>
      <c r="N371" s="781"/>
      <c r="O371" s="781"/>
      <c r="P371" s="781"/>
      <c r="Q371" s="781"/>
      <c r="R371" s="781"/>
      <c r="S371" s="781"/>
      <c r="T371" s="781"/>
      <c r="U371" s="781"/>
      <c r="V371" s="781"/>
      <c r="W371" s="137"/>
      <c r="X371" s="137"/>
      <c r="Y371" s="137"/>
      <c r="Z371" s="137"/>
    </row>
    <row r="372" ht="15.75" customHeight="1">
      <c r="A372" s="1385"/>
      <c r="B372" s="1385"/>
      <c r="C372" s="234"/>
      <c r="D372" s="815"/>
      <c r="E372" s="1537"/>
      <c r="F372" s="763"/>
      <c r="G372" s="763"/>
      <c r="H372" s="763"/>
      <c r="I372" s="763"/>
      <c r="J372" s="763"/>
      <c r="K372" s="781"/>
      <c r="L372" s="781"/>
      <c r="M372" s="781"/>
      <c r="N372" s="781"/>
      <c r="O372" s="781"/>
      <c r="P372" s="781"/>
      <c r="Q372" s="781"/>
      <c r="R372" s="781"/>
      <c r="S372" s="781"/>
      <c r="T372" s="781"/>
      <c r="U372" s="781"/>
      <c r="V372" s="781"/>
      <c r="W372" s="137"/>
      <c r="X372" s="137"/>
      <c r="Y372" s="137"/>
      <c r="Z372" s="137"/>
    </row>
    <row r="373" ht="15.75" customHeight="1">
      <c r="A373" s="1385"/>
      <c r="B373" s="1385"/>
      <c r="C373" s="234"/>
      <c r="D373" s="815"/>
      <c r="E373" s="1537"/>
      <c r="F373" s="763"/>
      <c r="G373" s="763"/>
      <c r="H373" s="763"/>
      <c r="I373" s="763"/>
      <c r="J373" s="763"/>
      <c r="K373" s="781"/>
      <c r="L373" s="781"/>
      <c r="M373" s="781"/>
      <c r="N373" s="781"/>
      <c r="O373" s="781"/>
      <c r="P373" s="781"/>
      <c r="Q373" s="781"/>
      <c r="R373" s="781"/>
      <c r="S373" s="781"/>
      <c r="T373" s="781"/>
      <c r="U373" s="781"/>
      <c r="V373" s="781"/>
      <c r="W373" s="137"/>
      <c r="X373" s="137"/>
      <c r="Y373" s="137"/>
      <c r="Z373" s="137"/>
    </row>
    <row r="374" ht="15.75" customHeight="1">
      <c r="A374" s="1385"/>
      <c r="B374" s="1385"/>
      <c r="C374" s="234"/>
      <c r="D374" s="815"/>
      <c r="E374" s="1537"/>
      <c r="F374" s="763"/>
      <c r="G374" s="763"/>
      <c r="H374" s="763"/>
      <c r="I374" s="763"/>
      <c r="J374" s="763"/>
      <c r="K374" s="781"/>
      <c r="L374" s="781"/>
      <c r="M374" s="781"/>
      <c r="N374" s="781"/>
      <c r="O374" s="781"/>
      <c r="P374" s="781"/>
      <c r="Q374" s="781"/>
      <c r="R374" s="781"/>
      <c r="S374" s="781"/>
      <c r="T374" s="781"/>
      <c r="U374" s="781"/>
      <c r="V374" s="781"/>
      <c r="W374" s="137"/>
      <c r="X374" s="137"/>
      <c r="Y374" s="137"/>
      <c r="Z374" s="137"/>
    </row>
    <row r="375" ht="15.75" customHeight="1">
      <c r="A375" s="1385"/>
      <c r="B375" s="1385"/>
      <c r="C375" s="234"/>
      <c r="D375" s="815"/>
      <c r="E375" s="1537"/>
      <c r="F375" s="763"/>
      <c r="G375" s="763"/>
      <c r="H375" s="763"/>
      <c r="I375" s="763"/>
      <c r="J375" s="763"/>
      <c r="K375" s="781"/>
      <c r="L375" s="781"/>
      <c r="M375" s="781"/>
      <c r="N375" s="781"/>
      <c r="O375" s="781"/>
      <c r="P375" s="781"/>
      <c r="Q375" s="781"/>
      <c r="R375" s="781"/>
      <c r="S375" s="781"/>
      <c r="T375" s="781"/>
      <c r="U375" s="781"/>
      <c r="V375" s="781"/>
      <c r="W375" s="137"/>
      <c r="X375" s="137"/>
      <c r="Y375" s="137"/>
      <c r="Z375" s="137"/>
    </row>
    <row r="376" ht="15.75" customHeight="1">
      <c r="A376" s="1385"/>
      <c r="B376" s="1385"/>
      <c r="C376" s="234"/>
      <c r="D376" s="815"/>
      <c r="E376" s="1537"/>
      <c r="F376" s="763"/>
      <c r="G376" s="763"/>
      <c r="H376" s="763"/>
      <c r="I376" s="763"/>
      <c r="J376" s="763"/>
      <c r="K376" s="781"/>
      <c r="L376" s="781"/>
      <c r="M376" s="781"/>
      <c r="N376" s="781"/>
      <c r="O376" s="781"/>
      <c r="P376" s="781"/>
      <c r="Q376" s="781"/>
      <c r="R376" s="781"/>
      <c r="S376" s="781"/>
      <c r="T376" s="781"/>
      <c r="U376" s="781"/>
      <c r="V376" s="781"/>
      <c r="W376" s="137"/>
      <c r="X376" s="137"/>
      <c r="Y376" s="137"/>
      <c r="Z376" s="137"/>
    </row>
    <row r="377" ht="15.75" customHeight="1">
      <c r="A377" s="1385"/>
      <c r="B377" s="1385"/>
      <c r="C377" s="234"/>
      <c r="D377" s="815"/>
      <c r="E377" s="1537"/>
      <c r="F377" s="763"/>
      <c r="G377" s="763"/>
      <c r="H377" s="763"/>
      <c r="I377" s="763"/>
      <c r="J377" s="763"/>
      <c r="K377" s="781"/>
      <c r="L377" s="781"/>
      <c r="M377" s="781"/>
      <c r="N377" s="781"/>
      <c r="O377" s="781"/>
      <c r="P377" s="781"/>
      <c r="Q377" s="781"/>
      <c r="R377" s="781"/>
      <c r="S377" s="781"/>
      <c r="T377" s="781"/>
      <c r="U377" s="781"/>
      <c r="V377" s="781"/>
      <c r="W377" s="137"/>
      <c r="X377" s="137"/>
      <c r="Y377" s="137"/>
      <c r="Z377" s="137"/>
    </row>
    <row r="378" ht="15.75" customHeight="1">
      <c r="A378" s="1385"/>
      <c r="B378" s="1385"/>
      <c r="C378" s="234"/>
      <c r="D378" s="815"/>
      <c r="E378" s="1537"/>
      <c r="F378" s="763"/>
      <c r="G378" s="763"/>
      <c r="H378" s="763"/>
      <c r="I378" s="763"/>
      <c r="J378" s="763"/>
      <c r="K378" s="781"/>
      <c r="L378" s="781"/>
      <c r="M378" s="781"/>
      <c r="N378" s="781"/>
      <c r="O378" s="781"/>
      <c r="P378" s="781"/>
      <c r="Q378" s="781"/>
      <c r="R378" s="781"/>
      <c r="S378" s="781"/>
      <c r="T378" s="781"/>
      <c r="U378" s="781"/>
      <c r="V378" s="781"/>
      <c r="W378" s="137"/>
      <c r="X378" s="137"/>
      <c r="Y378" s="137"/>
      <c r="Z378" s="137"/>
    </row>
    <row r="379" ht="15.75" customHeight="1">
      <c r="A379" s="1385"/>
      <c r="B379" s="1385"/>
      <c r="C379" s="234"/>
      <c r="D379" s="815"/>
      <c r="E379" s="1537"/>
      <c r="F379" s="763"/>
      <c r="G379" s="763"/>
      <c r="H379" s="763"/>
      <c r="I379" s="763"/>
      <c r="J379" s="763"/>
      <c r="K379" s="781"/>
      <c r="L379" s="781"/>
      <c r="M379" s="781"/>
      <c r="N379" s="781"/>
      <c r="O379" s="781"/>
      <c r="P379" s="781"/>
      <c r="Q379" s="781"/>
      <c r="R379" s="781"/>
      <c r="S379" s="781"/>
      <c r="T379" s="781"/>
      <c r="U379" s="781"/>
      <c r="V379" s="781"/>
      <c r="W379" s="137"/>
      <c r="X379" s="137"/>
      <c r="Y379" s="137"/>
      <c r="Z379" s="137"/>
    </row>
    <row r="380" ht="15.75" customHeight="1">
      <c r="A380" s="1385"/>
      <c r="B380" s="1385"/>
      <c r="C380" s="234"/>
      <c r="D380" s="815"/>
      <c r="E380" s="1537"/>
      <c r="F380" s="763"/>
      <c r="G380" s="763"/>
      <c r="H380" s="763"/>
      <c r="I380" s="763"/>
      <c r="J380" s="763"/>
      <c r="K380" s="781"/>
      <c r="L380" s="781"/>
      <c r="M380" s="781"/>
      <c r="N380" s="781"/>
      <c r="O380" s="781"/>
      <c r="P380" s="781"/>
      <c r="Q380" s="781"/>
      <c r="R380" s="781"/>
      <c r="S380" s="781"/>
      <c r="T380" s="781"/>
      <c r="U380" s="781"/>
      <c r="V380" s="781"/>
      <c r="W380" s="137"/>
      <c r="X380" s="137"/>
      <c r="Y380" s="137"/>
      <c r="Z380" s="137"/>
    </row>
    <row r="381" ht="15.75" customHeight="1">
      <c r="A381" s="1385"/>
      <c r="B381" s="1385"/>
      <c r="C381" s="234"/>
      <c r="D381" s="815"/>
      <c r="E381" s="1537"/>
      <c r="F381" s="763"/>
      <c r="G381" s="763"/>
      <c r="H381" s="763"/>
      <c r="I381" s="763"/>
      <c r="J381" s="763"/>
      <c r="K381" s="781"/>
      <c r="L381" s="781"/>
      <c r="M381" s="781"/>
      <c r="N381" s="781"/>
      <c r="O381" s="781"/>
      <c r="P381" s="781"/>
      <c r="Q381" s="781"/>
      <c r="R381" s="781"/>
      <c r="S381" s="781"/>
      <c r="T381" s="781"/>
      <c r="U381" s="781"/>
      <c r="V381" s="781"/>
      <c r="W381" s="137"/>
      <c r="X381" s="137"/>
      <c r="Y381" s="137"/>
      <c r="Z381" s="137"/>
    </row>
    <row r="382" ht="15.75" customHeight="1">
      <c r="A382" s="1385"/>
      <c r="B382" s="1385"/>
      <c r="C382" s="234"/>
      <c r="D382" s="815"/>
      <c r="E382" s="1537"/>
      <c r="F382" s="763"/>
      <c r="G382" s="763"/>
      <c r="H382" s="763"/>
      <c r="I382" s="763"/>
      <c r="J382" s="763"/>
      <c r="K382" s="781"/>
      <c r="L382" s="781"/>
      <c r="M382" s="781"/>
      <c r="N382" s="781"/>
      <c r="O382" s="781"/>
      <c r="P382" s="781"/>
      <c r="Q382" s="781"/>
      <c r="R382" s="781"/>
      <c r="S382" s="781"/>
      <c r="T382" s="781"/>
      <c r="U382" s="781"/>
      <c r="V382" s="781"/>
      <c r="W382" s="137"/>
      <c r="X382" s="137"/>
      <c r="Y382" s="137"/>
      <c r="Z382" s="137"/>
    </row>
    <row r="383" ht="15.75" customHeight="1">
      <c r="A383" s="1385"/>
      <c r="B383" s="1385"/>
      <c r="C383" s="234"/>
      <c r="D383" s="815"/>
      <c r="E383" s="1537"/>
      <c r="F383" s="763"/>
      <c r="G383" s="763"/>
      <c r="H383" s="763"/>
      <c r="I383" s="763"/>
      <c r="J383" s="763"/>
      <c r="K383" s="781"/>
      <c r="L383" s="781"/>
      <c r="M383" s="781"/>
      <c r="N383" s="781"/>
      <c r="O383" s="781"/>
      <c r="P383" s="781"/>
      <c r="Q383" s="781"/>
      <c r="R383" s="781"/>
      <c r="S383" s="781"/>
      <c r="T383" s="781"/>
      <c r="U383" s="781"/>
      <c r="V383" s="781"/>
      <c r="W383" s="137"/>
      <c r="X383" s="137"/>
      <c r="Y383" s="137"/>
      <c r="Z383" s="137"/>
    </row>
    <row r="384" ht="15.75" customHeight="1">
      <c r="A384" s="1385"/>
      <c r="B384" s="1385"/>
      <c r="C384" s="234"/>
      <c r="D384" s="815"/>
      <c r="E384" s="1537"/>
      <c r="F384" s="763"/>
      <c r="G384" s="763"/>
      <c r="H384" s="763"/>
      <c r="I384" s="763"/>
      <c r="J384" s="763"/>
      <c r="K384" s="781"/>
      <c r="L384" s="781"/>
      <c r="M384" s="781"/>
      <c r="N384" s="781"/>
      <c r="O384" s="781"/>
      <c r="P384" s="781"/>
      <c r="Q384" s="781"/>
      <c r="R384" s="781"/>
      <c r="S384" s="781"/>
      <c r="T384" s="781"/>
      <c r="U384" s="781"/>
      <c r="V384" s="781"/>
      <c r="W384" s="137"/>
      <c r="X384" s="137"/>
      <c r="Y384" s="137"/>
      <c r="Z384" s="137"/>
    </row>
    <row r="385" ht="15.75" customHeight="1">
      <c r="A385" s="1385"/>
      <c r="B385" s="1385"/>
      <c r="C385" s="234"/>
      <c r="D385" s="815"/>
      <c r="E385" s="1537"/>
      <c r="F385" s="763"/>
      <c r="G385" s="763"/>
      <c r="H385" s="763"/>
      <c r="I385" s="763"/>
      <c r="J385" s="763"/>
      <c r="K385" s="781"/>
      <c r="L385" s="781"/>
      <c r="M385" s="781"/>
      <c r="N385" s="781"/>
      <c r="O385" s="781"/>
      <c r="P385" s="781"/>
      <c r="Q385" s="781"/>
      <c r="R385" s="781"/>
      <c r="S385" s="781"/>
      <c r="T385" s="781"/>
      <c r="U385" s="781"/>
      <c r="V385" s="781"/>
      <c r="W385" s="137"/>
      <c r="X385" s="137"/>
      <c r="Y385" s="137"/>
      <c r="Z385" s="137"/>
    </row>
    <row r="386" ht="15.75" customHeight="1">
      <c r="A386" s="1385"/>
      <c r="B386" s="1385"/>
      <c r="C386" s="234"/>
      <c r="D386" s="815"/>
      <c r="E386" s="1537"/>
      <c r="F386" s="763"/>
      <c r="G386" s="763"/>
      <c r="H386" s="763"/>
      <c r="I386" s="763"/>
      <c r="J386" s="763"/>
      <c r="K386" s="781"/>
      <c r="L386" s="781"/>
      <c r="M386" s="781"/>
      <c r="N386" s="781"/>
      <c r="O386" s="781"/>
      <c r="P386" s="781"/>
      <c r="Q386" s="781"/>
      <c r="R386" s="781"/>
      <c r="S386" s="781"/>
      <c r="T386" s="781"/>
      <c r="U386" s="781"/>
      <c r="V386" s="781"/>
      <c r="W386" s="137"/>
      <c r="X386" s="137"/>
      <c r="Y386" s="137"/>
      <c r="Z386" s="137"/>
    </row>
    <row r="387" ht="15.75" customHeight="1">
      <c r="A387" s="1385"/>
      <c r="B387" s="1385"/>
      <c r="C387" s="234"/>
      <c r="D387" s="815"/>
      <c r="E387" s="1537"/>
      <c r="F387" s="763"/>
      <c r="G387" s="763"/>
      <c r="H387" s="763"/>
      <c r="I387" s="763"/>
      <c r="J387" s="763"/>
      <c r="K387" s="781"/>
      <c r="L387" s="781"/>
      <c r="M387" s="781"/>
      <c r="N387" s="781"/>
      <c r="O387" s="781"/>
      <c r="P387" s="781"/>
      <c r="Q387" s="781"/>
      <c r="R387" s="781"/>
      <c r="S387" s="781"/>
      <c r="T387" s="781"/>
      <c r="U387" s="781"/>
      <c r="V387" s="781"/>
      <c r="W387" s="137"/>
      <c r="X387" s="137"/>
      <c r="Y387" s="137"/>
      <c r="Z387" s="137"/>
    </row>
    <row r="388" ht="15.75" customHeight="1">
      <c r="A388" s="1385"/>
      <c r="B388" s="1385"/>
      <c r="C388" s="234"/>
      <c r="D388" s="815"/>
      <c r="E388" s="1537"/>
      <c r="F388" s="763"/>
      <c r="G388" s="763"/>
      <c r="H388" s="763"/>
      <c r="I388" s="763"/>
      <c r="J388" s="763"/>
      <c r="K388" s="781"/>
      <c r="L388" s="781"/>
      <c r="M388" s="781"/>
      <c r="N388" s="781"/>
      <c r="O388" s="781"/>
      <c r="P388" s="781"/>
      <c r="Q388" s="781"/>
      <c r="R388" s="781"/>
      <c r="S388" s="781"/>
      <c r="T388" s="781"/>
      <c r="U388" s="781"/>
      <c r="V388" s="781"/>
      <c r="W388" s="137"/>
      <c r="X388" s="137"/>
      <c r="Y388" s="137"/>
      <c r="Z388" s="137"/>
    </row>
    <row r="389" ht="15.75" customHeight="1">
      <c r="A389" s="1385"/>
      <c r="B389" s="1385"/>
      <c r="C389" s="234"/>
      <c r="D389" s="815"/>
      <c r="E389" s="1537"/>
      <c r="F389" s="763"/>
      <c r="G389" s="763"/>
      <c r="H389" s="763"/>
      <c r="I389" s="763"/>
      <c r="J389" s="763"/>
      <c r="K389" s="781"/>
      <c r="L389" s="781"/>
      <c r="M389" s="781"/>
      <c r="N389" s="781"/>
      <c r="O389" s="781"/>
      <c r="P389" s="781"/>
      <c r="Q389" s="781"/>
      <c r="R389" s="781"/>
      <c r="S389" s="781"/>
      <c r="T389" s="781"/>
      <c r="U389" s="781"/>
      <c r="V389" s="781"/>
      <c r="W389" s="137"/>
      <c r="X389" s="137"/>
      <c r="Y389" s="137"/>
      <c r="Z389" s="137"/>
    </row>
    <row r="390" ht="15.75" customHeight="1">
      <c r="A390" s="1385"/>
      <c r="B390" s="1385"/>
      <c r="C390" s="234"/>
      <c r="D390" s="815"/>
      <c r="E390" s="1537"/>
      <c r="F390" s="763"/>
      <c r="G390" s="763"/>
      <c r="H390" s="763"/>
      <c r="I390" s="763"/>
      <c r="J390" s="763"/>
      <c r="K390" s="781"/>
      <c r="L390" s="781"/>
      <c r="M390" s="781"/>
      <c r="N390" s="781"/>
      <c r="O390" s="781"/>
      <c r="P390" s="781"/>
      <c r="Q390" s="781"/>
      <c r="R390" s="781"/>
      <c r="S390" s="781"/>
      <c r="T390" s="781"/>
      <c r="U390" s="781"/>
      <c r="V390" s="781"/>
      <c r="W390" s="137"/>
      <c r="X390" s="137"/>
      <c r="Y390" s="137"/>
      <c r="Z390" s="137"/>
    </row>
    <row r="391" ht="15.75" customHeight="1">
      <c r="A391" s="1385"/>
      <c r="B391" s="1385"/>
      <c r="C391" s="234"/>
      <c r="D391" s="815"/>
      <c r="E391" s="1537"/>
      <c r="F391" s="763"/>
      <c r="G391" s="763"/>
      <c r="H391" s="763"/>
      <c r="I391" s="763"/>
      <c r="J391" s="763"/>
      <c r="K391" s="781"/>
      <c r="L391" s="781"/>
      <c r="M391" s="781"/>
      <c r="N391" s="781"/>
      <c r="O391" s="781"/>
      <c r="P391" s="781"/>
      <c r="Q391" s="781"/>
      <c r="R391" s="781"/>
      <c r="S391" s="781"/>
      <c r="T391" s="781"/>
      <c r="U391" s="781"/>
      <c r="V391" s="781"/>
      <c r="W391" s="137"/>
      <c r="X391" s="137"/>
      <c r="Y391" s="137"/>
      <c r="Z391" s="137"/>
    </row>
    <row r="392" ht="15.75" customHeight="1">
      <c r="A392" s="1385"/>
      <c r="B392" s="1385"/>
      <c r="C392" s="234"/>
      <c r="D392" s="815"/>
      <c r="E392" s="1537"/>
      <c r="F392" s="763"/>
      <c r="G392" s="763"/>
      <c r="H392" s="763"/>
      <c r="I392" s="763"/>
      <c r="J392" s="763"/>
      <c r="K392" s="781"/>
      <c r="L392" s="781"/>
      <c r="M392" s="781"/>
      <c r="N392" s="781"/>
      <c r="O392" s="781"/>
      <c r="P392" s="781"/>
      <c r="Q392" s="781"/>
      <c r="R392" s="781"/>
      <c r="S392" s="781"/>
      <c r="T392" s="781"/>
      <c r="U392" s="781"/>
      <c r="V392" s="781"/>
      <c r="W392" s="137"/>
      <c r="X392" s="137"/>
      <c r="Y392" s="137"/>
      <c r="Z392" s="137"/>
    </row>
    <row r="393" ht="15.75" customHeight="1">
      <c r="A393" s="1385"/>
      <c r="B393" s="1385"/>
      <c r="C393" s="234"/>
      <c r="D393" s="815"/>
      <c r="E393" s="1537"/>
      <c r="F393" s="763"/>
      <c r="G393" s="763"/>
      <c r="H393" s="763"/>
      <c r="I393" s="763"/>
      <c r="J393" s="763"/>
      <c r="K393" s="781"/>
      <c r="L393" s="781"/>
      <c r="M393" s="781"/>
      <c r="N393" s="781"/>
      <c r="O393" s="781"/>
      <c r="P393" s="781"/>
      <c r="Q393" s="781"/>
      <c r="R393" s="781"/>
      <c r="S393" s="781"/>
      <c r="T393" s="781"/>
      <c r="U393" s="781"/>
      <c r="V393" s="781"/>
      <c r="W393" s="137"/>
      <c r="X393" s="137"/>
      <c r="Y393" s="137"/>
      <c r="Z393" s="137"/>
    </row>
    <row r="394" ht="15.75" customHeight="1">
      <c r="A394" s="1385"/>
      <c r="B394" s="1385"/>
      <c r="C394" s="234"/>
      <c r="D394" s="815"/>
      <c r="E394" s="1537"/>
      <c r="F394" s="763"/>
      <c r="G394" s="763"/>
      <c r="H394" s="763"/>
      <c r="I394" s="763"/>
      <c r="J394" s="763"/>
      <c r="K394" s="781"/>
      <c r="L394" s="781"/>
      <c r="M394" s="781"/>
      <c r="N394" s="781"/>
      <c r="O394" s="781"/>
      <c r="P394" s="781"/>
      <c r="Q394" s="781"/>
      <c r="R394" s="781"/>
      <c r="S394" s="781"/>
      <c r="T394" s="781"/>
      <c r="U394" s="781"/>
      <c r="V394" s="781"/>
      <c r="W394" s="137"/>
      <c r="X394" s="137"/>
      <c r="Y394" s="137"/>
      <c r="Z394" s="137"/>
    </row>
    <row r="395" ht="15.75" customHeight="1">
      <c r="A395" s="1385"/>
      <c r="B395" s="1385"/>
      <c r="C395" s="234"/>
      <c r="D395" s="815"/>
      <c r="E395" s="1537"/>
      <c r="F395" s="763"/>
      <c r="G395" s="763"/>
      <c r="H395" s="763"/>
      <c r="I395" s="763"/>
      <c r="J395" s="763"/>
      <c r="K395" s="781"/>
      <c r="L395" s="781"/>
      <c r="M395" s="781"/>
      <c r="N395" s="781"/>
      <c r="O395" s="781"/>
      <c r="P395" s="781"/>
      <c r="Q395" s="781"/>
      <c r="R395" s="781"/>
      <c r="S395" s="781"/>
      <c r="T395" s="781"/>
      <c r="U395" s="781"/>
      <c r="V395" s="781"/>
      <c r="W395" s="137"/>
      <c r="X395" s="137"/>
      <c r="Y395" s="137"/>
      <c r="Z395" s="137"/>
    </row>
    <row r="396" ht="15.75" customHeight="1">
      <c r="A396" s="1385"/>
      <c r="B396" s="1385"/>
      <c r="C396" s="234"/>
      <c r="D396" s="815"/>
      <c r="E396" s="1537"/>
      <c r="F396" s="763"/>
      <c r="G396" s="763"/>
      <c r="H396" s="763"/>
      <c r="I396" s="763"/>
      <c r="J396" s="763"/>
      <c r="K396" s="781"/>
      <c r="L396" s="781"/>
      <c r="M396" s="781"/>
      <c r="N396" s="781"/>
      <c r="O396" s="781"/>
      <c r="P396" s="781"/>
      <c r="Q396" s="781"/>
      <c r="R396" s="781"/>
      <c r="S396" s="781"/>
      <c r="T396" s="781"/>
      <c r="U396" s="781"/>
      <c r="V396" s="781"/>
      <c r="W396" s="137"/>
      <c r="X396" s="137"/>
      <c r="Y396" s="137"/>
      <c r="Z396" s="137"/>
    </row>
    <row r="397" ht="15.75" customHeight="1">
      <c r="A397" s="1385"/>
      <c r="B397" s="1385"/>
      <c r="C397" s="234"/>
      <c r="D397" s="815"/>
      <c r="E397" s="1537"/>
      <c r="F397" s="763"/>
      <c r="G397" s="763"/>
      <c r="H397" s="763"/>
      <c r="I397" s="763"/>
      <c r="J397" s="763"/>
      <c r="K397" s="781"/>
      <c r="L397" s="781"/>
      <c r="M397" s="781"/>
      <c r="N397" s="781"/>
      <c r="O397" s="781"/>
      <c r="P397" s="781"/>
      <c r="Q397" s="781"/>
      <c r="R397" s="781"/>
      <c r="S397" s="781"/>
      <c r="T397" s="781"/>
      <c r="U397" s="781"/>
      <c r="V397" s="781"/>
      <c r="W397" s="137"/>
      <c r="X397" s="137"/>
      <c r="Y397" s="137"/>
      <c r="Z397" s="137"/>
    </row>
    <row r="398" ht="15.75" customHeight="1">
      <c r="A398" s="1385"/>
      <c r="B398" s="1385"/>
      <c r="C398" s="234"/>
      <c r="D398" s="815"/>
      <c r="E398" s="1537"/>
      <c r="F398" s="763"/>
      <c r="G398" s="763"/>
      <c r="H398" s="763"/>
      <c r="I398" s="763"/>
      <c r="J398" s="763"/>
      <c r="K398" s="781"/>
      <c r="L398" s="781"/>
      <c r="M398" s="781"/>
      <c r="N398" s="781"/>
      <c r="O398" s="781"/>
      <c r="P398" s="781"/>
      <c r="Q398" s="781"/>
      <c r="R398" s="781"/>
      <c r="S398" s="781"/>
      <c r="T398" s="781"/>
      <c r="U398" s="781"/>
      <c r="V398" s="781"/>
      <c r="W398" s="137"/>
      <c r="X398" s="137"/>
      <c r="Y398" s="137"/>
      <c r="Z398" s="137"/>
    </row>
    <row r="399" ht="15.75" customHeight="1">
      <c r="A399" s="1385"/>
      <c r="B399" s="1385"/>
      <c r="C399" s="234"/>
      <c r="D399" s="815"/>
      <c r="E399" s="1537"/>
      <c r="F399" s="763"/>
      <c r="G399" s="763"/>
      <c r="H399" s="763"/>
      <c r="I399" s="763"/>
      <c r="J399" s="763"/>
      <c r="K399" s="781"/>
      <c r="L399" s="781"/>
      <c r="M399" s="781"/>
      <c r="N399" s="781"/>
      <c r="O399" s="781"/>
      <c r="P399" s="781"/>
      <c r="Q399" s="781"/>
      <c r="R399" s="781"/>
      <c r="S399" s="781"/>
      <c r="T399" s="781"/>
      <c r="U399" s="781"/>
      <c r="V399" s="781"/>
      <c r="W399" s="137"/>
      <c r="X399" s="137"/>
      <c r="Y399" s="137"/>
      <c r="Z399" s="137"/>
    </row>
    <row r="400" ht="15.75" customHeight="1">
      <c r="A400" s="1385"/>
      <c r="B400" s="1385"/>
      <c r="C400" s="234"/>
      <c r="D400" s="815"/>
      <c r="E400" s="1537"/>
      <c r="F400" s="763"/>
      <c r="G400" s="763"/>
      <c r="H400" s="763"/>
      <c r="I400" s="763"/>
      <c r="J400" s="763"/>
      <c r="K400" s="781"/>
      <c r="L400" s="781"/>
      <c r="M400" s="781"/>
      <c r="N400" s="781"/>
      <c r="O400" s="781"/>
      <c r="P400" s="781"/>
      <c r="Q400" s="781"/>
      <c r="R400" s="781"/>
      <c r="S400" s="781"/>
      <c r="T400" s="781"/>
      <c r="U400" s="781"/>
      <c r="V400" s="781"/>
      <c r="W400" s="137"/>
      <c r="X400" s="137"/>
      <c r="Y400" s="137"/>
      <c r="Z400" s="137"/>
    </row>
    <row r="401" ht="15.75" customHeight="1">
      <c r="A401" s="1385"/>
      <c r="B401" s="1385"/>
      <c r="C401" s="234"/>
      <c r="D401" s="815"/>
      <c r="E401" s="1537"/>
      <c r="F401" s="763"/>
      <c r="G401" s="763"/>
      <c r="H401" s="763"/>
      <c r="I401" s="763"/>
      <c r="J401" s="763"/>
      <c r="K401" s="781"/>
      <c r="L401" s="781"/>
      <c r="M401" s="781"/>
      <c r="N401" s="781"/>
      <c r="O401" s="781"/>
      <c r="P401" s="781"/>
      <c r="Q401" s="781"/>
      <c r="R401" s="781"/>
      <c r="S401" s="781"/>
      <c r="T401" s="781"/>
      <c r="U401" s="781"/>
      <c r="V401" s="781"/>
      <c r="W401" s="137"/>
      <c r="X401" s="137"/>
      <c r="Y401" s="137"/>
      <c r="Z401" s="137"/>
    </row>
    <row r="402" ht="15.75" customHeight="1">
      <c r="A402" s="1385"/>
      <c r="B402" s="1385"/>
      <c r="C402" s="234"/>
      <c r="D402" s="815"/>
      <c r="E402" s="1537"/>
      <c r="F402" s="763"/>
      <c r="G402" s="763"/>
      <c r="H402" s="763"/>
      <c r="I402" s="763"/>
      <c r="J402" s="763"/>
      <c r="K402" s="781"/>
      <c r="L402" s="781"/>
      <c r="M402" s="781"/>
      <c r="N402" s="781"/>
      <c r="O402" s="781"/>
      <c r="P402" s="781"/>
      <c r="Q402" s="781"/>
      <c r="R402" s="781"/>
      <c r="S402" s="781"/>
      <c r="T402" s="781"/>
      <c r="U402" s="781"/>
      <c r="V402" s="781"/>
      <c r="W402" s="137"/>
      <c r="X402" s="137"/>
      <c r="Y402" s="137"/>
      <c r="Z402" s="137"/>
    </row>
    <row r="403" ht="15.75" customHeight="1">
      <c r="A403" s="1385"/>
      <c r="B403" s="1385"/>
      <c r="C403" s="234"/>
      <c r="D403" s="815"/>
      <c r="E403" s="1537"/>
      <c r="F403" s="763"/>
      <c r="G403" s="763"/>
      <c r="H403" s="763"/>
      <c r="I403" s="763"/>
      <c r="J403" s="763"/>
      <c r="K403" s="781"/>
      <c r="L403" s="781"/>
      <c r="M403" s="781"/>
      <c r="N403" s="781"/>
      <c r="O403" s="781"/>
      <c r="P403" s="781"/>
      <c r="Q403" s="781"/>
      <c r="R403" s="781"/>
      <c r="S403" s="781"/>
      <c r="T403" s="781"/>
      <c r="U403" s="781"/>
      <c r="V403" s="781"/>
      <c r="W403" s="137"/>
      <c r="X403" s="137"/>
      <c r="Y403" s="137"/>
      <c r="Z403" s="137"/>
    </row>
    <row r="404" ht="15.75" customHeight="1">
      <c r="A404" s="1385"/>
      <c r="B404" s="1385"/>
      <c r="C404" s="234"/>
      <c r="D404" s="815"/>
      <c r="E404" s="1537"/>
      <c r="F404" s="763"/>
      <c r="G404" s="763"/>
      <c r="H404" s="763"/>
      <c r="I404" s="763"/>
      <c r="J404" s="763"/>
      <c r="K404" s="781"/>
      <c r="L404" s="781"/>
      <c r="M404" s="781"/>
      <c r="N404" s="781"/>
      <c r="O404" s="781"/>
      <c r="P404" s="781"/>
      <c r="Q404" s="781"/>
      <c r="R404" s="781"/>
      <c r="S404" s="781"/>
      <c r="T404" s="781"/>
      <c r="U404" s="781"/>
      <c r="V404" s="781"/>
      <c r="W404" s="137"/>
      <c r="X404" s="137"/>
      <c r="Y404" s="137"/>
      <c r="Z404" s="137"/>
    </row>
    <row r="405" ht="15.75" customHeight="1">
      <c r="A405" s="1385"/>
      <c r="B405" s="1385"/>
      <c r="C405" s="234"/>
      <c r="D405" s="815"/>
      <c r="E405" s="1537"/>
      <c r="F405" s="763"/>
      <c r="G405" s="763"/>
      <c r="H405" s="763"/>
      <c r="I405" s="763"/>
      <c r="J405" s="763"/>
      <c r="K405" s="781"/>
      <c r="L405" s="781"/>
      <c r="M405" s="781"/>
      <c r="N405" s="781"/>
      <c r="O405" s="781"/>
      <c r="P405" s="781"/>
      <c r="Q405" s="781"/>
      <c r="R405" s="781"/>
      <c r="S405" s="781"/>
      <c r="T405" s="781"/>
      <c r="U405" s="781"/>
      <c r="V405" s="781"/>
      <c r="W405" s="137"/>
      <c r="X405" s="137"/>
      <c r="Y405" s="137"/>
      <c r="Z405" s="137"/>
    </row>
    <row r="406" ht="15.75" customHeight="1">
      <c r="A406" s="1385"/>
      <c r="B406" s="1385"/>
      <c r="C406" s="234"/>
      <c r="D406" s="815"/>
      <c r="E406" s="1537"/>
      <c r="F406" s="763"/>
      <c r="G406" s="763"/>
      <c r="H406" s="763"/>
      <c r="I406" s="763"/>
      <c r="J406" s="763"/>
      <c r="K406" s="781"/>
      <c r="L406" s="781"/>
      <c r="M406" s="781"/>
      <c r="N406" s="781"/>
      <c r="O406" s="781"/>
      <c r="P406" s="781"/>
      <c r="Q406" s="781"/>
      <c r="R406" s="781"/>
      <c r="S406" s="781"/>
      <c r="T406" s="781"/>
      <c r="U406" s="781"/>
      <c r="V406" s="781"/>
      <c r="W406" s="137"/>
      <c r="X406" s="137"/>
      <c r="Y406" s="137"/>
      <c r="Z406" s="137"/>
    </row>
    <row r="407" ht="15.75" customHeight="1">
      <c r="A407" s="1385"/>
      <c r="B407" s="1385"/>
      <c r="C407" s="234"/>
      <c r="D407" s="815"/>
      <c r="E407" s="1537"/>
      <c r="F407" s="763"/>
      <c r="G407" s="763"/>
      <c r="H407" s="763"/>
      <c r="I407" s="763"/>
      <c r="J407" s="763"/>
      <c r="K407" s="781"/>
      <c r="L407" s="781"/>
      <c r="M407" s="781"/>
      <c r="N407" s="781"/>
      <c r="O407" s="781"/>
      <c r="P407" s="781"/>
      <c r="Q407" s="781"/>
      <c r="R407" s="781"/>
      <c r="S407" s="781"/>
      <c r="T407" s="781"/>
      <c r="U407" s="781"/>
      <c r="V407" s="781"/>
      <c r="W407" s="137"/>
      <c r="X407" s="137"/>
      <c r="Y407" s="137"/>
      <c r="Z407" s="137"/>
    </row>
    <row r="408" ht="15.75" customHeight="1">
      <c r="A408" s="1385"/>
      <c r="B408" s="1385"/>
      <c r="C408" s="234"/>
      <c r="D408" s="815"/>
      <c r="E408" s="1537"/>
      <c r="F408" s="763"/>
      <c r="G408" s="763"/>
      <c r="H408" s="763"/>
      <c r="I408" s="763"/>
      <c r="J408" s="763"/>
      <c r="K408" s="781"/>
      <c r="L408" s="781"/>
      <c r="M408" s="781"/>
      <c r="N408" s="781"/>
      <c r="O408" s="781"/>
      <c r="P408" s="781"/>
      <c r="Q408" s="781"/>
      <c r="R408" s="781"/>
      <c r="S408" s="781"/>
      <c r="T408" s="781"/>
      <c r="U408" s="781"/>
      <c r="V408" s="781"/>
      <c r="W408" s="137"/>
      <c r="X408" s="137"/>
      <c r="Y408" s="137"/>
      <c r="Z408" s="137"/>
    </row>
    <row r="409" ht="15.75" customHeight="1">
      <c r="A409" s="1385"/>
      <c r="B409" s="1385"/>
      <c r="C409" s="234"/>
      <c r="D409" s="815"/>
      <c r="E409" s="1537"/>
      <c r="F409" s="763"/>
      <c r="G409" s="763"/>
      <c r="H409" s="763"/>
      <c r="I409" s="763"/>
      <c r="J409" s="763"/>
      <c r="K409" s="781"/>
      <c r="L409" s="781"/>
      <c r="M409" s="781"/>
      <c r="N409" s="781"/>
      <c r="O409" s="781"/>
      <c r="P409" s="781"/>
      <c r="Q409" s="781"/>
      <c r="R409" s="781"/>
      <c r="S409" s="781"/>
      <c r="T409" s="781"/>
      <c r="U409" s="781"/>
      <c r="V409" s="781"/>
      <c r="W409" s="137"/>
      <c r="X409" s="137"/>
      <c r="Y409" s="137"/>
      <c r="Z409" s="137"/>
    </row>
    <row r="410" ht="15.75" customHeight="1">
      <c r="A410" s="1385"/>
      <c r="B410" s="1385"/>
      <c r="C410" s="234"/>
      <c r="D410" s="815"/>
      <c r="E410" s="1537"/>
      <c r="F410" s="763"/>
      <c r="G410" s="763"/>
      <c r="H410" s="763"/>
      <c r="I410" s="763"/>
      <c r="J410" s="763"/>
      <c r="K410" s="781"/>
      <c r="L410" s="781"/>
      <c r="M410" s="781"/>
      <c r="N410" s="781"/>
      <c r="O410" s="781"/>
      <c r="P410" s="781"/>
      <c r="Q410" s="781"/>
      <c r="R410" s="781"/>
      <c r="S410" s="781"/>
      <c r="T410" s="781"/>
      <c r="U410" s="781"/>
      <c r="V410" s="781"/>
      <c r="W410" s="137"/>
      <c r="X410" s="137"/>
      <c r="Y410" s="137"/>
      <c r="Z410" s="137"/>
    </row>
    <row r="411" ht="15.75" customHeight="1">
      <c r="A411" s="1385"/>
      <c r="B411" s="1385"/>
      <c r="C411" s="234"/>
      <c r="D411" s="815"/>
      <c r="E411" s="1537"/>
      <c r="F411" s="763"/>
      <c r="G411" s="763"/>
      <c r="H411" s="763"/>
      <c r="I411" s="763"/>
      <c r="J411" s="763"/>
      <c r="K411" s="781"/>
      <c r="L411" s="781"/>
      <c r="M411" s="781"/>
      <c r="N411" s="781"/>
      <c r="O411" s="781"/>
      <c r="P411" s="781"/>
      <c r="Q411" s="781"/>
      <c r="R411" s="781"/>
      <c r="S411" s="781"/>
      <c r="T411" s="781"/>
      <c r="U411" s="781"/>
      <c r="V411" s="781"/>
      <c r="W411" s="137"/>
      <c r="X411" s="137"/>
      <c r="Y411" s="137"/>
      <c r="Z411" s="137"/>
    </row>
    <row r="412" ht="15.75" customHeight="1">
      <c r="A412" s="1385"/>
      <c r="B412" s="1385"/>
      <c r="C412" s="234"/>
      <c r="D412" s="815"/>
      <c r="E412" s="1537"/>
      <c r="F412" s="763"/>
      <c r="G412" s="763"/>
      <c r="H412" s="763"/>
      <c r="I412" s="763"/>
      <c r="J412" s="763"/>
      <c r="K412" s="781"/>
      <c r="L412" s="781"/>
      <c r="M412" s="781"/>
      <c r="N412" s="781"/>
      <c r="O412" s="781"/>
      <c r="P412" s="781"/>
      <c r="Q412" s="781"/>
      <c r="R412" s="781"/>
      <c r="S412" s="781"/>
      <c r="T412" s="781"/>
      <c r="U412" s="781"/>
      <c r="V412" s="781"/>
      <c r="W412" s="137"/>
      <c r="X412" s="137"/>
      <c r="Y412" s="137"/>
      <c r="Z412" s="137"/>
    </row>
    <row r="413" ht="15.75" customHeight="1">
      <c r="A413" s="1385"/>
      <c r="B413" s="1385"/>
      <c r="C413" s="234"/>
      <c r="D413" s="815"/>
      <c r="E413" s="1537"/>
      <c r="F413" s="763"/>
      <c r="G413" s="763"/>
      <c r="H413" s="763"/>
      <c r="I413" s="763"/>
      <c r="J413" s="763"/>
      <c r="K413" s="781"/>
      <c r="L413" s="781"/>
      <c r="M413" s="781"/>
      <c r="N413" s="781"/>
      <c r="O413" s="781"/>
      <c r="P413" s="781"/>
      <c r="Q413" s="781"/>
      <c r="R413" s="781"/>
      <c r="S413" s="781"/>
      <c r="T413" s="781"/>
      <c r="U413" s="781"/>
      <c r="V413" s="781"/>
      <c r="W413" s="137"/>
      <c r="X413" s="137"/>
      <c r="Y413" s="137"/>
      <c r="Z413" s="137"/>
    </row>
    <row r="414" ht="15.75" customHeight="1">
      <c r="A414" s="1385"/>
      <c r="B414" s="1385"/>
      <c r="C414" s="234"/>
      <c r="D414" s="815"/>
      <c r="E414" s="1537"/>
      <c r="F414" s="763"/>
      <c r="G414" s="763"/>
      <c r="H414" s="763"/>
      <c r="I414" s="763"/>
      <c r="J414" s="763"/>
      <c r="K414" s="781"/>
      <c r="L414" s="781"/>
      <c r="M414" s="781"/>
      <c r="N414" s="781"/>
      <c r="O414" s="781"/>
      <c r="P414" s="781"/>
      <c r="Q414" s="781"/>
      <c r="R414" s="781"/>
      <c r="S414" s="781"/>
      <c r="T414" s="781"/>
      <c r="U414" s="781"/>
      <c r="V414" s="781"/>
      <c r="W414" s="137"/>
      <c r="X414" s="137"/>
      <c r="Y414" s="137"/>
      <c r="Z414" s="137"/>
    </row>
    <row r="415" ht="15.75" customHeight="1">
      <c r="A415" s="1385"/>
      <c r="B415" s="1385"/>
      <c r="C415" s="234"/>
      <c r="D415" s="815"/>
      <c r="E415" s="1537"/>
      <c r="F415" s="763"/>
      <c r="G415" s="763"/>
      <c r="H415" s="763"/>
      <c r="I415" s="763"/>
      <c r="J415" s="763"/>
      <c r="K415" s="781"/>
      <c r="L415" s="781"/>
      <c r="M415" s="781"/>
      <c r="N415" s="781"/>
      <c r="O415" s="781"/>
      <c r="P415" s="781"/>
      <c r="Q415" s="781"/>
      <c r="R415" s="781"/>
      <c r="S415" s="781"/>
      <c r="T415" s="781"/>
      <c r="U415" s="781"/>
      <c r="V415" s="781"/>
      <c r="W415" s="137"/>
      <c r="X415" s="137"/>
      <c r="Y415" s="137"/>
      <c r="Z415" s="137"/>
    </row>
    <row r="416" ht="15.75" customHeight="1">
      <c r="A416" s="1385"/>
      <c r="B416" s="1385"/>
      <c r="C416" s="234"/>
      <c r="D416" s="815"/>
      <c r="E416" s="1537"/>
      <c r="F416" s="763"/>
      <c r="G416" s="763"/>
      <c r="H416" s="763"/>
      <c r="I416" s="763"/>
      <c r="J416" s="763"/>
      <c r="K416" s="781"/>
      <c r="L416" s="781"/>
      <c r="M416" s="781"/>
      <c r="N416" s="781"/>
      <c r="O416" s="781"/>
      <c r="P416" s="781"/>
      <c r="Q416" s="781"/>
      <c r="R416" s="781"/>
      <c r="S416" s="781"/>
      <c r="T416" s="781"/>
      <c r="U416" s="781"/>
      <c r="V416" s="781"/>
      <c r="W416" s="137"/>
      <c r="X416" s="137"/>
      <c r="Y416" s="137"/>
      <c r="Z416" s="137"/>
    </row>
    <row r="417" ht="15.75" customHeight="1">
      <c r="A417" s="1385"/>
      <c r="B417" s="1385"/>
      <c r="C417" s="234"/>
      <c r="D417" s="815"/>
      <c r="E417" s="1537"/>
      <c r="F417" s="763"/>
      <c r="G417" s="763"/>
      <c r="H417" s="763"/>
      <c r="I417" s="763"/>
      <c r="J417" s="763"/>
      <c r="K417" s="781"/>
      <c r="L417" s="781"/>
      <c r="M417" s="781"/>
      <c r="N417" s="781"/>
      <c r="O417" s="781"/>
      <c r="P417" s="781"/>
      <c r="Q417" s="781"/>
      <c r="R417" s="781"/>
      <c r="S417" s="781"/>
      <c r="T417" s="781"/>
      <c r="U417" s="781"/>
      <c r="V417" s="781"/>
      <c r="W417" s="137"/>
      <c r="X417" s="137"/>
      <c r="Y417" s="137"/>
      <c r="Z417" s="137"/>
    </row>
    <row r="418" ht="15.75" customHeight="1">
      <c r="A418" s="1385"/>
      <c r="B418" s="1385"/>
      <c r="C418" s="234"/>
      <c r="D418" s="815"/>
      <c r="E418" s="1537"/>
      <c r="F418" s="763"/>
      <c r="G418" s="763"/>
      <c r="H418" s="763"/>
      <c r="I418" s="763"/>
      <c r="J418" s="763"/>
      <c r="K418" s="781"/>
      <c r="L418" s="781"/>
      <c r="M418" s="781"/>
      <c r="N418" s="781"/>
      <c r="O418" s="781"/>
      <c r="P418" s="781"/>
      <c r="Q418" s="781"/>
      <c r="R418" s="781"/>
      <c r="S418" s="781"/>
      <c r="T418" s="781"/>
      <c r="U418" s="781"/>
      <c r="V418" s="781"/>
      <c r="W418" s="137"/>
      <c r="X418" s="137"/>
      <c r="Y418" s="137"/>
      <c r="Z418" s="137"/>
    </row>
    <row r="419" ht="15.75" customHeight="1">
      <c r="A419" s="1385"/>
      <c r="B419" s="1385"/>
      <c r="C419" s="234"/>
      <c r="D419" s="815"/>
      <c r="E419" s="1537"/>
      <c r="F419" s="763"/>
      <c r="G419" s="763"/>
      <c r="H419" s="763"/>
      <c r="I419" s="763"/>
      <c r="J419" s="763"/>
      <c r="K419" s="781"/>
      <c r="L419" s="781"/>
      <c r="M419" s="781"/>
      <c r="N419" s="781"/>
      <c r="O419" s="781"/>
      <c r="P419" s="781"/>
      <c r="Q419" s="781"/>
      <c r="R419" s="781"/>
      <c r="S419" s="781"/>
      <c r="T419" s="781"/>
      <c r="U419" s="781"/>
      <c r="V419" s="781"/>
      <c r="W419" s="137"/>
      <c r="X419" s="137"/>
      <c r="Y419" s="137"/>
      <c r="Z419" s="137"/>
    </row>
    <row r="420" ht="15.75" customHeight="1">
      <c r="A420" s="1385"/>
      <c r="B420" s="1385"/>
      <c r="C420" s="234"/>
      <c r="D420" s="815"/>
      <c r="E420" s="1537"/>
      <c r="F420" s="763"/>
      <c r="G420" s="763"/>
      <c r="H420" s="763"/>
      <c r="I420" s="763"/>
      <c r="J420" s="763"/>
      <c r="K420" s="781"/>
      <c r="L420" s="781"/>
      <c r="M420" s="781"/>
      <c r="N420" s="781"/>
      <c r="O420" s="781"/>
      <c r="P420" s="781"/>
      <c r="Q420" s="781"/>
      <c r="R420" s="781"/>
      <c r="S420" s="781"/>
      <c r="T420" s="781"/>
      <c r="U420" s="781"/>
      <c r="V420" s="781"/>
      <c r="W420" s="137"/>
      <c r="X420" s="137"/>
      <c r="Y420" s="137"/>
      <c r="Z420" s="137"/>
    </row>
    <row r="421" ht="15.75" customHeight="1">
      <c r="A421" s="1385"/>
      <c r="B421" s="1385"/>
      <c r="C421" s="234"/>
      <c r="D421" s="815"/>
      <c r="E421" s="1537"/>
      <c r="F421" s="763"/>
      <c r="G421" s="763"/>
      <c r="H421" s="763"/>
      <c r="I421" s="763"/>
      <c r="J421" s="763"/>
      <c r="K421" s="781"/>
      <c r="L421" s="781"/>
      <c r="M421" s="781"/>
      <c r="N421" s="781"/>
      <c r="O421" s="781"/>
      <c r="P421" s="781"/>
      <c r="Q421" s="781"/>
      <c r="R421" s="781"/>
      <c r="S421" s="781"/>
      <c r="T421" s="781"/>
      <c r="U421" s="781"/>
      <c r="V421" s="781"/>
      <c r="W421" s="137"/>
      <c r="X421" s="137"/>
      <c r="Y421" s="137"/>
      <c r="Z421" s="137"/>
    </row>
    <row r="422" ht="15.75" customHeight="1">
      <c r="A422" s="1385"/>
      <c r="B422" s="1385"/>
      <c r="C422" s="234"/>
      <c r="D422" s="815"/>
      <c r="E422" s="1537"/>
      <c r="F422" s="763"/>
      <c r="G422" s="763"/>
      <c r="H422" s="763"/>
      <c r="I422" s="763"/>
      <c r="J422" s="763"/>
      <c r="K422" s="781"/>
      <c r="L422" s="781"/>
      <c r="M422" s="781"/>
      <c r="N422" s="781"/>
      <c r="O422" s="781"/>
      <c r="P422" s="781"/>
      <c r="Q422" s="781"/>
      <c r="R422" s="781"/>
      <c r="S422" s="781"/>
      <c r="T422" s="781"/>
      <c r="U422" s="781"/>
      <c r="V422" s="781"/>
      <c r="W422" s="137"/>
      <c r="X422" s="137"/>
      <c r="Y422" s="137"/>
      <c r="Z422" s="137"/>
    </row>
    <row r="423" ht="15.75" customHeight="1">
      <c r="A423" s="1385"/>
      <c r="B423" s="1385"/>
      <c r="C423" s="234"/>
      <c r="D423" s="815"/>
      <c r="E423" s="1537"/>
      <c r="F423" s="763"/>
      <c r="G423" s="763"/>
      <c r="H423" s="763"/>
      <c r="I423" s="763"/>
      <c r="J423" s="763"/>
      <c r="K423" s="781"/>
      <c r="L423" s="781"/>
      <c r="M423" s="781"/>
      <c r="N423" s="781"/>
      <c r="O423" s="781"/>
      <c r="P423" s="781"/>
      <c r="Q423" s="781"/>
      <c r="R423" s="781"/>
      <c r="S423" s="781"/>
      <c r="T423" s="781"/>
      <c r="U423" s="781"/>
      <c r="V423" s="781"/>
      <c r="W423" s="137"/>
      <c r="X423" s="137"/>
      <c r="Y423" s="137"/>
      <c r="Z423" s="137"/>
    </row>
    <row r="424" ht="15.75" customHeight="1">
      <c r="A424" s="1385"/>
      <c r="B424" s="1385"/>
      <c r="C424" s="234"/>
      <c r="D424" s="815"/>
      <c r="E424" s="1537"/>
      <c r="F424" s="763"/>
      <c r="G424" s="763"/>
      <c r="H424" s="763"/>
      <c r="I424" s="763"/>
      <c r="J424" s="763"/>
      <c r="K424" s="781"/>
      <c r="L424" s="781"/>
      <c r="M424" s="781"/>
      <c r="N424" s="781"/>
      <c r="O424" s="781"/>
      <c r="P424" s="781"/>
      <c r="Q424" s="781"/>
      <c r="R424" s="781"/>
      <c r="S424" s="781"/>
      <c r="T424" s="781"/>
      <c r="U424" s="781"/>
      <c r="V424" s="781"/>
      <c r="W424" s="137"/>
      <c r="X424" s="137"/>
      <c r="Y424" s="137"/>
      <c r="Z424" s="137"/>
    </row>
    <row r="425" ht="15.75" customHeight="1">
      <c r="A425" s="1385"/>
      <c r="B425" s="1385"/>
      <c r="C425" s="234"/>
      <c r="D425" s="815"/>
      <c r="E425" s="1537"/>
      <c r="F425" s="763"/>
      <c r="G425" s="763"/>
      <c r="H425" s="763"/>
      <c r="I425" s="763"/>
      <c r="J425" s="763"/>
      <c r="K425" s="781"/>
      <c r="L425" s="781"/>
      <c r="M425" s="781"/>
      <c r="N425" s="781"/>
      <c r="O425" s="781"/>
      <c r="P425" s="781"/>
      <c r="Q425" s="781"/>
      <c r="R425" s="781"/>
      <c r="S425" s="781"/>
      <c r="T425" s="781"/>
      <c r="U425" s="781"/>
      <c r="V425" s="781"/>
      <c r="W425" s="137"/>
      <c r="X425" s="137"/>
      <c r="Y425" s="137"/>
      <c r="Z425" s="137"/>
    </row>
    <row r="426" ht="15.75" customHeight="1">
      <c r="A426" s="1385"/>
      <c r="B426" s="1385"/>
      <c r="C426" s="234"/>
      <c r="D426" s="815"/>
      <c r="E426" s="1537"/>
      <c r="F426" s="763"/>
      <c r="G426" s="763"/>
      <c r="H426" s="763"/>
      <c r="I426" s="763"/>
      <c r="J426" s="763"/>
      <c r="K426" s="781"/>
      <c r="L426" s="781"/>
      <c r="M426" s="781"/>
      <c r="N426" s="781"/>
      <c r="O426" s="781"/>
      <c r="P426" s="781"/>
      <c r="Q426" s="781"/>
      <c r="R426" s="781"/>
      <c r="S426" s="781"/>
      <c r="T426" s="781"/>
      <c r="U426" s="781"/>
      <c r="V426" s="781"/>
      <c r="W426" s="137"/>
      <c r="X426" s="137"/>
      <c r="Y426" s="137"/>
      <c r="Z426" s="137"/>
    </row>
    <row r="427" ht="15.75" customHeight="1">
      <c r="A427" s="1385"/>
      <c r="B427" s="1385"/>
      <c r="C427" s="234"/>
      <c r="D427" s="815"/>
      <c r="E427" s="1537"/>
      <c r="F427" s="763"/>
      <c r="G427" s="763"/>
      <c r="H427" s="763"/>
      <c r="I427" s="763"/>
      <c r="J427" s="763"/>
      <c r="K427" s="781"/>
      <c r="L427" s="781"/>
      <c r="M427" s="781"/>
      <c r="N427" s="781"/>
      <c r="O427" s="781"/>
      <c r="P427" s="781"/>
      <c r="Q427" s="781"/>
      <c r="R427" s="781"/>
      <c r="S427" s="781"/>
      <c r="T427" s="781"/>
      <c r="U427" s="781"/>
      <c r="V427" s="781"/>
      <c r="W427" s="137"/>
      <c r="X427" s="137"/>
      <c r="Y427" s="137"/>
      <c r="Z427" s="137"/>
    </row>
    <row r="428" ht="15.75" customHeight="1">
      <c r="A428" s="1385"/>
      <c r="B428" s="1385"/>
      <c r="C428" s="234"/>
      <c r="D428" s="815"/>
      <c r="E428" s="1537"/>
      <c r="F428" s="763"/>
      <c r="G428" s="763"/>
      <c r="H428" s="763"/>
      <c r="I428" s="763"/>
      <c r="J428" s="763"/>
      <c r="K428" s="781"/>
      <c r="L428" s="781"/>
      <c r="M428" s="781"/>
      <c r="N428" s="781"/>
      <c r="O428" s="781"/>
      <c r="P428" s="781"/>
      <c r="Q428" s="781"/>
      <c r="R428" s="781"/>
      <c r="S428" s="781"/>
      <c r="T428" s="781"/>
      <c r="U428" s="781"/>
      <c r="V428" s="781"/>
      <c r="W428" s="137"/>
      <c r="X428" s="137"/>
      <c r="Y428" s="137"/>
      <c r="Z428" s="137"/>
    </row>
    <row r="429" ht="15.75" customHeight="1">
      <c r="A429" s="1385"/>
      <c r="B429" s="1385"/>
      <c r="C429" s="234"/>
      <c r="D429" s="815"/>
      <c r="E429" s="1537"/>
      <c r="F429" s="763"/>
      <c r="G429" s="763"/>
      <c r="H429" s="763"/>
      <c r="I429" s="763"/>
      <c r="J429" s="763"/>
      <c r="K429" s="781"/>
      <c r="L429" s="781"/>
      <c r="M429" s="781"/>
      <c r="N429" s="781"/>
      <c r="O429" s="781"/>
      <c r="P429" s="781"/>
      <c r="Q429" s="781"/>
      <c r="R429" s="781"/>
      <c r="S429" s="781"/>
      <c r="T429" s="781"/>
      <c r="U429" s="781"/>
      <c r="V429" s="781"/>
      <c r="W429" s="137"/>
      <c r="X429" s="137"/>
      <c r="Y429" s="137"/>
      <c r="Z429" s="137"/>
    </row>
    <row r="430" ht="15.75" customHeight="1">
      <c r="A430" s="1385"/>
      <c r="B430" s="1385"/>
      <c r="C430" s="234"/>
      <c r="D430" s="815"/>
      <c r="E430" s="1537"/>
      <c r="F430" s="763"/>
      <c r="G430" s="763"/>
      <c r="H430" s="763"/>
      <c r="I430" s="763"/>
      <c r="J430" s="763"/>
      <c r="K430" s="781"/>
      <c r="L430" s="781"/>
      <c r="M430" s="781"/>
      <c r="N430" s="781"/>
      <c r="O430" s="781"/>
      <c r="P430" s="781"/>
      <c r="Q430" s="781"/>
      <c r="R430" s="781"/>
      <c r="S430" s="781"/>
      <c r="T430" s="781"/>
      <c r="U430" s="781"/>
      <c r="V430" s="781"/>
      <c r="W430" s="137"/>
      <c r="X430" s="137"/>
      <c r="Y430" s="137"/>
      <c r="Z430" s="137"/>
    </row>
    <row r="431" ht="15.75" customHeight="1">
      <c r="A431" s="1385"/>
      <c r="B431" s="1385"/>
      <c r="C431" s="234"/>
      <c r="D431" s="815"/>
      <c r="E431" s="1537"/>
      <c r="F431" s="763"/>
      <c r="G431" s="763"/>
      <c r="H431" s="763"/>
      <c r="I431" s="763"/>
      <c r="J431" s="763"/>
      <c r="K431" s="781"/>
      <c r="L431" s="781"/>
      <c r="M431" s="781"/>
      <c r="N431" s="781"/>
      <c r="O431" s="781"/>
      <c r="P431" s="781"/>
      <c r="Q431" s="781"/>
      <c r="R431" s="781"/>
      <c r="S431" s="781"/>
      <c r="T431" s="781"/>
      <c r="U431" s="781"/>
      <c r="V431" s="781"/>
      <c r="W431" s="137"/>
      <c r="X431" s="137"/>
      <c r="Y431" s="137"/>
      <c r="Z431" s="137"/>
    </row>
    <row r="432" ht="15.75" customHeight="1">
      <c r="A432" s="1385"/>
      <c r="B432" s="1385"/>
      <c r="C432" s="234"/>
      <c r="D432" s="815"/>
      <c r="E432" s="1537"/>
      <c r="F432" s="763"/>
      <c r="G432" s="763"/>
      <c r="H432" s="763"/>
      <c r="I432" s="763"/>
      <c r="J432" s="763"/>
      <c r="K432" s="781"/>
      <c r="L432" s="781"/>
      <c r="M432" s="781"/>
      <c r="N432" s="781"/>
      <c r="O432" s="781"/>
      <c r="P432" s="781"/>
      <c r="Q432" s="781"/>
      <c r="R432" s="781"/>
      <c r="S432" s="781"/>
      <c r="T432" s="781"/>
      <c r="U432" s="781"/>
      <c r="V432" s="781"/>
      <c r="W432" s="137"/>
      <c r="X432" s="137"/>
      <c r="Y432" s="137"/>
      <c r="Z432" s="137"/>
    </row>
    <row r="433" ht="15.75" customHeight="1">
      <c r="A433" s="1385"/>
      <c r="B433" s="1385"/>
      <c r="C433" s="234"/>
      <c r="D433" s="815"/>
      <c r="E433" s="1537"/>
      <c r="F433" s="763"/>
      <c r="G433" s="763"/>
      <c r="H433" s="763"/>
      <c r="I433" s="763"/>
      <c r="J433" s="763"/>
      <c r="K433" s="781"/>
      <c r="L433" s="781"/>
      <c r="M433" s="781"/>
      <c r="N433" s="781"/>
      <c r="O433" s="781"/>
      <c r="P433" s="781"/>
      <c r="Q433" s="781"/>
      <c r="R433" s="781"/>
      <c r="S433" s="781"/>
      <c r="T433" s="781"/>
      <c r="U433" s="781"/>
      <c r="V433" s="781"/>
      <c r="W433" s="137"/>
      <c r="X433" s="137"/>
      <c r="Y433" s="137"/>
      <c r="Z433" s="137"/>
    </row>
    <row r="434" ht="15.75" customHeight="1">
      <c r="A434" s="1385"/>
      <c r="B434" s="1385"/>
      <c r="C434" s="234"/>
      <c r="D434" s="815"/>
      <c r="E434" s="1537"/>
      <c r="F434" s="763"/>
      <c r="G434" s="763"/>
      <c r="H434" s="763"/>
      <c r="I434" s="763"/>
      <c r="J434" s="763"/>
      <c r="K434" s="781"/>
      <c r="L434" s="781"/>
      <c r="M434" s="781"/>
      <c r="N434" s="781"/>
      <c r="O434" s="781"/>
      <c r="P434" s="781"/>
      <c r="Q434" s="781"/>
      <c r="R434" s="781"/>
      <c r="S434" s="781"/>
      <c r="T434" s="781"/>
      <c r="U434" s="781"/>
      <c r="V434" s="781"/>
      <c r="W434" s="137"/>
      <c r="X434" s="137"/>
      <c r="Y434" s="137"/>
      <c r="Z434" s="137"/>
    </row>
    <row r="435" ht="15.75" customHeight="1">
      <c r="A435" s="1385"/>
      <c r="B435" s="1385"/>
      <c r="C435" s="234"/>
      <c r="D435" s="815"/>
      <c r="E435" s="1537"/>
      <c r="F435" s="763"/>
      <c r="G435" s="763"/>
      <c r="H435" s="763"/>
      <c r="I435" s="763"/>
      <c r="J435" s="763"/>
      <c r="K435" s="781"/>
      <c r="L435" s="781"/>
      <c r="M435" s="781"/>
      <c r="N435" s="781"/>
      <c r="O435" s="781"/>
      <c r="P435" s="781"/>
      <c r="Q435" s="781"/>
      <c r="R435" s="781"/>
      <c r="S435" s="781"/>
      <c r="T435" s="781"/>
      <c r="U435" s="781"/>
      <c r="V435" s="781"/>
      <c r="W435" s="137"/>
      <c r="X435" s="137"/>
      <c r="Y435" s="137"/>
      <c r="Z435" s="137"/>
    </row>
    <row r="436" ht="15.75" customHeight="1">
      <c r="A436" s="1385"/>
      <c r="B436" s="1385"/>
      <c r="C436" s="234"/>
      <c r="D436" s="815"/>
      <c r="E436" s="1537"/>
      <c r="F436" s="763"/>
      <c r="G436" s="763"/>
      <c r="H436" s="763"/>
      <c r="I436" s="763"/>
      <c r="J436" s="763"/>
      <c r="K436" s="781"/>
      <c r="L436" s="781"/>
      <c r="M436" s="781"/>
      <c r="N436" s="781"/>
      <c r="O436" s="781"/>
      <c r="P436" s="781"/>
      <c r="Q436" s="781"/>
      <c r="R436" s="781"/>
      <c r="S436" s="781"/>
      <c r="T436" s="781"/>
      <c r="U436" s="781"/>
      <c r="V436" s="781"/>
      <c r="W436" s="137"/>
      <c r="X436" s="137"/>
      <c r="Y436" s="137"/>
      <c r="Z436" s="137"/>
    </row>
    <row r="437" ht="15.75" customHeight="1">
      <c r="A437" s="1385"/>
      <c r="B437" s="1385"/>
      <c r="C437" s="234"/>
      <c r="D437" s="815"/>
      <c r="E437" s="1537"/>
      <c r="F437" s="763"/>
      <c r="G437" s="763"/>
      <c r="H437" s="763"/>
      <c r="I437" s="763"/>
      <c r="J437" s="763"/>
      <c r="K437" s="781"/>
      <c r="L437" s="781"/>
      <c r="M437" s="781"/>
      <c r="N437" s="781"/>
      <c r="O437" s="781"/>
      <c r="P437" s="781"/>
      <c r="Q437" s="781"/>
      <c r="R437" s="781"/>
      <c r="S437" s="781"/>
      <c r="T437" s="781"/>
      <c r="U437" s="781"/>
      <c r="V437" s="781"/>
      <c r="W437" s="137"/>
      <c r="X437" s="137"/>
      <c r="Y437" s="137"/>
      <c r="Z437" s="137"/>
    </row>
    <row r="438" ht="15.75" customHeight="1">
      <c r="A438" s="1385"/>
      <c r="B438" s="1385"/>
      <c r="C438" s="234"/>
      <c r="D438" s="815"/>
      <c r="E438" s="1537"/>
      <c r="F438" s="763"/>
      <c r="G438" s="763"/>
      <c r="H438" s="763"/>
      <c r="I438" s="763"/>
      <c r="J438" s="763"/>
      <c r="K438" s="781"/>
      <c r="L438" s="781"/>
      <c r="M438" s="781"/>
      <c r="N438" s="781"/>
      <c r="O438" s="781"/>
      <c r="P438" s="781"/>
      <c r="Q438" s="781"/>
      <c r="R438" s="781"/>
      <c r="S438" s="781"/>
      <c r="T438" s="781"/>
      <c r="U438" s="781"/>
      <c r="V438" s="781"/>
      <c r="W438" s="137"/>
      <c r="X438" s="137"/>
      <c r="Y438" s="137"/>
      <c r="Z438" s="137"/>
    </row>
    <row r="439" ht="15.75" customHeight="1">
      <c r="A439" s="1385"/>
      <c r="B439" s="1385"/>
      <c r="C439" s="234"/>
      <c r="D439" s="815"/>
      <c r="E439" s="1537"/>
      <c r="F439" s="763"/>
      <c r="G439" s="763"/>
      <c r="H439" s="763"/>
      <c r="I439" s="763"/>
      <c r="J439" s="763"/>
      <c r="K439" s="781"/>
      <c r="L439" s="781"/>
      <c r="M439" s="781"/>
      <c r="N439" s="781"/>
      <c r="O439" s="781"/>
      <c r="P439" s="781"/>
      <c r="Q439" s="781"/>
      <c r="R439" s="781"/>
      <c r="S439" s="781"/>
      <c r="T439" s="781"/>
      <c r="U439" s="781"/>
      <c r="V439" s="781"/>
      <c r="W439" s="137"/>
      <c r="X439" s="137"/>
      <c r="Y439" s="137"/>
      <c r="Z439" s="137"/>
    </row>
    <row r="440" ht="15.75" customHeight="1">
      <c r="A440" s="1385"/>
      <c r="B440" s="1385"/>
      <c r="C440" s="234"/>
      <c r="D440" s="815"/>
      <c r="E440" s="1537"/>
      <c r="F440" s="763"/>
      <c r="G440" s="763"/>
      <c r="H440" s="763"/>
      <c r="I440" s="763"/>
      <c r="J440" s="763"/>
      <c r="K440" s="781"/>
      <c r="L440" s="781"/>
      <c r="M440" s="781"/>
      <c r="N440" s="781"/>
      <c r="O440" s="781"/>
      <c r="P440" s="781"/>
      <c r="Q440" s="781"/>
      <c r="R440" s="781"/>
      <c r="S440" s="781"/>
      <c r="T440" s="781"/>
      <c r="U440" s="781"/>
      <c r="V440" s="781"/>
      <c r="W440" s="137"/>
      <c r="X440" s="137"/>
      <c r="Y440" s="137"/>
      <c r="Z440" s="137"/>
    </row>
    <row r="441" ht="15.75" customHeight="1">
      <c r="A441" s="1385"/>
      <c r="B441" s="1385"/>
      <c r="C441" s="234"/>
      <c r="D441" s="815"/>
      <c r="E441" s="1537"/>
      <c r="F441" s="763"/>
      <c r="G441" s="763"/>
      <c r="H441" s="763"/>
      <c r="I441" s="763"/>
      <c r="J441" s="763"/>
      <c r="K441" s="781"/>
      <c r="L441" s="781"/>
      <c r="M441" s="781"/>
      <c r="N441" s="781"/>
      <c r="O441" s="781"/>
      <c r="P441" s="781"/>
      <c r="Q441" s="781"/>
      <c r="R441" s="781"/>
      <c r="S441" s="781"/>
      <c r="T441" s="781"/>
      <c r="U441" s="781"/>
      <c r="V441" s="781"/>
      <c r="W441" s="137"/>
      <c r="X441" s="137"/>
      <c r="Y441" s="137"/>
      <c r="Z441" s="137"/>
    </row>
    <row r="442" ht="15.75" customHeight="1">
      <c r="A442" s="1385"/>
      <c r="B442" s="1385"/>
      <c r="C442" s="234"/>
      <c r="D442" s="815"/>
      <c r="E442" s="1537"/>
      <c r="F442" s="763"/>
      <c r="G442" s="763"/>
      <c r="H442" s="763"/>
      <c r="I442" s="763"/>
      <c r="J442" s="763"/>
      <c r="K442" s="781"/>
      <c r="L442" s="781"/>
      <c r="M442" s="781"/>
      <c r="N442" s="781"/>
      <c r="O442" s="781"/>
      <c r="P442" s="781"/>
      <c r="Q442" s="781"/>
      <c r="R442" s="781"/>
      <c r="S442" s="781"/>
      <c r="T442" s="781"/>
      <c r="U442" s="781"/>
      <c r="V442" s="781"/>
      <c r="W442" s="137"/>
      <c r="X442" s="137"/>
      <c r="Y442" s="137"/>
      <c r="Z442" s="137"/>
    </row>
    <row r="443" ht="15.75" customHeight="1">
      <c r="A443" s="1385"/>
      <c r="B443" s="1385"/>
      <c r="C443" s="234"/>
      <c r="D443" s="815"/>
      <c r="E443" s="1537"/>
      <c r="F443" s="763"/>
      <c r="G443" s="763"/>
      <c r="H443" s="763"/>
      <c r="I443" s="763"/>
      <c r="J443" s="763"/>
      <c r="K443" s="781"/>
      <c r="L443" s="781"/>
      <c r="M443" s="781"/>
      <c r="N443" s="781"/>
      <c r="O443" s="781"/>
      <c r="P443" s="781"/>
      <c r="Q443" s="781"/>
      <c r="R443" s="781"/>
      <c r="S443" s="781"/>
      <c r="T443" s="781"/>
      <c r="U443" s="781"/>
      <c r="V443" s="781"/>
      <c r="W443" s="137"/>
      <c r="X443" s="137"/>
      <c r="Y443" s="137"/>
      <c r="Z443" s="137"/>
    </row>
    <row r="444" ht="15.75" customHeight="1">
      <c r="A444" s="1385"/>
      <c r="B444" s="1385"/>
      <c r="C444" s="234"/>
      <c r="D444" s="815"/>
      <c r="E444" s="1537"/>
      <c r="F444" s="763"/>
      <c r="G444" s="763"/>
      <c r="H444" s="763"/>
      <c r="I444" s="763"/>
      <c r="J444" s="763"/>
      <c r="K444" s="781"/>
      <c r="L444" s="781"/>
      <c r="M444" s="781"/>
      <c r="N444" s="781"/>
      <c r="O444" s="781"/>
      <c r="P444" s="781"/>
      <c r="Q444" s="781"/>
      <c r="R444" s="781"/>
      <c r="S444" s="781"/>
      <c r="T444" s="781"/>
      <c r="U444" s="781"/>
      <c r="V444" s="781"/>
      <c r="W444" s="137"/>
      <c r="X444" s="137"/>
      <c r="Y444" s="137"/>
      <c r="Z444" s="137"/>
    </row>
    <row r="445" ht="15.75" customHeight="1">
      <c r="A445" s="1385"/>
      <c r="B445" s="1385"/>
      <c r="C445" s="234"/>
      <c r="D445" s="815"/>
      <c r="E445" s="1537"/>
      <c r="F445" s="763"/>
      <c r="G445" s="763"/>
      <c r="H445" s="763"/>
      <c r="I445" s="763"/>
      <c r="J445" s="763"/>
      <c r="K445" s="781"/>
      <c r="L445" s="781"/>
      <c r="M445" s="781"/>
      <c r="N445" s="781"/>
      <c r="O445" s="781"/>
      <c r="P445" s="781"/>
      <c r="Q445" s="781"/>
      <c r="R445" s="781"/>
      <c r="S445" s="781"/>
      <c r="T445" s="781"/>
      <c r="U445" s="781"/>
      <c r="V445" s="781"/>
      <c r="W445" s="137"/>
      <c r="X445" s="137"/>
      <c r="Y445" s="137"/>
      <c r="Z445" s="137"/>
    </row>
    <row r="446" ht="15.75" customHeight="1">
      <c r="A446" s="1385"/>
      <c r="B446" s="1385"/>
      <c r="C446" s="234"/>
      <c r="D446" s="815"/>
      <c r="E446" s="1537"/>
      <c r="F446" s="763"/>
      <c r="G446" s="763"/>
      <c r="H446" s="763"/>
      <c r="I446" s="763"/>
      <c r="J446" s="763"/>
      <c r="K446" s="781"/>
      <c r="L446" s="781"/>
      <c r="M446" s="781"/>
      <c r="N446" s="781"/>
      <c r="O446" s="781"/>
      <c r="P446" s="781"/>
      <c r="Q446" s="781"/>
      <c r="R446" s="781"/>
      <c r="S446" s="781"/>
      <c r="T446" s="781"/>
      <c r="U446" s="781"/>
      <c r="V446" s="781"/>
      <c r="W446" s="137"/>
      <c r="X446" s="137"/>
      <c r="Y446" s="137"/>
      <c r="Z446" s="137"/>
    </row>
    <row r="447" ht="15.75" customHeight="1">
      <c r="A447" s="1385"/>
      <c r="B447" s="1385"/>
      <c r="C447" s="234"/>
      <c r="D447" s="815"/>
      <c r="E447" s="1537"/>
      <c r="F447" s="763"/>
      <c r="G447" s="763"/>
      <c r="H447" s="763"/>
      <c r="I447" s="763"/>
      <c r="J447" s="763"/>
      <c r="K447" s="781"/>
      <c r="L447" s="781"/>
      <c r="M447" s="781"/>
      <c r="N447" s="781"/>
      <c r="O447" s="781"/>
      <c r="P447" s="781"/>
      <c r="Q447" s="781"/>
      <c r="R447" s="781"/>
      <c r="S447" s="781"/>
      <c r="T447" s="781"/>
      <c r="U447" s="781"/>
      <c r="V447" s="781"/>
      <c r="W447" s="137"/>
      <c r="X447" s="137"/>
      <c r="Y447" s="137"/>
      <c r="Z447" s="137"/>
    </row>
    <row r="448" ht="15.75" customHeight="1">
      <c r="A448" s="1385"/>
      <c r="B448" s="1385"/>
      <c r="C448" s="234"/>
      <c r="D448" s="815"/>
      <c r="E448" s="1537"/>
      <c r="F448" s="763"/>
      <c r="G448" s="763"/>
      <c r="H448" s="763"/>
      <c r="I448" s="763"/>
      <c r="J448" s="763"/>
      <c r="K448" s="781"/>
      <c r="L448" s="781"/>
      <c r="M448" s="781"/>
      <c r="N448" s="781"/>
      <c r="O448" s="781"/>
      <c r="P448" s="781"/>
      <c r="Q448" s="781"/>
      <c r="R448" s="781"/>
      <c r="S448" s="781"/>
      <c r="T448" s="781"/>
      <c r="U448" s="781"/>
      <c r="V448" s="781"/>
      <c r="W448" s="137"/>
      <c r="X448" s="137"/>
      <c r="Y448" s="137"/>
      <c r="Z448" s="137"/>
    </row>
    <row r="449" ht="15.75" customHeight="1">
      <c r="A449" s="1385"/>
      <c r="B449" s="1385"/>
      <c r="C449" s="234"/>
      <c r="D449" s="815"/>
      <c r="E449" s="1537"/>
      <c r="F449" s="763"/>
      <c r="G449" s="763"/>
      <c r="H449" s="763"/>
      <c r="I449" s="763"/>
      <c r="J449" s="763"/>
      <c r="K449" s="781"/>
      <c r="L449" s="781"/>
      <c r="M449" s="781"/>
      <c r="N449" s="781"/>
      <c r="O449" s="781"/>
      <c r="P449" s="781"/>
      <c r="Q449" s="781"/>
      <c r="R449" s="781"/>
      <c r="S449" s="781"/>
      <c r="T449" s="781"/>
      <c r="U449" s="781"/>
      <c r="V449" s="781"/>
      <c r="W449" s="137"/>
      <c r="X449" s="137"/>
      <c r="Y449" s="137"/>
      <c r="Z449" s="137"/>
    </row>
    <row r="450" ht="15.75" customHeight="1">
      <c r="A450" s="1385"/>
      <c r="B450" s="1385"/>
      <c r="C450" s="234"/>
      <c r="D450" s="815"/>
      <c r="E450" s="1537"/>
      <c r="F450" s="763"/>
      <c r="G450" s="763"/>
      <c r="H450" s="763"/>
      <c r="I450" s="763"/>
      <c r="J450" s="763"/>
      <c r="K450" s="781"/>
      <c r="L450" s="781"/>
      <c r="M450" s="781"/>
      <c r="N450" s="781"/>
      <c r="O450" s="781"/>
      <c r="P450" s="781"/>
      <c r="Q450" s="781"/>
      <c r="R450" s="781"/>
      <c r="S450" s="781"/>
      <c r="T450" s="781"/>
      <c r="U450" s="781"/>
      <c r="V450" s="781"/>
      <c r="W450" s="137"/>
      <c r="X450" s="137"/>
      <c r="Y450" s="137"/>
      <c r="Z450" s="137"/>
    </row>
    <row r="451" ht="15.75" customHeight="1">
      <c r="A451" s="1385"/>
      <c r="B451" s="1385"/>
      <c r="C451" s="234"/>
      <c r="D451" s="815"/>
      <c r="E451" s="1537"/>
      <c r="F451" s="763"/>
      <c r="G451" s="763"/>
      <c r="H451" s="763"/>
      <c r="I451" s="763"/>
      <c r="J451" s="763"/>
      <c r="K451" s="781"/>
      <c r="L451" s="781"/>
      <c r="M451" s="781"/>
      <c r="N451" s="781"/>
      <c r="O451" s="781"/>
      <c r="P451" s="781"/>
      <c r="Q451" s="781"/>
      <c r="R451" s="781"/>
      <c r="S451" s="781"/>
      <c r="T451" s="781"/>
      <c r="U451" s="781"/>
      <c r="V451" s="781"/>
      <c r="W451" s="137"/>
      <c r="X451" s="137"/>
      <c r="Y451" s="137"/>
      <c r="Z451" s="137"/>
    </row>
    <row r="452" ht="15.75" customHeight="1">
      <c r="A452" s="1385"/>
      <c r="B452" s="1385"/>
      <c r="C452" s="234"/>
      <c r="D452" s="815"/>
      <c r="E452" s="1537"/>
      <c r="F452" s="763"/>
      <c r="G452" s="763"/>
      <c r="H452" s="763"/>
      <c r="I452" s="763"/>
      <c r="J452" s="763"/>
      <c r="K452" s="781"/>
      <c r="L452" s="781"/>
      <c r="M452" s="781"/>
      <c r="N452" s="781"/>
      <c r="O452" s="781"/>
      <c r="P452" s="781"/>
      <c r="Q452" s="781"/>
      <c r="R452" s="781"/>
      <c r="S452" s="781"/>
      <c r="T452" s="781"/>
      <c r="U452" s="781"/>
      <c r="V452" s="781"/>
      <c r="W452" s="137"/>
      <c r="X452" s="137"/>
      <c r="Y452" s="137"/>
      <c r="Z452" s="137"/>
    </row>
    <row r="453" ht="15.75" customHeight="1">
      <c r="A453" s="1385"/>
      <c r="B453" s="1385"/>
      <c r="C453" s="234"/>
      <c r="D453" s="815"/>
      <c r="E453" s="1537"/>
      <c r="F453" s="763"/>
      <c r="G453" s="763"/>
      <c r="H453" s="763"/>
      <c r="I453" s="763"/>
      <c r="J453" s="763"/>
      <c r="K453" s="781"/>
      <c r="L453" s="781"/>
      <c r="M453" s="781"/>
      <c r="N453" s="781"/>
      <c r="O453" s="781"/>
      <c r="P453" s="781"/>
      <c r="Q453" s="781"/>
      <c r="R453" s="781"/>
      <c r="S453" s="781"/>
      <c r="T453" s="781"/>
      <c r="U453" s="781"/>
      <c r="V453" s="781"/>
      <c r="W453" s="137"/>
      <c r="X453" s="137"/>
      <c r="Y453" s="137"/>
      <c r="Z453" s="137"/>
    </row>
    <row r="454" ht="15.75" customHeight="1">
      <c r="A454" s="1385"/>
      <c r="B454" s="1385"/>
      <c r="C454" s="234"/>
      <c r="D454" s="815"/>
      <c r="E454" s="1537"/>
      <c r="F454" s="763"/>
      <c r="G454" s="763"/>
      <c r="H454" s="763"/>
      <c r="I454" s="763"/>
      <c r="J454" s="763"/>
      <c r="K454" s="781"/>
      <c r="L454" s="781"/>
      <c r="M454" s="781"/>
      <c r="N454" s="781"/>
      <c r="O454" s="781"/>
      <c r="P454" s="781"/>
      <c r="Q454" s="781"/>
      <c r="R454" s="781"/>
      <c r="S454" s="781"/>
      <c r="T454" s="781"/>
      <c r="U454" s="781"/>
      <c r="V454" s="781"/>
      <c r="W454" s="137"/>
      <c r="X454" s="137"/>
      <c r="Y454" s="137"/>
      <c r="Z454" s="137"/>
    </row>
    <row r="455" ht="15.75" customHeight="1">
      <c r="A455" s="1385"/>
      <c r="B455" s="1385"/>
      <c r="C455" s="234"/>
      <c r="D455" s="815"/>
      <c r="E455" s="1537"/>
      <c r="F455" s="763"/>
      <c r="G455" s="763"/>
      <c r="H455" s="763"/>
      <c r="I455" s="763"/>
      <c r="J455" s="763"/>
      <c r="K455" s="781"/>
      <c r="L455" s="781"/>
      <c r="M455" s="781"/>
      <c r="N455" s="781"/>
      <c r="O455" s="781"/>
      <c r="P455" s="781"/>
      <c r="Q455" s="781"/>
      <c r="R455" s="781"/>
      <c r="S455" s="781"/>
      <c r="T455" s="781"/>
      <c r="U455" s="781"/>
      <c r="V455" s="781"/>
      <c r="W455" s="137"/>
      <c r="X455" s="137"/>
      <c r="Y455" s="137"/>
      <c r="Z455" s="137"/>
    </row>
    <row r="456" ht="15.75" customHeight="1">
      <c r="A456" s="1385"/>
      <c r="B456" s="1385"/>
      <c r="C456" s="234"/>
      <c r="D456" s="815"/>
      <c r="E456" s="1537"/>
      <c r="F456" s="763"/>
      <c r="G456" s="763"/>
      <c r="H456" s="763"/>
      <c r="I456" s="763"/>
      <c r="J456" s="763"/>
      <c r="K456" s="781"/>
      <c r="L456" s="781"/>
      <c r="M456" s="781"/>
      <c r="N456" s="781"/>
      <c r="O456" s="781"/>
      <c r="P456" s="781"/>
      <c r="Q456" s="781"/>
      <c r="R456" s="781"/>
      <c r="S456" s="781"/>
      <c r="T456" s="781"/>
      <c r="U456" s="781"/>
      <c r="V456" s="781"/>
      <c r="W456" s="137"/>
      <c r="X456" s="137"/>
      <c r="Y456" s="137"/>
      <c r="Z456" s="137"/>
    </row>
    <row r="457" ht="15.75" customHeight="1">
      <c r="A457" s="1385"/>
      <c r="B457" s="1385"/>
      <c r="C457" s="234"/>
      <c r="D457" s="815"/>
      <c r="E457" s="1537"/>
      <c r="F457" s="763"/>
      <c r="G457" s="763"/>
      <c r="H457" s="763"/>
      <c r="I457" s="763"/>
      <c r="J457" s="763"/>
      <c r="K457" s="781"/>
      <c r="L457" s="781"/>
      <c r="M457" s="781"/>
      <c r="N457" s="781"/>
      <c r="O457" s="781"/>
      <c r="P457" s="781"/>
      <c r="Q457" s="781"/>
      <c r="R457" s="781"/>
      <c r="S457" s="781"/>
      <c r="T457" s="781"/>
      <c r="U457" s="781"/>
      <c r="V457" s="781"/>
      <c r="W457" s="137"/>
      <c r="X457" s="137"/>
      <c r="Y457" s="137"/>
      <c r="Z457" s="137"/>
    </row>
    <row r="458" ht="15.75" customHeight="1">
      <c r="A458" s="1385"/>
      <c r="B458" s="1385"/>
      <c r="C458" s="234"/>
      <c r="D458" s="815"/>
      <c r="E458" s="1537"/>
      <c r="F458" s="763"/>
      <c r="G458" s="763"/>
      <c r="H458" s="763"/>
      <c r="I458" s="763"/>
      <c r="J458" s="763"/>
      <c r="K458" s="781"/>
      <c r="L458" s="781"/>
      <c r="M458" s="781"/>
      <c r="N458" s="781"/>
      <c r="O458" s="781"/>
      <c r="P458" s="781"/>
      <c r="Q458" s="781"/>
      <c r="R458" s="781"/>
      <c r="S458" s="781"/>
      <c r="T458" s="781"/>
      <c r="U458" s="781"/>
      <c r="V458" s="781"/>
      <c r="W458" s="137"/>
      <c r="X458" s="137"/>
      <c r="Y458" s="137"/>
      <c r="Z458" s="137"/>
    </row>
    <row r="459" ht="15.75" customHeight="1">
      <c r="A459" s="1385"/>
      <c r="B459" s="1385"/>
      <c r="C459" s="234"/>
      <c r="D459" s="815"/>
      <c r="E459" s="1537"/>
      <c r="F459" s="763"/>
      <c r="G459" s="763"/>
      <c r="H459" s="763"/>
      <c r="I459" s="763"/>
      <c r="J459" s="763"/>
      <c r="K459" s="781"/>
      <c r="L459" s="781"/>
      <c r="M459" s="781"/>
      <c r="N459" s="781"/>
      <c r="O459" s="781"/>
      <c r="P459" s="781"/>
      <c r="Q459" s="781"/>
      <c r="R459" s="781"/>
      <c r="S459" s="781"/>
      <c r="T459" s="781"/>
      <c r="U459" s="781"/>
      <c r="V459" s="781"/>
      <c r="W459" s="137"/>
      <c r="X459" s="137"/>
      <c r="Y459" s="137"/>
      <c r="Z459" s="137"/>
    </row>
    <row r="460" ht="15.75" customHeight="1">
      <c r="A460" s="1385"/>
      <c r="B460" s="1385"/>
      <c r="C460" s="234"/>
      <c r="D460" s="815"/>
      <c r="E460" s="1537"/>
      <c r="F460" s="763"/>
      <c r="G460" s="763"/>
      <c r="H460" s="763"/>
      <c r="I460" s="763"/>
      <c r="J460" s="763"/>
      <c r="K460" s="781"/>
      <c r="L460" s="781"/>
      <c r="M460" s="781"/>
      <c r="N460" s="781"/>
      <c r="O460" s="781"/>
      <c r="P460" s="781"/>
      <c r="Q460" s="781"/>
      <c r="R460" s="781"/>
      <c r="S460" s="781"/>
      <c r="T460" s="781"/>
      <c r="U460" s="781"/>
      <c r="V460" s="781"/>
      <c r="W460" s="137"/>
      <c r="X460" s="137"/>
      <c r="Y460" s="137"/>
      <c r="Z460" s="137"/>
    </row>
    <row r="461" ht="15.75" customHeight="1">
      <c r="A461" s="1385"/>
      <c r="B461" s="1385"/>
      <c r="C461" s="234"/>
      <c r="D461" s="815"/>
      <c r="E461" s="1537"/>
      <c r="F461" s="763"/>
      <c r="G461" s="763"/>
      <c r="H461" s="763"/>
      <c r="I461" s="763"/>
      <c r="J461" s="763"/>
      <c r="K461" s="781"/>
      <c r="L461" s="781"/>
      <c r="M461" s="781"/>
      <c r="N461" s="781"/>
      <c r="O461" s="781"/>
      <c r="P461" s="781"/>
      <c r="Q461" s="781"/>
      <c r="R461" s="781"/>
      <c r="S461" s="781"/>
      <c r="T461" s="781"/>
      <c r="U461" s="781"/>
      <c r="V461" s="781"/>
      <c r="W461" s="137"/>
      <c r="X461" s="137"/>
      <c r="Y461" s="137"/>
      <c r="Z461" s="137"/>
    </row>
    <row r="462" ht="15.75" customHeight="1">
      <c r="A462" s="1385"/>
      <c r="B462" s="1385"/>
      <c r="C462" s="234"/>
      <c r="D462" s="815"/>
      <c r="E462" s="1537"/>
      <c r="F462" s="763"/>
      <c r="G462" s="763"/>
      <c r="H462" s="763"/>
      <c r="I462" s="763"/>
      <c r="J462" s="763"/>
      <c r="K462" s="781"/>
      <c r="L462" s="781"/>
      <c r="M462" s="781"/>
      <c r="N462" s="781"/>
      <c r="O462" s="781"/>
      <c r="P462" s="781"/>
      <c r="Q462" s="781"/>
      <c r="R462" s="781"/>
      <c r="S462" s="781"/>
      <c r="T462" s="781"/>
      <c r="U462" s="781"/>
      <c r="V462" s="781"/>
      <c r="W462" s="137"/>
      <c r="X462" s="137"/>
      <c r="Y462" s="137"/>
      <c r="Z462" s="137"/>
    </row>
    <row r="463" ht="15.75" customHeight="1">
      <c r="A463" s="1385"/>
      <c r="B463" s="1385"/>
      <c r="C463" s="234"/>
      <c r="D463" s="815"/>
      <c r="E463" s="1537"/>
      <c r="F463" s="763"/>
      <c r="G463" s="763"/>
      <c r="H463" s="763"/>
      <c r="I463" s="763"/>
      <c r="J463" s="763"/>
      <c r="K463" s="781"/>
      <c r="L463" s="781"/>
      <c r="M463" s="781"/>
      <c r="N463" s="781"/>
      <c r="O463" s="781"/>
      <c r="P463" s="781"/>
      <c r="Q463" s="781"/>
      <c r="R463" s="781"/>
      <c r="S463" s="781"/>
      <c r="T463" s="781"/>
      <c r="U463" s="781"/>
      <c r="V463" s="781"/>
      <c r="W463" s="137"/>
      <c r="X463" s="137"/>
      <c r="Y463" s="137"/>
      <c r="Z463" s="137"/>
    </row>
    <row r="464" ht="15.75" customHeight="1">
      <c r="A464" s="1385"/>
      <c r="B464" s="1385"/>
      <c r="C464" s="234"/>
      <c r="D464" s="815"/>
      <c r="E464" s="1537"/>
      <c r="F464" s="763"/>
      <c r="G464" s="763"/>
      <c r="H464" s="763"/>
      <c r="I464" s="763"/>
      <c r="J464" s="763"/>
      <c r="K464" s="781"/>
      <c r="L464" s="781"/>
      <c r="M464" s="781"/>
      <c r="N464" s="781"/>
      <c r="O464" s="781"/>
      <c r="P464" s="781"/>
      <c r="Q464" s="781"/>
      <c r="R464" s="781"/>
      <c r="S464" s="781"/>
      <c r="T464" s="781"/>
      <c r="U464" s="781"/>
      <c r="V464" s="781"/>
      <c r="W464" s="137"/>
      <c r="X464" s="137"/>
      <c r="Y464" s="137"/>
      <c r="Z464" s="137"/>
    </row>
    <row r="465" ht="15.75" customHeight="1">
      <c r="A465" s="1385"/>
      <c r="B465" s="1385"/>
      <c r="C465" s="234"/>
      <c r="D465" s="815"/>
      <c r="E465" s="1537"/>
      <c r="F465" s="763"/>
      <c r="G465" s="763"/>
      <c r="H465" s="763"/>
      <c r="I465" s="763"/>
      <c r="J465" s="763"/>
      <c r="K465" s="781"/>
      <c r="L465" s="781"/>
      <c r="M465" s="781"/>
      <c r="N465" s="781"/>
      <c r="O465" s="781"/>
      <c r="P465" s="781"/>
      <c r="Q465" s="781"/>
      <c r="R465" s="781"/>
      <c r="S465" s="781"/>
      <c r="T465" s="781"/>
      <c r="U465" s="781"/>
      <c r="V465" s="781"/>
      <c r="W465" s="137"/>
      <c r="X465" s="137"/>
      <c r="Y465" s="137"/>
      <c r="Z465" s="137"/>
    </row>
    <row r="466" ht="15.75" customHeight="1">
      <c r="A466" s="1385"/>
      <c r="B466" s="1385"/>
      <c r="C466" s="234"/>
      <c r="D466" s="815"/>
      <c r="E466" s="1537"/>
      <c r="F466" s="763"/>
      <c r="G466" s="763"/>
      <c r="H466" s="763"/>
      <c r="I466" s="763"/>
      <c r="J466" s="763"/>
      <c r="K466" s="781"/>
      <c r="L466" s="781"/>
      <c r="M466" s="781"/>
      <c r="N466" s="781"/>
      <c r="O466" s="781"/>
      <c r="P466" s="781"/>
      <c r="Q466" s="781"/>
      <c r="R466" s="781"/>
      <c r="S466" s="781"/>
      <c r="T466" s="781"/>
      <c r="U466" s="781"/>
      <c r="V466" s="781"/>
      <c r="W466" s="137"/>
      <c r="X466" s="137"/>
      <c r="Y466" s="137"/>
      <c r="Z466" s="137"/>
    </row>
    <row r="467" ht="15.75" customHeight="1">
      <c r="A467" s="1385"/>
      <c r="B467" s="1385"/>
      <c r="C467" s="234"/>
      <c r="D467" s="815"/>
      <c r="E467" s="1537"/>
      <c r="F467" s="763"/>
      <c r="G467" s="763"/>
      <c r="H467" s="763"/>
      <c r="I467" s="763"/>
      <c r="J467" s="763"/>
      <c r="K467" s="781"/>
      <c r="L467" s="781"/>
      <c r="M467" s="781"/>
      <c r="N467" s="781"/>
      <c r="O467" s="781"/>
      <c r="P467" s="781"/>
      <c r="Q467" s="781"/>
      <c r="R467" s="781"/>
      <c r="S467" s="781"/>
      <c r="T467" s="781"/>
      <c r="U467" s="781"/>
      <c r="V467" s="781"/>
      <c r="W467" s="137"/>
      <c r="X467" s="137"/>
      <c r="Y467" s="137"/>
      <c r="Z467" s="137"/>
    </row>
    <row r="468" ht="15.75" customHeight="1">
      <c r="A468" s="1385"/>
      <c r="B468" s="1385"/>
      <c r="C468" s="234"/>
      <c r="D468" s="815"/>
      <c r="E468" s="1537"/>
      <c r="F468" s="763"/>
      <c r="G468" s="763"/>
      <c r="H468" s="763"/>
      <c r="I468" s="763"/>
      <c r="J468" s="763"/>
      <c r="K468" s="781"/>
      <c r="L468" s="781"/>
      <c r="M468" s="781"/>
      <c r="N468" s="781"/>
      <c r="O468" s="781"/>
      <c r="P468" s="781"/>
      <c r="Q468" s="781"/>
      <c r="R468" s="781"/>
      <c r="S468" s="781"/>
      <c r="T468" s="781"/>
      <c r="U468" s="781"/>
      <c r="V468" s="781"/>
      <c r="W468" s="137"/>
      <c r="X468" s="137"/>
      <c r="Y468" s="137"/>
      <c r="Z468" s="137"/>
    </row>
    <row r="469" ht="15.75" customHeight="1">
      <c r="A469" s="1385"/>
      <c r="B469" s="1385"/>
      <c r="C469" s="234"/>
      <c r="D469" s="815"/>
      <c r="E469" s="1537"/>
      <c r="F469" s="763"/>
      <c r="G469" s="763"/>
      <c r="H469" s="763"/>
      <c r="I469" s="763"/>
      <c r="J469" s="763"/>
      <c r="K469" s="781"/>
      <c r="L469" s="781"/>
      <c r="M469" s="781"/>
      <c r="N469" s="781"/>
      <c r="O469" s="781"/>
      <c r="P469" s="781"/>
      <c r="Q469" s="781"/>
      <c r="R469" s="781"/>
      <c r="S469" s="781"/>
      <c r="T469" s="781"/>
      <c r="U469" s="781"/>
      <c r="V469" s="781"/>
      <c r="W469" s="137"/>
      <c r="X469" s="137"/>
      <c r="Y469" s="137"/>
      <c r="Z469" s="137"/>
    </row>
    <row r="470" ht="15.75" customHeight="1">
      <c r="A470" s="1385"/>
      <c r="B470" s="1385"/>
      <c r="C470" s="234"/>
      <c r="D470" s="815"/>
      <c r="E470" s="1537"/>
      <c r="F470" s="763"/>
      <c r="G470" s="763"/>
      <c r="H470" s="763"/>
      <c r="I470" s="763"/>
      <c r="J470" s="763"/>
      <c r="K470" s="781"/>
      <c r="L470" s="781"/>
      <c r="M470" s="781"/>
      <c r="N470" s="781"/>
      <c r="O470" s="781"/>
      <c r="P470" s="781"/>
      <c r="Q470" s="781"/>
      <c r="R470" s="781"/>
      <c r="S470" s="781"/>
      <c r="T470" s="781"/>
      <c r="U470" s="781"/>
      <c r="V470" s="781"/>
      <c r="W470" s="137"/>
      <c r="X470" s="137"/>
      <c r="Y470" s="137"/>
      <c r="Z470" s="137"/>
    </row>
    <row r="471" ht="15.75" customHeight="1">
      <c r="A471" s="1385"/>
      <c r="B471" s="1385"/>
      <c r="C471" s="234"/>
      <c r="D471" s="815"/>
      <c r="E471" s="1537"/>
      <c r="F471" s="763"/>
      <c r="G471" s="763"/>
      <c r="H471" s="763"/>
      <c r="I471" s="763"/>
      <c r="J471" s="763"/>
      <c r="K471" s="781"/>
      <c r="L471" s="781"/>
      <c r="M471" s="781"/>
      <c r="N471" s="781"/>
      <c r="O471" s="781"/>
      <c r="P471" s="781"/>
      <c r="Q471" s="781"/>
      <c r="R471" s="781"/>
      <c r="S471" s="781"/>
      <c r="T471" s="781"/>
      <c r="U471" s="781"/>
      <c r="V471" s="781"/>
      <c r="W471" s="137"/>
      <c r="X471" s="137"/>
      <c r="Y471" s="137"/>
      <c r="Z471" s="137"/>
    </row>
    <row r="472" ht="15.75" customHeight="1">
      <c r="A472" s="1385"/>
      <c r="B472" s="1385"/>
      <c r="C472" s="234"/>
      <c r="D472" s="815"/>
      <c r="E472" s="1537"/>
      <c r="F472" s="763"/>
      <c r="G472" s="763"/>
      <c r="H472" s="763"/>
      <c r="I472" s="763"/>
      <c r="J472" s="763"/>
      <c r="K472" s="781"/>
      <c r="L472" s="781"/>
      <c r="M472" s="781"/>
      <c r="N472" s="781"/>
      <c r="O472" s="781"/>
      <c r="P472" s="781"/>
      <c r="Q472" s="781"/>
      <c r="R472" s="781"/>
      <c r="S472" s="781"/>
      <c r="T472" s="781"/>
      <c r="U472" s="781"/>
      <c r="V472" s="781"/>
      <c r="W472" s="137"/>
      <c r="X472" s="137"/>
      <c r="Y472" s="137"/>
      <c r="Z472" s="137"/>
    </row>
    <row r="473" ht="15.75" customHeight="1">
      <c r="A473" s="1385"/>
      <c r="B473" s="1385"/>
      <c r="C473" s="234"/>
      <c r="D473" s="815"/>
      <c r="E473" s="1537"/>
      <c r="F473" s="763"/>
      <c r="G473" s="763"/>
      <c r="H473" s="763"/>
      <c r="I473" s="763"/>
      <c r="J473" s="763"/>
      <c r="K473" s="781"/>
      <c r="L473" s="781"/>
      <c r="M473" s="781"/>
      <c r="N473" s="781"/>
      <c r="O473" s="781"/>
      <c r="P473" s="781"/>
      <c r="Q473" s="781"/>
      <c r="R473" s="781"/>
      <c r="S473" s="781"/>
      <c r="T473" s="781"/>
      <c r="U473" s="781"/>
      <c r="V473" s="781"/>
      <c r="W473" s="137"/>
      <c r="X473" s="137"/>
      <c r="Y473" s="137"/>
      <c r="Z473" s="137"/>
    </row>
    <row r="474" ht="15.75" customHeight="1">
      <c r="A474" s="1385"/>
      <c r="B474" s="1385"/>
      <c r="C474" s="234"/>
      <c r="D474" s="815"/>
      <c r="E474" s="1537"/>
      <c r="F474" s="763"/>
      <c r="G474" s="763"/>
      <c r="H474" s="763"/>
      <c r="I474" s="763"/>
      <c r="J474" s="763"/>
      <c r="K474" s="781"/>
      <c r="L474" s="781"/>
      <c r="M474" s="781"/>
      <c r="N474" s="781"/>
      <c r="O474" s="781"/>
      <c r="P474" s="781"/>
      <c r="Q474" s="781"/>
      <c r="R474" s="781"/>
      <c r="S474" s="781"/>
      <c r="T474" s="781"/>
      <c r="U474" s="781"/>
      <c r="V474" s="781"/>
      <c r="W474" s="137"/>
      <c r="X474" s="137"/>
      <c r="Y474" s="137"/>
      <c r="Z474" s="137"/>
    </row>
    <row r="475" ht="15.75" customHeight="1">
      <c r="A475" s="1385"/>
      <c r="B475" s="1385"/>
      <c r="C475" s="234"/>
      <c r="D475" s="815"/>
      <c r="E475" s="1537"/>
      <c r="F475" s="763"/>
      <c r="G475" s="763"/>
      <c r="H475" s="763"/>
      <c r="I475" s="763"/>
      <c r="J475" s="763"/>
      <c r="K475" s="781"/>
      <c r="L475" s="781"/>
      <c r="M475" s="781"/>
      <c r="N475" s="781"/>
      <c r="O475" s="781"/>
      <c r="P475" s="781"/>
      <c r="Q475" s="781"/>
      <c r="R475" s="781"/>
      <c r="S475" s="781"/>
      <c r="T475" s="781"/>
      <c r="U475" s="781"/>
      <c r="V475" s="781"/>
      <c r="W475" s="137"/>
      <c r="X475" s="137"/>
      <c r="Y475" s="137"/>
      <c r="Z475" s="137"/>
    </row>
    <row r="476" ht="15.75" customHeight="1">
      <c r="A476" s="1385"/>
      <c r="B476" s="1385"/>
      <c r="C476" s="234"/>
      <c r="D476" s="815"/>
      <c r="E476" s="1537"/>
      <c r="F476" s="763"/>
      <c r="G476" s="763"/>
      <c r="H476" s="763"/>
      <c r="I476" s="763"/>
      <c r="J476" s="763"/>
      <c r="K476" s="781"/>
      <c r="L476" s="781"/>
      <c r="M476" s="781"/>
      <c r="N476" s="781"/>
      <c r="O476" s="781"/>
      <c r="P476" s="781"/>
      <c r="Q476" s="781"/>
      <c r="R476" s="781"/>
      <c r="S476" s="781"/>
      <c r="T476" s="781"/>
      <c r="U476" s="781"/>
      <c r="V476" s="781"/>
      <c r="W476" s="137"/>
      <c r="X476" s="137"/>
      <c r="Y476" s="137"/>
      <c r="Z476" s="137"/>
    </row>
    <row r="477" ht="15.75" customHeight="1">
      <c r="A477" s="1385"/>
      <c r="B477" s="1385"/>
      <c r="C477" s="234"/>
      <c r="D477" s="815"/>
      <c r="E477" s="1537"/>
      <c r="F477" s="763"/>
      <c r="G477" s="763"/>
      <c r="H477" s="763"/>
      <c r="I477" s="763"/>
      <c r="J477" s="763"/>
      <c r="K477" s="781"/>
      <c r="L477" s="781"/>
      <c r="M477" s="781"/>
      <c r="N477" s="781"/>
      <c r="O477" s="781"/>
      <c r="P477" s="781"/>
      <c r="Q477" s="781"/>
      <c r="R477" s="781"/>
      <c r="S477" s="781"/>
      <c r="T477" s="781"/>
      <c r="U477" s="781"/>
      <c r="V477" s="781"/>
      <c r="W477" s="137"/>
      <c r="X477" s="137"/>
      <c r="Y477" s="137"/>
      <c r="Z477" s="137"/>
    </row>
    <row r="478" ht="15.75" customHeight="1">
      <c r="A478" s="1385"/>
      <c r="B478" s="1385"/>
      <c r="C478" s="234"/>
      <c r="D478" s="815"/>
      <c r="E478" s="1537"/>
      <c r="F478" s="763"/>
      <c r="G478" s="763"/>
      <c r="H478" s="763"/>
      <c r="I478" s="763"/>
      <c r="J478" s="763"/>
      <c r="K478" s="781"/>
      <c r="L478" s="781"/>
      <c r="M478" s="781"/>
      <c r="N478" s="781"/>
      <c r="O478" s="781"/>
      <c r="P478" s="781"/>
      <c r="Q478" s="781"/>
      <c r="R478" s="781"/>
      <c r="S478" s="781"/>
      <c r="T478" s="781"/>
      <c r="U478" s="781"/>
      <c r="V478" s="781"/>
      <c r="W478" s="137"/>
      <c r="X478" s="137"/>
      <c r="Y478" s="137"/>
      <c r="Z478" s="137"/>
    </row>
    <row r="479" ht="15.75" customHeight="1">
      <c r="A479" s="1385"/>
      <c r="B479" s="1385"/>
      <c r="C479" s="234"/>
      <c r="D479" s="815"/>
      <c r="E479" s="1537"/>
      <c r="F479" s="763"/>
      <c r="G479" s="763"/>
      <c r="H479" s="763"/>
      <c r="I479" s="763"/>
      <c r="J479" s="763"/>
      <c r="K479" s="781"/>
      <c r="L479" s="781"/>
      <c r="M479" s="781"/>
      <c r="N479" s="781"/>
      <c r="O479" s="781"/>
      <c r="P479" s="781"/>
      <c r="Q479" s="781"/>
      <c r="R479" s="781"/>
      <c r="S479" s="781"/>
      <c r="T479" s="781"/>
      <c r="U479" s="781"/>
      <c r="V479" s="781"/>
      <c r="W479" s="137"/>
      <c r="X479" s="137"/>
      <c r="Y479" s="137"/>
      <c r="Z479" s="137"/>
    </row>
    <row r="480" ht="15.75" customHeight="1">
      <c r="A480" s="1385"/>
      <c r="B480" s="1385"/>
      <c r="C480" s="234"/>
      <c r="D480" s="815"/>
      <c r="E480" s="1537"/>
      <c r="F480" s="763"/>
      <c r="G480" s="763"/>
      <c r="H480" s="763"/>
      <c r="I480" s="763"/>
      <c r="J480" s="763"/>
      <c r="K480" s="781"/>
      <c r="L480" s="781"/>
      <c r="M480" s="781"/>
      <c r="N480" s="781"/>
      <c r="O480" s="781"/>
      <c r="P480" s="781"/>
      <c r="Q480" s="781"/>
      <c r="R480" s="781"/>
      <c r="S480" s="781"/>
      <c r="T480" s="781"/>
      <c r="U480" s="781"/>
      <c r="V480" s="781"/>
      <c r="W480" s="137"/>
      <c r="X480" s="137"/>
      <c r="Y480" s="137"/>
      <c r="Z480" s="137"/>
    </row>
    <row r="481" ht="15.75" customHeight="1">
      <c r="A481" s="1385"/>
      <c r="B481" s="1385"/>
      <c r="C481" s="234"/>
      <c r="D481" s="815"/>
      <c r="E481" s="1537"/>
      <c r="F481" s="763"/>
      <c r="G481" s="763"/>
      <c r="H481" s="763"/>
      <c r="I481" s="763"/>
      <c r="J481" s="763"/>
      <c r="K481" s="781"/>
      <c r="L481" s="781"/>
      <c r="M481" s="781"/>
      <c r="N481" s="781"/>
      <c r="O481" s="781"/>
      <c r="P481" s="781"/>
      <c r="Q481" s="781"/>
      <c r="R481" s="781"/>
      <c r="S481" s="781"/>
      <c r="T481" s="781"/>
      <c r="U481" s="781"/>
      <c r="V481" s="781"/>
      <c r="W481" s="137"/>
      <c r="X481" s="137"/>
      <c r="Y481" s="137"/>
      <c r="Z481" s="137"/>
    </row>
    <row r="482" ht="15.75" customHeight="1">
      <c r="A482" s="1385"/>
      <c r="B482" s="1385"/>
      <c r="C482" s="234"/>
      <c r="D482" s="815"/>
      <c r="E482" s="1537"/>
      <c r="F482" s="763"/>
      <c r="G482" s="763"/>
      <c r="H482" s="763"/>
      <c r="I482" s="763"/>
      <c r="J482" s="763"/>
      <c r="K482" s="781"/>
      <c r="L482" s="781"/>
      <c r="M482" s="781"/>
      <c r="N482" s="781"/>
      <c r="O482" s="781"/>
      <c r="P482" s="781"/>
      <c r="Q482" s="781"/>
      <c r="R482" s="781"/>
      <c r="S482" s="781"/>
      <c r="T482" s="781"/>
      <c r="U482" s="781"/>
      <c r="V482" s="781"/>
      <c r="W482" s="137"/>
      <c r="X482" s="137"/>
      <c r="Y482" s="137"/>
      <c r="Z482" s="137"/>
    </row>
    <row r="483" ht="15.75" customHeight="1">
      <c r="A483" s="1385"/>
      <c r="B483" s="1385"/>
      <c r="C483" s="234"/>
      <c r="D483" s="815"/>
      <c r="E483" s="1537"/>
      <c r="F483" s="763"/>
      <c r="G483" s="763"/>
      <c r="H483" s="763"/>
      <c r="I483" s="763"/>
      <c r="J483" s="763"/>
      <c r="K483" s="781"/>
      <c r="L483" s="781"/>
      <c r="M483" s="781"/>
      <c r="N483" s="781"/>
      <c r="O483" s="781"/>
      <c r="P483" s="781"/>
      <c r="Q483" s="781"/>
      <c r="R483" s="781"/>
      <c r="S483" s="781"/>
      <c r="T483" s="781"/>
      <c r="U483" s="781"/>
      <c r="V483" s="781"/>
      <c r="W483" s="137"/>
      <c r="X483" s="137"/>
      <c r="Y483" s="137"/>
      <c r="Z483" s="137"/>
    </row>
    <row r="484" ht="15.75" customHeight="1">
      <c r="A484" s="1385"/>
      <c r="B484" s="1385"/>
      <c r="C484" s="234"/>
      <c r="D484" s="815"/>
      <c r="E484" s="1537"/>
      <c r="F484" s="763"/>
      <c r="G484" s="763"/>
      <c r="H484" s="763"/>
      <c r="I484" s="763"/>
      <c r="J484" s="763"/>
      <c r="K484" s="781"/>
      <c r="L484" s="781"/>
      <c r="M484" s="781"/>
      <c r="N484" s="781"/>
      <c r="O484" s="781"/>
      <c r="P484" s="781"/>
      <c r="Q484" s="781"/>
      <c r="R484" s="781"/>
      <c r="S484" s="781"/>
      <c r="T484" s="781"/>
      <c r="U484" s="781"/>
      <c r="V484" s="781"/>
      <c r="W484" s="137"/>
      <c r="X484" s="137"/>
      <c r="Y484" s="137"/>
      <c r="Z484" s="137"/>
    </row>
    <row r="485" ht="15.75" customHeight="1">
      <c r="A485" s="1385"/>
      <c r="B485" s="1385"/>
      <c r="C485" s="234"/>
      <c r="D485" s="815"/>
      <c r="E485" s="1537"/>
      <c r="F485" s="763"/>
      <c r="G485" s="763"/>
      <c r="H485" s="763"/>
      <c r="I485" s="763"/>
      <c r="J485" s="763"/>
      <c r="K485" s="781"/>
      <c r="L485" s="781"/>
      <c r="M485" s="781"/>
      <c r="N485" s="781"/>
      <c r="O485" s="781"/>
      <c r="P485" s="781"/>
      <c r="Q485" s="781"/>
      <c r="R485" s="781"/>
      <c r="S485" s="781"/>
      <c r="T485" s="781"/>
      <c r="U485" s="781"/>
      <c r="V485" s="781"/>
      <c r="W485" s="137"/>
      <c r="X485" s="137"/>
      <c r="Y485" s="137"/>
      <c r="Z485" s="137"/>
    </row>
    <row r="486" ht="15.75" customHeight="1">
      <c r="A486" s="1385"/>
      <c r="B486" s="1385"/>
      <c r="C486" s="234"/>
      <c r="D486" s="815"/>
      <c r="E486" s="1537"/>
      <c r="F486" s="763"/>
      <c r="G486" s="763"/>
      <c r="H486" s="763"/>
      <c r="I486" s="763"/>
      <c r="J486" s="763"/>
      <c r="K486" s="781"/>
      <c r="L486" s="781"/>
      <c r="M486" s="781"/>
      <c r="N486" s="781"/>
      <c r="O486" s="781"/>
      <c r="P486" s="781"/>
      <c r="Q486" s="781"/>
      <c r="R486" s="781"/>
      <c r="S486" s="781"/>
      <c r="T486" s="781"/>
      <c r="U486" s="781"/>
      <c r="V486" s="781"/>
      <c r="W486" s="137"/>
      <c r="X486" s="137"/>
      <c r="Y486" s="137"/>
      <c r="Z486" s="137"/>
    </row>
    <row r="487" ht="15.75" customHeight="1">
      <c r="A487" s="1385"/>
      <c r="B487" s="1385"/>
      <c r="C487" s="234"/>
      <c r="D487" s="815"/>
      <c r="E487" s="1537"/>
      <c r="F487" s="763"/>
      <c r="G487" s="763"/>
      <c r="H487" s="763"/>
      <c r="I487" s="763"/>
      <c r="J487" s="763"/>
      <c r="K487" s="781"/>
      <c r="L487" s="781"/>
      <c r="M487" s="781"/>
      <c r="N487" s="781"/>
      <c r="O487" s="781"/>
      <c r="P487" s="781"/>
      <c r="Q487" s="781"/>
      <c r="R487" s="781"/>
      <c r="S487" s="781"/>
      <c r="T487" s="781"/>
      <c r="U487" s="781"/>
      <c r="V487" s="781"/>
      <c r="W487" s="137"/>
      <c r="X487" s="137"/>
      <c r="Y487" s="137"/>
      <c r="Z487" s="137"/>
    </row>
    <row r="488" ht="15.75" customHeight="1">
      <c r="A488" s="1385"/>
      <c r="B488" s="1385"/>
      <c r="C488" s="234"/>
      <c r="D488" s="815"/>
      <c r="E488" s="1537"/>
      <c r="F488" s="763"/>
      <c r="G488" s="763"/>
      <c r="H488" s="763"/>
      <c r="I488" s="763"/>
      <c r="J488" s="763"/>
      <c r="K488" s="781"/>
      <c r="L488" s="781"/>
      <c r="M488" s="781"/>
      <c r="N488" s="781"/>
      <c r="O488" s="781"/>
      <c r="P488" s="781"/>
      <c r="Q488" s="781"/>
      <c r="R488" s="781"/>
      <c r="S488" s="781"/>
      <c r="T488" s="781"/>
      <c r="U488" s="781"/>
      <c r="V488" s="781"/>
      <c r="W488" s="137"/>
      <c r="X488" s="137"/>
      <c r="Y488" s="137"/>
      <c r="Z488" s="137"/>
    </row>
    <row r="489" ht="15.75" customHeight="1">
      <c r="A489" s="1385"/>
      <c r="B489" s="1385"/>
      <c r="C489" s="234"/>
      <c r="D489" s="815"/>
      <c r="E489" s="1537"/>
      <c r="F489" s="763"/>
      <c r="G489" s="763"/>
      <c r="H489" s="763"/>
      <c r="I489" s="763"/>
      <c r="J489" s="763"/>
      <c r="K489" s="781"/>
      <c r="L489" s="781"/>
      <c r="M489" s="781"/>
      <c r="N489" s="781"/>
      <c r="O489" s="781"/>
      <c r="P489" s="781"/>
      <c r="Q489" s="781"/>
      <c r="R489" s="781"/>
      <c r="S489" s="781"/>
      <c r="T489" s="781"/>
      <c r="U489" s="781"/>
      <c r="V489" s="781"/>
      <c r="W489" s="137"/>
      <c r="X489" s="137"/>
      <c r="Y489" s="137"/>
      <c r="Z489" s="137"/>
    </row>
    <row r="490" ht="15.75" customHeight="1">
      <c r="A490" s="1385"/>
      <c r="B490" s="1385"/>
      <c r="C490" s="234"/>
      <c r="D490" s="815"/>
      <c r="E490" s="1537"/>
      <c r="F490" s="763"/>
      <c r="G490" s="763"/>
      <c r="H490" s="763"/>
      <c r="I490" s="763"/>
      <c r="J490" s="763"/>
      <c r="K490" s="781"/>
      <c r="L490" s="781"/>
      <c r="M490" s="781"/>
      <c r="N490" s="781"/>
      <c r="O490" s="781"/>
      <c r="P490" s="781"/>
      <c r="Q490" s="781"/>
      <c r="R490" s="781"/>
      <c r="S490" s="781"/>
      <c r="T490" s="781"/>
      <c r="U490" s="781"/>
      <c r="V490" s="781"/>
      <c r="W490" s="137"/>
      <c r="X490" s="137"/>
      <c r="Y490" s="137"/>
      <c r="Z490" s="137"/>
    </row>
    <row r="491" ht="15.75" customHeight="1">
      <c r="A491" s="1385"/>
      <c r="B491" s="1385"/>
      <c r="C491" s="234"/>
      <c r="D491" s="815"/>
      <c r="E491" s="1537"/>
      <c r="F491" s="763"/>
      <c r="G491" s="763"/>
      <c r="H491" s="763"/>
      <c r="I491" s="763"/>
      <c r="J491" s="763"/>
      <c r="K491" s="781"/>
      <c r="L491" s="781"/>
      <c r="M491" s="781"/>
      <c r="N491" s="781"/>
      <c r="O491" s="781"/>
      <c r="P491" s="781"/>
      <c r="Q491" s="781"/>
      <c r="R491" s="781"/>
      <c r="S491" s="781"/>
      <c r="T491" s="781"/>
      <c r="U491" s="781"/>
      <c r="V491" s="781"/>
      <c r="W491" s="137"/>
      <c r="X491" s="137"/>
      <c r="Y491" s="137"/>
      <c r="Z491" s="137"/>
    </row>
    <row r="492" ht="15.75" customHeight="1">
      <c r="A492" s="1385"/>
      <c r="B492" s="1385"/>
      <c r="C492" s="234"/>
      <c r="D492" s="815"/>
      <c r="E492" s="1537"/>
      <c r="F492" s="763"/>
      <c r="G492" s="763"/>
      <c r="H492" s="763"/>
      <c r="I492" s="763"/>
      <c r="J492" s="763"/>
      <c r="K492" s="781"/>
      <c r="L492" s="781"/>
      <c r="M492" s="781"/>
      <c r="N492" s="781"/>
      <c r="O492" s="781"/>
      <c r="P492" s="781"/>
      <c r="Q492" s="781"/>
      <c r="R492" s="781"/>
      <c r="S492" s="781"/>
      <c r="T492" s="781"/>
      <c r="U492" s="781"/>
      <c r="V492" s="781"/>
      <c r="W492" s="137"/>
      <c r="X492" s="137"/>
      <c r="Y492" s="137"/>
      <c r="Z492" s="137"/>
    </row>
    <row r="493" ht="15.75" customHeight="1">
      <c r="A493" s="1385"/>
      <c r="B493" s="1385"/>
      <c r="C493" s="234"/>
      <c r="D493" s="815"/>
      <c r="E493" s="1537"/>
      <c r="F493" s="763"/>
      <c r="G493" s="763"/>
      <c r="H493" s="763"/>
      <c r="I493" s="763"/>
      <c r="J493" s="763"/>
      <c r="K493" s="781"/>
      <c r="L493" s="781"/>
      <c r="M493" s="781"/>
      <c r="N493" s="781"/>
      <c r="O493" s="781"/>
      <c r="P493" s="781"/>
      <c r="Q493" s="781"/>
      <c r="R493" s="781"/>
      <c r="S493" s="781"/>
      <c r="T493" s="781"/>
      <c r="U493" s="781"/>
      <c r="V493" s="781"/>
      <c r="W493" s="137"/>
      <c r="X493" s="137"/>
      <c r="Y493" s="137"/>
      <c r="Z493" s="137"/>
    </row>
    <row r="494" ht="15.75" customHeight="1">
      <c r="A494" s="1385"/>
      <c r="B494" s="1385"/>
      <c r="C494" s="234"/>
      <c r="D494" s="815"/>
      <c r="E494" s="1537"/>
      <c r="F494" s="763"/>
      <c r="G494" s="763"/>
      <c r="H494" s="763"/>
      <c r="I494" s="763"/>
      <c r="J494" s="763"/>
      <c r="K494" s="781"/>
      <c r="L494" s="781"/>
      <c r="M494" s="781"/>
      <c r="N494" s="781"/>
      <c r="O494" s="781"/>
      <c r="P494" s="781"/>
      <c r="Q494" s="781"/>
      <c r="R494" s="781"/>
      <c r="S494" s="781"/>
      <c r="T494" s="781"/>
      <c r="U494" s="781"/>
      <c r="V494" s="781"/>
      <c r="W494" s="137"/>
      <c r="X494" s="137"/>
      <c r="Y494" s="137"/>
      <c r="Z494" s="137"/>
    </row>
    <row r="495" ht="15.75" customHeight="1">
      <c r="A495" s="1385"/>
      <c r="B495" s="1385"/>
      <c r="C495" s="234"/>
      <c r="D495" s="815"/>
      <c r="E495" s="1537"/>
      <c r="F495" s="763"/>
      <c r="G495" s="763"/>
      <c r="H495" s="763"/>
      <c r="I495" s="763"/>
      <c r="J495" s="763"/>
      <c r="K495" s="781"/>
      <c r="L495" s="781"/>
      <c r="M495" s="781"/>
      <c r="N495" s="781"/>
      <c r="O495" s="781"/>
      <c r="P495" s="781"/>
      <c r="Q495" s="781"/>
      <c r="R495" s="781"/>
      <c r="S495" s="781"/>
      <c r="T495" s="781"/>
      <c r="U495" s="781"/>
      <c r="V495" s="781"/>
      <c r="W495" s="137"/>
      <c r="X495" s="137"/>
      <c r="Y495" s="137"/>
      <c r="Z495" s="137"/>
    </row>
    <row r="496" ht="15.75" customHeight="1">
      <c r="A496" s="1385"/>
      <c r="B496" s="1385"/>
      <c r="C496" s="234"/>
      <c r="D496" s="815"/>
      <c r="E496" s="1537"/>
      <c r="F496" s="763"/>
      <c r="G496" s="763"/>
      <c r="H496" s="763"/>
      <c r="I496" s="763"/>
      <c r="J496" s="763"/>
      <c r="K496" s="781"/>
      <c r="L496" s="781"/>
      <c r="M496" s="781"/>
      <c r="N496" s="781"/>
      <c r="O496" s="781"/>
      <c r="P496" s="781"/>
      <c r="Q496" s="781"/>
      <c r="R496" s="781"/>
      <c r="S496" s="781"/>
      <c r="T496" s="781"/>
      <c r="U496" s="781"/>
      <c r="V496" s="781"/>
      <c r="W496" s="137"/>
      <c r="X496" s="137"/>
      <c r="Y496" s="137"/>
      <c r="Z496" s="137"/>
    </row>
    <row r="497" ht="15.75" customHeight="1">
      <c r="A497" s="1385"/>
      <c r="B497" s="1385"/>
      <c r="C497" s="234"/>
      <c r="D497" s="815"/>
      <c r="E497" s="1537"/>
      <c r="F497" s="763"/>
      <c r="G497" s="763"/>
      <c r="H497" s="763"/>
      <c r="I497" s="763"/>
      <c r="J497" s="763"/>
      <c r="K497" s="781"/>
      <c r="L497" s="781"/>
      <c r="M497" s="781"/>
      <c r="N497" s="781"/>
      <c r="O497" s="781"/>
      <c r="P497" s="781"/>
      <c r="Q497" s="781"/>
      <c r="R497" s="781"/>
      <c r="S497" s="781"/>
      <c r="T497" s="781"/>
      <c r="U497" s="781"/>
      <c r="V497" s="781"/>
      <c r="W497" s="137"/>
      <c r="X497" s="137"/>
      <c r="Y497" s="137"/>
      <c r="Z497" s="137"/>
    </row>
    <row r="498" ht="15.75" customHeight="1">
      <c r="A498" s="1385"/>
      <c r="B498" s="1385"/>
      <c r="C498" s="234"/>
      <c r="D498" s="815"/>
      <c r="E498" s="1537"/>
      <c r="F498" s="763"/>
      <c r="G498" s="763"/>
      <c r="H498" s="763"/>
      <c r="I498" s="763"/>
      <c r="J498" s="763"/>
      <c r="K498" s="781"/>
      <c r="L498" s="781"/>
      <c r="M498" s="781"/>
      <c r="N498" s="781"/>
      <c r="O498" s="781"/>
      <c r="P498" s="781"/>
      <c r="Q498" s="781"/>
      <c r="R498" s="781"/>
      <c r="S498" s="781"/>
      <c r="T498" s="781"/>
      <c r="U498" s="781"/>
      <c r="V498" s="781"/>
      <c r="W498" s="137"/>
      <c r="X498" s="137"/>
      <c r="Y498" s="137"/>
      <c r="Z498" s="137"/>
    </row>
    <row r="499" ht="15.75" customHeight="1">
      <c r="A499" s="1385"/>
      <c r="B499" s="1385"/>
      <c r="C499" s="234"/>
      <c r="D499" s="815"/>
      <c r="E499" s="1537"/>
      <c r="F499" s="763"/>
      <c r="G499" s="763"/>
      <c r="H499" s="763"/>
      <c r="I499" s="763"/>
      <c r="J499" s="763"/>
      <c r="K499" s="781"/>
      <c r="L499" s="781"/>
      <c r="M499" s="781"/>
      <c r="N499" s="781"/>
      <c r="O499" s="781"/>
      <c r="P499" s="781"/>
      <c r="Q499" s="781"/>
      <c r="R499" s="781"/>
      <c r="S499" s="781"/>
      <c r="T499" s="781"/>
      <c r="U499" s="781"/>
      <c r="V499" s="781"/>
      <c r="W499" s="137"/>
      <c r="X499" s="137"/>
      <c r="Y499" s="137"/>
      <c r="Z499" s="137"/>
    </row>
    <row r="500" ht="15.75" customHeight="1">
      <c r="A500" s="1385"/>
      <c r="B500" s="1385"/>
      <c r="C500" s="234"/>
      <c r="D500" s="815"/>
      <c r="E500" s="1537"/>
      <c r="F500" s="763"/>
      <c r="G500" s="763"/>
      <c r="H500" s="763"/>
      <c r="I500" s="763"/>
      <c r="J500" s="763"/>
      <c r="K500" s="781"/>
      <c r="L500" s="781"/>
      <c r="M500" s="781"/>
      <c r="N500" s="781"/>
      <c r="O500" s="781"/>
      <c r="P500" s="781"/>
      <c r="Q500" s="781"/>
      <c r="R500" s="781"/>
      <c r="S500" s="781"/>
      <c r="T500" s="781"/>
      <c r="U500" s="781"/>
      <c r="V500" s="781"/>
      <c r="W500" s="137"/>
      <c r="X500" s="137"/>
      <c r="Y500" s="137"/>
      <c r="Z500" s="137"/>
    </row>
    <row r="501" ht="15.75" customHeight="1">
      <c r="A501" s="1385"/>
      <c r="B501" s="1385"/>
      <c r="C501" s="234"/>
      <c r="D501" s="815"/>
      <c r="E501" s="1537"/>
      <c r="F501" s="763"/>
      <c r="G501" s="763"/>
      <c r="H501" s="763"/>
      <c r="I501" s="763"/>
      <c r="J501" s="763"/>
      <c r="K501" s="781"/>
      <c r="L501" s="781"/>
      <c r="M501" s="781"/>
      <c r="N501" s="781"/>
      <c r="O501" s="781"/>
      <c r="P501" s="781"/>
      <c r="Q501" s="781"/>
      <c r="R501" s="781"/>
      <c r="S501" s="781"/>
      <c r="T501" s="781"/>
      <c r="U501" s="781"/>
      <c r="V501" s="781"/>
      <c r="W501" s="137"/>
      <c r="X501" s="137"/>
      <c r="Y501" s="137"/>
      <c r="Z501" s="137"/>
    </row>
    <row r="502" ht="15.75" customHeight="1">
      <c r="A502" s="1385"/>
      <c r="B502" s="1385"/>
      <c r="C502" s="234"/>
      <c r="D502" s="815"/>
      <c r="E502" s="1537"/>
      <c r="F502" s="763"/>
      <c r="G502" s="763"/>
      <c r="H502" s="763"/>
      <c r="I502" s="763"/>
      <c r="J502" s="763"/>
      <c r="K502" s="781"/>
      <c r="L502" s="781"/>
      <c r="M502" s="781"/>
      <c r="N502" s="781"/>
      <c r="O502" s="781"/>
      <c r="P502" s="781"/>
      <c r="Q502" s="781"/>
      <c r="R502" s="781"/>
      <c r="S502" s="781"/>
      <c r="T502" s="781"/>
      <c r="U502" s="781"/>
      <c r="V502" s="781"/>
      <c r="W502" s="137"/>
      <c r="X502" s="137"/>
      <c r="Y502" s="137"/>
      <c r="Z502" s="137"/>
    </row>
    <row r="503" ht="15.75" customHeight="1">
      <c r="A503" s="1385"/>
      <c r="B503" s="1385"/>
      <c r="C503" s="234"/>
      <c r="D503" s="815"/>
      <c r="E503" s="1537"/>
      <c r="F503" s="763"/>
      <c r="G503" s="763"/>
      <c r="H503" s="763"/>
      <c r="I503" s="763"/>
      <c r="J503" s="763"/>
      <c r="K503" s="781"/>
      <c r="L503" s="781"/>
      <c r="M503" s="781"/>
      <c r="N503" s="781"/>
      <c r="O503" s="781"/>
      <c r="P503" s="781"/>
      <c r="Q503" s="781"/>
      <c r="R503" s="781"/>
      <c r="S503" s="781"/>
      <c r="T503" s="781"/>
      <c r="U503" s="781"/>
      <c r="V503" s="781"/>
      <c r="W503" s="137"/>
      <c r="X503" s="137"/>
      <c r="Y503" s="137"/>
      <c r="Z503" s="137"/>
    </row>
    <row r="504" ht="15.75" customHeight="1">
      <c r="A504" s="1385"/>
      <c r="B504" s="1385"/>
      <c r="C504" s="234"/>
      <c r="D504" s="815"/>
      <c r="E504" s="1537"/>
      <c r="F504" s="763"/>
      <c r="G504" s="763"/>
      <c r="H504" s="763"/>
      <c r="I504" s="763"/>
      <c r="J504" s="763"/>
      <c r="K504" s="781"/>
      <c r="L504" s="781"/>
      <c r="M504" s="781"/>
      <c r="N504" s="781"/>
      <c r="O504" s="781"/>
      <c r="P504" s="781"/>
      <c r="Q504" s="781"/>
      <c r="R504" s="781"/>
      <c r="S504" s="781"/>
      <c r="T504" s="781"/>
      <c r="U504" s="781"/>
      <c r="V504" s="781"/>
      <c r="W504" s="137"/>
      <c r="X504" s="137"/>
      <c r="Y504" s="137"/>
      <c r="Z504" s="137"/>
    </row>
    <row r="505" ht="15.75" customHeight="1">
      <c r="A505" s="1385"/>
      <c r="B505" s="1385"/>
      <c r="C505" s="234"/>
      <c r="D505" s="815"/>
      <c r="E505" s="1537"/>
      <c r="F505" s="763"/>
      <c r="G505" s="763"/>
      <c r="H505" s="763"/>
      <c r="I505" s="763"/>
      <c r="J505" s="763"/>
      <c r="K505" s="781"/>
      <c r="L505" s="781"/>
      <c r="M505" s="781"/>
      <c r="N505" s="781"/>
      <c r="O505" s="781"/>
      <c r="P505" s="781"/>
      <c r="Q505" s="781"/>
      <c r="R505" s="781"/>
      <c r="S505" s="781"/>
      <c r="T505" s="781"/>
      <c r="U505" s="781"/>
      <c r="V505" s="781"/>
      <c r="W505" s="137"/>
      <c r="X505" s="137"/>
      <c r="Y505" s="137"/>
      <c r="Z505" s="137"/>
    </row>
    <row r="506" ht="15.75" customHeight="1">
      <c r="A506" s="1385"/>
      <c r="B506" s="1385"/>
      <c r="C506" s="234"/>
      <c r="D506" s="815"/>
      <c r="E506" s="1537"/>
      <c r="F506" s="763"/>
      <c r="G506" s="763"/>
      <c r="H506" s="763"/>
      <c r="I506" s="763"/>
      <c r="J506" s="763"/>
      <c r="K506" s="781"/>
      <c r="L506" s="781"/>
      <c r="M506" s="781"/>
      <c r="N506" s="781"/>
      <c r="O506" s="781"/>
      <c r="P506" s="781"/>
      <c r="Q506" s="781"/>
      <c r="R506" s="781"/>
      <c r="S506" s="781"/>
      <c r="T506" s="781"/>
      <c r="U506" s="781"/>
      <c r="V506" s="781"/>
      <c r="W506" s="137"/>
      <c r="X506" s="137"/>
      <c r="Y506" s="137"/>
      <c r="Z506" s="137"/>
    </row>
    <row r="507" ht="15.75" customHeight="1">
      <c r="A507" s="1385"/>
      <c r="B507" s="1385"/>
      <c r="C507" s="234"/>
      <c r="D507" s="815"/>
      <c r="E507" s="1537"/>
      <c r="F507" s="763"/>
      <c r="G507" s="763"/>
      <c r="H507" s="763"/>
      <c r="I507" s="763"/>
      <c r="J507" s="763"/>
      <c r="K507" s="781"/>
      <c r="L507" s="781"/>
      <c r="M507" s="781"/>
      <c r="N507" s="781"/>
      <c r="O507" s="781"/>
      <c r="P507" s="781"/>
      <c r="Q507" s="781"/>
      <c r="R507" s="781"/>
      <c r="S507" s="781"/>
      <c r="T507" s="781"/>
      <c r="U507" s="781"/>
      <c r="V507" s="781"/>
      <c r="W507" s="137"/>
      <c r="X507" s="137"/>
      <c r="Y507" s="137"/>
      <c r="Z507" s="137"/>
    </row>
    <row r="508" ht="15.75" customHeight="1">
      <c r="A508" s="1385"/>
      <c r="B508" s="1385"/>
      <c r="C508" s="234"/>
      <c r="D508" s="815"/>
      <c r="E508" s="1537"/>
      <c r="F508" s="763"/>
      <c r="G508" s="763"/>
      <c r="H508" s="763"/>
      <c r="I508" s="763"/>
      <c r="J508" s="763"/>
      <c r="K508" s="781"/>
      <c r="L508" s="781"/>
      <c r="M508" s="781"/>
      <c r="N508" s="781"/>
      <c r="O508" s="781"/>
      <c r="P508" s="781"/>
      <c r="Q508" s="781"/>
      <c r="R508" s="781"/>
      <c r="S508" s="781"/>
      <c r="T508" s="781"/>
      <c r="U508" s="781"/>
      <c r="V508" s="781"/>
      <c r="W508" s="137"/>
      <c r="X508" s="137"/>
      <c r="Y508" s="137"/>
      <c r="Z508" s="137"/>
    </row>
    <row r="509" ht="15.75" customHeight="1">
      <c r="A509" s="1385"/>
      <c r="B509" s="1385"/>
      <c r="C509" s="234"/>
      <c r="D509" s="815"/>
      <c r="E509" s="1537"/>
      <c r="F509" s="763"/>
      <c r="G509" s="763"/>
      <c r="H509" s="763"/>
      <c r="I509" s="763"/>
      <c r="J509" s="763"/>
      <c r="K509" s="781"/>
      <c r="L509" s="781"/>
      <c r="M509" s="781"/>
      <c r="N509" s="781"/>
      <c r="O509" s="781"/>
      <c r="P509" s="781"/>
      <c r="Q509" s="781"/>
      <c r="R509" s="781"/>
      <c r="S509" s="781"/>
      <c r="T509" s="781"/>
      <c r="U509" s="781"/>
      <c r="V509" s="781"/>
      <c r="W509" s="137"/>
      <c r="X509" s="137"/>
      <c r="Y509" s="137"/>
      <c r="Z509" s="137"/>
    </row>
    <row r="510" ht="15.75" customHeight="1">
      <c r="A510" s="1385"/>
      <c r="B510" s="1385"/>
      <c r="C510" s="234"/>
      <c r="D510" s="815"/>
      <c r="E510" s="1537"/>
      <c r="F510" s="763"/>
      <c r="G510" s="763"/>
      <c r="H510" s="763"/>
      <c r="I510" s="763"/>
      <c r="J510" s="763"/>
      <c r="K510" s="781"/>
      <c r="L510" s="781"/>
      <c r="M510" s="781"/>
      <c r="N510" s="781"/>
      <c r="O510" s="781"/>
      <c r="P510" s="781"/>
      <c r="Q510" s="781"/>
      <c r="R510" s="781"/>
      <c r="S510" s="781"/>
      <c r="T510" s="781"/>
      <c r="U510" s="781"/>
      <c r="V510" s="781"/>
      <c r="W510" s="137"/>
      <c r="X510" s="137"/>
      <c r="Y510" s="137"/>
      <c r="Z510" s="137"/>
    </row>
    <row r="511" ht="15.75" customHeight="1">
      <c r="A511" s="1385"/>
      <c r="B511" s="1385"/>
      <c r="C511" s="234"/>
      <c r="D511" s="815"/>
      <c r="E511" s="1537"/>
      <c r="F511" s="763"/>
      <c r="G511" s="763"/>
      <c r="H511" s="763"/>
      <c r="I511" s="763"/>
      <c r="J511" s="763"/>
      <c r="K511" s="781"/>
      <c r="L511" s="781"/>
      <c r="M511" s="781"/>
      <c r="N511" s="781"/>
      <c r="O511" s="781"/>
      <c r="P511" s="781"/>
      <c r="Q511" s="781"/>
      <c r="R511" s="781"/>
      <c r="S511" s="781"/>
      <c r="T511" s="781"/>
      <c r="U511" s="781"/>
      <c r="V511" s="781"/>
      <c r="W511" s="137"/>
      <c r="X511" s="137"/>
      <c r="Y511" s="137"/>
      <c r="Z511" s="137"/>
    </row>
    <row r="512" ht="15.75" customHeight="1">
      <c r="A512" s="1385"/>
      <c r="B512" s="1385"/>
      <c r="C512" s="234"/>
      <c r="D512" s="815"/>
      <c r="E512" s="1537"/>
      <c r="F512" s="763"/>
      <c r="G512" s="763"/>
      <c r="H512" s="763"/>
      <c r="I512" s="763"/>
      <c r="J512" s="763"/>
      <c r="K512" s="781"/>
      <c r="L512" s="781"/>
      <c r="M512" s="781"/>
      <c r="N512" s="781"/>
      <c r="O512" s="781"/>
      <c r="P512" s="781"/>
      <c r="Q512" s="781"/>
      <c r="R512" s="781"/>
      <c r="S512" s="781"/>
      <c r="T512" s="781"/>
      <c r="U512" s="781"/>
      <c r="V512" s="781"/>
      <c r="W512" s="137"/>
      <c r="X512" s="137"/>
      <c r="Y512" s="137"/>
      <c r="Z512" s="137"/>
    </row>
    <row r="513" ht="15.75" customHeight="1">
      <c r="A513" s="1385"/>
      <c r="B513" s="1385"/>
      <c r="C513" s="234"/>
      <c r="D513" s="815"/>
      <c r="E513" s="1537"/>
      <c r="F513" s="763"/>
      <c r="G513" s="763"/>
      <c r="H513" s="763"/>
      <c r="I513" s="763"/>
      <c r="J513" s="763"/>
      <c r="K513" s="781"/>
      <c r="L513" s="781"/>
      <c r="M513" s="781"/>
      <c r="N513" s="781"/>
      <c r="O513" s="781"/>
      <c r="P513" s="781"/>
      <c r="Q513" s="781"/>
      <c r="R513" s="781"/>
      <c r="S513" s="781"/>
      <c r="T513" s="781"/>
      <c r="U513" s="781"/>
      <c r="V513" s="781"/>
      <c r="W513" s="137"/>
      <c r="X513" s="137"/>
      <c r="Y513" s="137"/>
      <c r="Z513" s="137"/>
    </row>
    <row r="514" ht="15.75" customHeight="1">
      <c r="A514" s="1385"/>
      <c r="B514" s="1385"/>
      <c r="C514" s="234"/>
      <c r="D514" s="815"/>
      <c r="E514" s="1537"/>
      <c r="F514" s="763"/>
      <c r="G514" s="763"/>
      <c r="H514" s="763"/>
      <c r="I514" s="763"/>
      <c r="J514" s="763"/>
      <c r="K514" s="781"/>
      <c r="L514" s="781"/>
      <c r="M514" s="781"/>
      <c r="N514" s="781"/>
      <c r="O514" s="781"/>
      <c r="P514" s="781"/>
      <c r="Q514" s="781"/>
      <c r="R514" s="781"/>
      <c r="S514" s="781"/>
      <c r="T514" s="781"/>
      <c r="U514" s="781"/>
      <c r="V514" s="781"/>
      <c r="W514" s="137"/>
      <c r="X514" s="137"/>
      <c r="Y514" s="137"/>
      <c r="Z514" s="137"/>
    </row>
    <row r="515" ht="15.75" customHeight="1">
      <c r="A515" s="1385"/>
      <c r="B515" s="1385"/>
      <c r="C515" s="234"/>
      <c r="D515" s="815"/>
      <c r="E515" s="1537"/>
      <c r="F515" s="763"/>
      <c r="G515" s="763"/>
      <c r="H515" s="763"/>
      <c r="I515" s="763"/>
      <c r="J515" s="763"/>
      <c r="K515" s="781"/>
      <c r="L515" s="781"/>
      <c r="M515" s="781"/>
      <c r="N515" s="781"/>
      <c r="O515" s="781"/>
      <c r="P515" s="781"/>
      <c r="Q515" s="781"/>
      <c r="R515" s="781"/>
      <c r="S515" s="781"/>
      <c r="T515" s="781"/>
      <c r="U515" s="781"/>
      <c r="V515" s="781"/>
      <c r="W515" s="137"/>
      <c r="X515" s="137"/>
      <c r="Y515" s="137"/>
      <c r="Z515" s="137"/>
    </row>
    <row r="516" ht="15.75" customHeight="1">
      <c r="A516" s="1385"/>
      <c r="B516" s="1385"/>
      <c r="C516" s="234"/>
      <c r="D516" s="815"/>
      <c r="E516" s="1537"/>
      <c r="F516" s="763"/>
      <c r="G516" s="763"/>
      <c r="H516" s="763"/>
      <c r="I516" s="763"/>
      <c r="J516" s="763"/>
      <c r="K516" s="781"/>
      <c r="L516" s="781"/>
      <c r="M516" s="781"/>
      <c r="N516" s="781"/>
      <c r="O516" s="781"/>
      <c r="P516" s="781"/>
      <c r="Q516" s="781"/>
      <c r="R516" s="781"/>
      <c r="S516" s="781"/>
      <c r="T516" s="781"/>
      <c r="U516" s="781"/>
      <c r="V516" s="781"/>
      <c r="W516" s="137"/>
      <c r="X516" s="137"/>
      <c r="Y516" s="137"/>
      <c r="Z516" s="137"/>
    </row>
    <row r="517" ht="15.75" customHeight="1">
      <c r="A517" s="1385"/>
      <c r="B517" s="1385"/>
      <c r="C517" s="234"/>
      <c r="D517" s="815"/>
      <c r="E517" s="1537"/>
      <c r="F517" s="763"/>
      <c r="G517" s="763"/>
      <c r="H517" s="763"/>
      <c r="I517" s="763"/>
      <c r="J517" s="763"/>
      <c r="K517" s="781"/>
      <c r="L517" s="781"/>
      <c r="M517" s="781"/>
      <c r="N517" s="781"/>
      <c r="O517" s="781"/>
      <c r="P517" s="781"/>
      <c r="Q517" s="781"/>
      <c r="R517" s="781"/>
      <c r="S517" s="781"/>
      <c r="T517" s="781"/>
      <c r="U517" s="781"/>
      <c r="V517" s="781"/>
      <c r="W517" s="137"/>
      <c r="X517" s="137"/>
      <c r="Y517" s="137"/>
      <c r="Z517" s="137"/>
    </row>
    <row r="518" ht="15.75" customHeight="1">
      <c r="A518" s="1385"/>
      <c r="B518" s="1385"/>
      <c r="C518" s="234"/>
      <c r="D518" s="815"/>
      <c r="E518" s="1537"/>
      <c r="F518" s="763"/>
      <c r="G518" s="763"/>
      <c r="H518" s="763"/>
      <c r="I518" s="763"/>
      <c r="J518" s="763"/>
      <c r="K518" s="781"/>
      <c r="L518" s="781"/>
      <c r="M518" s="781"/>
      <c r="N518" s="781"/>
      <c r="O518" s="781"/>
      <c r="P518" s="781"/>
      <c r="Q518" s="781"/>
      <c r="R518" s="781"/>
      <c r="S518" s="781"/>
      <c r="T518" s="781"/>
      <c r="U518" s="781"/>
      <c r="V518" s="781"/>
      <c r="W518" s="137"/>
      <c r="X518" s="137"/>
      <c r="Y518" s="137"/>
      <c r="Z518" s="137"/>
    </row>
    <row r="519" ht="15.75" customHeight="1">
      <c r="A519" s="1385"/>
      <c r="B519" s="1385"/>
      <c r="C519" s="234"/>
      <c r="D519" s="815"/>
      <c r="E519" s="1537"/>
      <c r="F519" s="763"/>
      <c r="G519" s="763"/>
      <c r="H519" s="763"/>
      <c r="I519" s="763"/>
      <c r="J519" s="763"/>
      <c r="K519" s="781"/>
      <c r="L519" s="781"/>
      <c r="M519" s="781"/>
      <c r="N519" s="781"/>
      <c r="O519" s="781"/>
      <c r="P519" s="781"/>
      <c r="Q519" s="781"/>
      <c r="R519" s="781"/>
      <c r="S519" s="781"/>
      <c r="T519" s="781"/>
      <c r="U519" s="781"/>
      <c r="V519" s="781"/>
      <c r="W519" s="137"/>
      <c r="X519" s="137"/>
      <c r="Y519" s="137"/>
      <c r="Z519" s="137"/>
    </row>
    <row r="520" ht="15.75" customHeight="1">
      <c r="A520" s="1385"/>
      <c r="B520" s="1385"/>
      <c r="C520" s="234"/>
      <c r="D520" s="815"/>
      <c r="E520" s="1537"/>
      <c r="F520" s="763"/>
      <c r="G520" s="763"/>
      <c r="H520" s="763"/>
      <c r="I520" s="763"/>
      <c r="J520" s="763"/>
      <c r="K520" s="781"/>
      <c r="L520" s="781"/>
      <c r="M520" s="781"/>
      <c r="N520" s="781"/>
      <c r="O520" s="781"/>
      <c r="P520" s="781"/>
      <c r="Q520" s="781"/>
      <c r="R520" s="781"/>
      <c r="S520" s="781"/>
      <c r="T520" s="781"/>
      <c r="U520" s="781"/>
      <c r="V520" s="781"/>
      <c r="W520" s="137"/>
      <c r="X520" s="137"/>
      <c r="Y520" s="137"/>
      <c r="Z520" s="137"/>
    </row>
    <row r="521" ht="15.75" customHeight="1">
      <c r="A521" s="1385"/>
      <c r="B521" s="1385"/>
      <c r="C521" s="234"/>
      <c r="D521" s="815"/>
      <c r="E521" s="1537"/>
      <c r="F521" s="763"/>
      <c r="G521" s="763"/>
      <c r="H521" s="763"/>
      <c r="I521" s="763"/>
      <c r="J521" s="763"/>
      <c r="K521" s="781"/>
      <c r="L521" s="781"/>
      <c r="M521" s="781"/>
      <c r="N521" s="781"/>
      <c r="O521" s="781"/>
      <c r="P521" s="781"/>
      <c r="Q521" s="781"/>
      <c r="R521" s="781"/>
      <c r="S521" s="781"/>
      <c r="T521" s="781"/>
      <c r="U521" s="781"/>
      <c r="V521" s="781"/>
      <c r="W521" s="137"/>
      <c r="X521" s="137"/>
      <c r="Y521" s="137"/>
      <c r="Z521" s="137"/>
    </row>
    <row r="522" ht="15.75" customHeight="1">
      <c r="A522" s="1385"/>
      <c r="B522" s="1385"/>
      <c r="C522" s="234"/>
      <c r="D522" s="815"/>
      <c r="E522" s="1537"/>
      <c r="F522" s="763"/>
      <c r="G522" s="763"/>
      <c r="H522" s="763"/>
      <c r="I522" s="763"/>
      <c r="J522" s="763"/>
      <c r="K522" s="781"/>
      <c r="L522" s="781"/>
      <c r="M522" s="781"/>
      <c r="N522" s="781"/>
      <c r="O522" s="781"/>
      <c r="P522" s="781"/>
      <c r="Q522" s="781"/>
      <c r="R522" s="781"/>
      <c r="S522" s="781"/>
      <c r="T522" s="781"/>
      <c r="U522" s="781"/>
      <c r="V522" s="781"/>
      <c r="W522" s="137"/>
      <c r="X522" s="137"/>
      <c r="Y522" s="137"/>
      <c r="Z522" s="137"/>
    </row>
    <row r="523" ht="15.75" customHeight="1">
      <c r="A523" s="1385"/>
      <c r="B523" s="1385"/>
      <c r="C523" s="234"/>
      <c r="D523" s="815"/>
      <c r="E523" s="1537"/>
      <c r="F523" s="763"/>
      <c r="G523" s="763"/>
      <c r="H523" s="763"/>
      <c r="I523" s="763"/>
      <c r="J523" s="763"/>
      <c r="K523" s="781"/>
      <c r="L523" s="781"/>
      <c r="M523" s="781"/>
      <c r="N523" s="781"/>
      <c r="O523" s="781"/>
      <c r="P523" s="781"/>
      <c r="Q523" s="781"/>
      <c r="R523" s="781"/>
      <c r="S523" s="781"/>
      <c r="T523" s="781"/>
      <c r="U523" s="781"/>
      <c r="V523" s="781"/>
      <c r="W523" s="137"/>
      <c r="X523" s="137"/>
      <c r="Y523" s="137"/>
      <c r="Z523" s="137"/>
    </row>
    <row r="524" ht="15.75" customHeight="1">
      <c r="A524" s="1385"/>
      <c r="B524" s="1385"/>
      <c r="C524" s="234"/>
      <c r="D524" s="815"/>
      <c r="E524" s="1537"/>
      <c r="F524" s="763"/>
      <c r="G524" s="763"/>
      <c r="H524" s="763"/>
      <c r="I524" s="763"/>
      <c r="J524" s="763"/>
      <c r="K524" s="781"/>
      <c r="L524" s="781"/>
      <c r="M524" s="781"/>
      <c r="N524" s="781"/>
      <c r="O524" s="781"/>
      <c r="P524" s="781"/>
      <c r="Q524" s="781"/>
      <c r="R524" s="781"/>
      <c r="S524" s="781"/>
      <c r="T524" s="781"/>
      <c r="U524" s="781"/>
      <c r="V524" s="781"/>
      <c r="W524" s="137"/>
      <c r="X524" s="137"/>
      <c r="Y524" s="137"/>
      <c r="Z524" s="137"/>
    </row>
    <row r="525" ht="15.75" customHeight="1">
      <c r="A525" s="1385"/>
      <c r="B525" s="1385"/>
      <c r="C525" s="234"/>
      <c r="D525" s="815"/>
      <c r="E525" s="1537"/>
      <c r="F525" s="763"/>
      <c r="G525" s="763"/>
      <c r="H525" s="763"/>
      <c r="I525" s="763"/>
      <c r="J525" s="763"/>
      <c r="K525" s="781"/>
      <c r="L525" s="781"/>
      <c r="M525" s="781"/>
      <c r="N525" s="781"/>
      <c r="O525" s="781"/>
      <c r="P525" s="781"/>
      <c r="Q525" s="781"/>
      <c r="R525" s="781"/>
      <c r="S525" s="781"/>
      <c r="T525" s="781"/>
      <c r="U525" s="781"/>
      <c r="V525" s="781"/>
      <c r="W525" s="137"/>
      <c r="X525" s="137"/>
      <c r="Y525" s="137"/>
      <c r="Z525" s="137"/>
    </row>
    <row r="526" ht="15.75" customHeight="1">
      <c r="A526" s="1385"/>
      <c r="B526" s="1385"/>
      <c r="C526" s="234"/>
      <c r="D526" s="815"/>
      <c r="E526" s="1537"/>
      <c r="F526" s="763"/>
      <c r="G526" s="763"/>
      <c r="H526" s="763"/>
      <c r="I526" s="763"/>
      <c r="J526" s="763"/>
      <c r="K526" s="781"/>
      <c r="L526" s="781"/>
      <c r="M526" s="781"/>
      <c r="N526" s="781"/>
      <c r="O526" s="781"/>
      <c r="P526" s="781"/>
      <c r="Q526" s="781"/>
      <c r="R526" s="781"/>
      <c r="S526" s="781"/>
      <c r="T526" s="781"/>
      <c r="U526" s="781"/>
      <c r="V526" s="781"/>
      <c r="W526" s="137"/>
      <c r="X526" s="137"/>
      <c r="Y526" s="137"/>
      <c r="Z526" s="137"/>
    </row>
    <row r="527" ht="15.75" customHeight="1">
      <c r="A527" s="1385"/>
      <c r="B527" s="1385"/>
      <c r="C527" s="234"/>
      <c r="D527" s="815"/>
      <c r="E527" s="1537"/>
      <c r="F527" s="763"/>
      <c r="G527" s="763"/>
      <c r="H527" s="763"/>
      <c r="I527" s="763"/>
      <c r="J527" s="763"/>
      <c r="K527" s="781"/>
      <c r="L527" s="781"/>
      <c r="M527" s="781"/>
      <c r="N527" s="781"/>
      <c r="O527" s="781"/>
      <c r="P527" s="781"/>
      <c r="Q527" s="781"/>
      <c r="R527" s="781"/>
      <c r="S527" s="781"/>
      <c r="T527" s="781"/>
      <c r="U527" s="781"/>
      <c r="V527" s="781"/>
      <c r="W527" s="137"/>
      <c r="X527" s="137"/>
      <c r="Y527" s="137"/>
      <c r="Z527" s="137"/>
    </row>
    <row r="528" ht="15.75" customHeight="1">
      <c r="A528" s="1385"/>
      <c r="B528" s="1385"/>
      <c r="C528" s="234"/>
      <c r="D528" s="815"/>
      <c r="E528" s="1537"/>
      <c r="F528" s="763"/>
      <c r="G528" s="763"/>
      <c r="H528" s="763"/>
      <c r="I528" s="763"/>
      <c r="J528" s="763"/>
      <c r="K528" s="781"/>
      <c r="L528" s="781"/>
      <c r="M528" s="781"/>
      <c r="N528" s="781"/>
      <c r="O528" s="781"/>
      <c r="P528" s="781"/>
      <c r="Q528" s="781"/>
      <c r="R528" s="781"/>
      <c r="S528" s="781"/>
      <c r="T528" s="781"/>
      <c r="U528" s="781"/>
      <c r="V528" s="781"/>
      <c r="W528" s="137"/>
      <c r="X528" s="137"/>
      <c r="Y528" s="137"/>
      <c r="Z528" s="137"/>
    </row>
    <row r="529" ht="15.75" customHeight="1">
      <c r="A529" s="1385"/>
      <c r="B529" s="1385"/>
      <c r="C529" s="234"/>
      <c r="D529" s="815"/>
      <c r="E529" s="1537"/>
      <c r="F529" s="763"/>
      <c r="G529" s="763"/>
      <c r="H529" s="763"/>
      <c r="I529" s="763"/>
      <c r="J529" s="763"/>
      <c r="K529" s="781"/>
      <c r="L529" s="781"/>
      <c r="M529" s="781"/>
      <c r="N529" s="781"/>
      <c r="O529" s="781"/>
      <c r="P529" s="781"/>
      <c r="Q529" s="781"/>
      <c r="R529" s="781"/>
      <c r="S529" s="781"/>
      <c r="T529" s="781"/>
      <c r="U529" s="781"/>
      <c r="V529" s="781"/>
      <c r="W529" s="137"/>
      <c r="X529" s="137"/>
      <c r="Y529" s="137"/>
      <c r="Z529" s="137"/>
    </row>
    <row r="530" ht="15.75" customHeight="1">
      <c r="A530" s="1385"/>
      <c r="B530" s="1385"/>
      <c r="C530" s="234"/>
      <c r="D530" s="815"/>
      <c r="E530" s="1537"/>
      <c r="F530" s="763"/>
      <c r="G530" s="763"/>
      <c r="H530" s="763"/>
      <c r="I530" s="763"/>
      <c r="J530" s="763"/>
      <c r="K530" s="781"/>
      <c r="L530" s="781"/>
      <c r="M530" s="781"/>
      <c r="N530" s="781"/>
      <c r="O530" s="781"/>
      <c r="P530" s="781"/>
      <c r="Q530" s="781"/>
      <c r="R530" s="781"/>
      <c r="S530" s="781"/>
      <c r="T530" s="781"/>
      <c r="U530" s="781"/>
      <c r="V530" s="781"/>
      <c r="W530" s="137"/>
      <c r="X530" s="137"/>
      <c r="Y530" s="137"/>
      <c r="Z530" s="137"/>
    </row>
    <row r="531" ht="15.75" customHeight="1">
      <c r="A531" s="1385"/>
      <c r="B531" s="1385"/>
      <c r="C531" s="234"/>
      <c r="D531" s="815"/>
      <c r="E531" s="1537"/>
      <c r="F531" s="763"/>
      <c r="G531" s="763"/>
      <c r="H531" s="763"/>
      <c r="I531" s="763"/>
      <c r="J531" s="763"/>
      <c r="K531" s="781"/>
      <c r="L531" s="781"/>
      <c r="M531" s="781"/>
      <c r="N531" s="781"/>
      <c r="O531" s="781"/>
      <c r="P531" s="781"/>
      <c r="Q531" s="781"/>
      <c r="R531" s="781"/>
      <c r="S531" s="781"/>
      <c r="T531" s="781"/>
      <c r="U531" s="781"/>
      <c r="V531" s="781"/>
      <c r="W531" s="137"/>
      <c r="X531" s="137"/>
      <c r="Y531" s="137"/>
      <c r="Z531" s="137"/>
    </row>
    <row r="532" ht="15.75" customHeight="1">
      <c r="A532" s="1385"/>
      <c r="B532" s="1385"/>
      <c r="C532" s="234"/>
      <c r="D532" s="815"/>
      <c r="E532" s="1537"/>
      <c r="F532" s="763"/>
      <c r="G532" s="763"/>
      <c r="H532" s="763"/>
      <c r="I532" s="763"/>
      <c r="J532" s="763"/>
      <c r="K532" s="781"/>
      <c r="L532" s="781"/>
      <c r="M532" s="781"/>
      <c r="N532" s="781"/>
      <c r="O532" s="781"/>
      <c r="P532" s="781"/>
      <c r="Q532" s="781"/>
      <c r="R532" s="781"/>
      <c r="S532" s="781"/>
      <c r="T532" s="781"/>
      <c r="U532" s="781"/>
      <c r="V532" s="781"/>
      <c r="W532" s="137"/>
      <c r="X532" s="137"/>
      <c r="Y532" s="137"/>
      <c r="Z532" s="137"/>
    </row>
    <row r="533" ht="15.75" customHeight="1">
      <c r="A533" s="1385"/>
      <c r="B533" s="1385"/>
      <c r="C533" s="234"/>
      <c r="D533" s="815"/>
      <c r="E533" s="1537"/>
      <c r="F533" s="763"/>
      <c r="G533" s="763"/>
      <c r="H533" s="763"/>
      <c r="I533" s="763"/>
      <c r="J533" s="763"/>
      <c r="K533" s="781"/>
      <c r="L533" s="781"/>
      <c r="M533" s="781"/>
      <c r="N533" s="781"/>
      <c r="O533" s="781"/>
      <c r="P533" s="781"/>
      <c r="Q533" s="781"/>
      <c r="R533" s="781"/>
      <c r="S533" s="781"/>
      <c r="T533" s="781"/>
      <c r="U533" s="781"/>
      <c r="V533" s="781"/>
      <c r="W533" s="137"/>
      <c r="X533" s="137"/>
      <c r="Y533" s="137"/>
      <c r="Z533" s="137"/>
    </row>
    <row r="534" ht="15.75" customHeight="1">
      <c r="A534" s="1385"/>
      <c r="B534" s="1385"/>
      <c r="C534" s="234"/>
      <c r="D534" s="815"/>
      <c r="E534" s="1537"/>
      <c r="F534" s="763"/>
      <c r="G534" s="763"/>
      <c r="H534" s="763"/>
      <c r="I534" s="763"/>
      <c r="J534" s="763"/>
      <c r="K534" s="781"/>
      <c r="L534" s="781"/>
      <c r="M534" s="781"/>
      <c r="N534" s="781"/>
      <c r="O534" s="781"/>
      <c r="P534" s="781"/>
      <c r="Q534" s="781"/>
      <c r="R534" s="781"/>
      <c r="S534" s="781"/>
      <c r="T534" s="781"/>
      <c r="U534" s="781"/>
      <c r="V534" s="781"/>
      <c r="W534" s="137"/>
      <c r="X534" s="137"/>
      <c r="Y534" s="137"/>
      <c r="Z534" s="137"/>
    </row>
    <row r="535" ht="15.75" customHeight="1">
      <c r="A535" s="1385"/>
      <c r="B535" s="1385"/>
      <c r="C535" s="234"/>
      <c r="D535" s="815"/>
      <c r="E535" s="1537"/>
      <c r="F535" s="763"/>
      <c r="G535" s="763"/>
      <c r="H535" s="763"/>
      <c r="I535" s="763"/>
      <c r="J535" s="763"/>
      <c r="K535" s="781"/>
      <c r="L535" s="781"/>
      <c r="M535" s="781"/>
      <c r="N535" s="781"/>
      <c r="O535" s="781"/>
      <c r="P535" s="781"/>
      <c r="Q535" s="781"/>
      <c r="R535" s="781"/>
      <c r="S535" s="781"/>
      <c r="T535" s="781"/>
      <c r="U535" s="781"/>
      <c r="V535" s="781"/>
      <c r="W535" s="137"/>
      <c r="X535" s="137"/>
      <c r="Y535" s="137"/>
      <c r="Z535" s="137"/>
    </row>
    <row r="536" ht="15.75" customHeight="1">
      <c r="A536" s="1385"/>
      <c r="B536" s="1385"/>
      <c r="C536" s="234"/>
      <c r="D536" s="815"/>
      <c r="E536" s="1537"/>
      <c r="F536" s="763"/>
      <c r="G536" s="763"/>
      <c r="H536" s="763"/>
      <c r="I536" s="763"/>
      <c r="J536" s="763"/>
      <c r="K536" s="781"/>
      <c r="L536" s="781"/>
      <c r="M536" s="781"/>
      <c r="N536" s="781"/>
      <c r="O536" s="781"/>
      <c r="P536" s="781"/>
      <c r="Q536" s="781"/>
      <c r="R536" s="781"/>
      <c r="S536" s="781"/>
      <c r="T536" s="781"/>
      <c r="U536" s="781"/>
      <c r="V536" s="781"/>
      <c r="W536" s="137"/>
      <c r="X536" s="137"/>
      <c r="Y536" s="137"/>
      <c r="Z536" s="137"/>
    </row>
    <row r="537" ht="15.75" customHeight="1">
      <c r="A537" s="1385"/>
      <c r="B537" s="1385"/>
      <c r="C537" s="234"/>
      <c r="D537" s="815"/>
      <c r="E537" s="1537"/>
      <c r="F537" s="763"/>
      <c r="G537" s="763"/>
      <c r="H537" s="763"/>
      <c r="I537" s="763"/>
      <c r="J537" s="763"/>
      <c r="K537" s="781"/>
      <c r="L537" s="781"/>
      <c r="M537" s="781"/>
      <c r="N537" s="781"/>
      <c r="O537" s="781"/>
      <c r="P537" s="781"/>
      <c r="Q537" s="781"/>
      <c r="R537" s="781"/>
      <c r="S537" s="781"/>
      <c r="T537" s="781"/>
      <c r="U537" s="781"/>
      <c r="V537" s="781"/>
      <c r="W537" s="137"/>
      <c r="X537" s="137"/>
      <c r="Y537" s="137"/>
      <c r="Z537" s="137"/>
    </row>
    <row r="538" ht="15.75" customHeight="1">
      <c r="A538" s="1385"/>
      <c r="B538" s="1385"/>
      <c r="C538" s="234"/>
      <c r="D538" s="815"/>
      <c r="E538" s="1537"/>
      <c r="F538" s="763"/>
      <c r="G538" s="763"/>
      <c r="H538" s="763"/>
      <c r="I538" s="763"/>
      <c r="J538" s="763"/>
      <c r="K538" s="781"/>
      <c r="L538" s="781"/>
      <c r="M538" s="781"/>
      <c r="N538" s="781"/>
      <c r="O538" s="781"/>
      <c r="P538" s="781"/>
      <c r="Q538" s="781"/>
      <c r="R538" s="781"/>
      <c r="S538" s="781"/>
      <c r="T538" s="781"/>
      <c r="U538" s="781"/>
      <c r="V538" s="781"/>
      <c r="W538" s="137"/>
      <c r="X538" s="137"/>
      <c r="Y538" s="137"/>
      <c r="Z538" s="137"/>
    </row>
    <row r="539" ht="15.75" customHeight="1">
      <c r="A539" s="1385"/>
      <c r="B539" s="1385"/>
      <c r="C539" s="234"/>
      <c r="D539" s="815"/>
      <c r="E539" s="1537"/>
      <c r="F539" s="763"/>
      <c r="G539" s="763"/>
      <c r="H539" s="763"/>
      <c r="I539" s="763"/>
      <c r="J539" s="763"/>
      <c r="K539" s="781"/>
      <c r="L539" s="781"/>
      <c r="M539" s="781"/>
      <c r="N539" s="781"/>
      <c r="O539" s="781"/>
      <c r="P539" s="781"/>
      <c r="Q539" s="781"/>
      <c r="R539" s="781"/>
      <c r="S539" s="781"/>
      <c r="T539" s="781"/>
      <c r="U539" s="781"/>
      <c r="V539" s="781"/>
      <c r="W539" s="137"/>
      <c r="X539" s="137"/>
      <c r="Y539" s="137"/>
      <c r="Z539" s="137"/>
    </row>
    <row r="540" ht="15.75" customHeight="1">
      <c r="A540" s="1385"/>
      <c r="B540" s="1385"/>
      <c r="C540" s="234"/>
      <c r="D540" s="815"/>
      <c r="E540" s="1537"/>
      <c r="F540" s="763"/>
      <c r="G540" s="763"/>
      <c r="H540" s="763"/>
      <c r="I540" s="763"/>
      <c r="J540" s="763"/>
      <c r="K540" s="781"/>
      <c r="L540" s="781"/>
      <c r="M540" s="781"/>
      <c r="N540" s="781"/>
      <c r="O540" s="781"/>
      <c r="P540" s="781"/>
      <c r="Q540" s="781"/>
      <c r="R540" s="781"/>
      <c r="S540" s="781"/>
      <c r="T540" s="781"/>
      <c r="U540" s="781"/>
      <c r="V540" s="781"/>
      <c r="W540" s="137"/>
      <c r="X540" s="137"/>
      <c r="Y540" s="137"/>
      <c r="Z540" s="137"/>
    </row>
    <row r="541" ht="15.75" customHeight="1">
      <c r="A541" s="1385"/>
      <c r="B541" s="1385"/>
      <c r="C541" s="234"/>
      <c r="D541" s="815"/>
      <c r="E541" s="1537"/>
      <c r="F541" s="763"/>
      <c r="G541" s="763"/>
      <c r="H541" s="763"/>
      <c r="I541" s="763"/>
      <c r="J541" s="763"/>
      <c r="K541" s="781"/>
      <c r="L541" s="781"/>
      <c r="M541" s="781"/>
      <c r="N541" s="781"/>
      <c r="O541" s="781"/>
      <c r="P541" s="781"/>
      <c r="Q541" s="781"/>
      <c r="R541" s="781"/>
      <c r="S541" s="781"/>
      <c r="T541" s="781"/>
      <c r="U541" s="781"/>
      <c r="V541" s="781"/>
      <c r="W541" s="137"/>
      <c r="X541" s="137"/>
      <c r="Y541" s="137"/>
      <c r="Z541" s="137"/>
    </row>
    <row r="542" ht="15.75" customHeight="1">
      <c r="A542" s="1385"/>
      <c r="B542" s="1385"/>
      <c r="C542" s="234"/>
      <c r="D542" s="815"/>
      <c r="E542" s="1537"/>
      <c r="F542" s="763"/>
      <c r="G542" s="763"/>
      <c r="H542" s="763"/>
      <c r="I542" s="763"/>
      <c r="J542" s="763"/>
      <c r="K542" s="781"/>
      <c r="L542" s="781"/>
      <c r="M542" s="781"/>
      <c r="N542" s="781"/>
      <c r="O542" s="781"/>
      <c r="P542" s="781"/>
      <c r="Q542" s="781"/>
      <c r="R542" s="781"/>
      <c r="S542" s="781"/>
      <c r="T542" s="781"/>
      <c r="U542" s="781"/>
      <c r="V542" s="781"/>
      <c r="W542" s="137"/>
      <c r="X542" s="137"/>
      <c r="Y542" s="137"/>
      <c r="Z542" s="137"/>
    </row>
    <row r="543" ht="15.75" customHeight="1">
      <c r="A543" s="1385"/>
      <c r="B543" s="1385"/>
      <c r="C543" s="234"/>
      <c r="D543" s="815"/>
      <c r="E543" s="1537"/>
      <c r="F543" s="763"/>
      <c r="G543" s="763"/>
      <c r="H543" s="763"/>
      <c r="I543" s="763"/>
      <c r="J543" s="763"/>
      <c r="K543" s="781"/>
      <c r="L543" s="781"/>
      <c r="M543" s="781"/>
      <c r="N543" s="781"/>
      <c r="O543" s="781"/>
      <c r="P543" s="781"/>
      <c r="Q543" s="781"/>
      <c r="R543" s="781"/>
      <c r="S543" s="781"/>
      <c r="T543" s="781"/>
      <c r="U543" s="781"/>
      <c r="V543" s="781"/>
      <c r="W543" s="137"/>
      <c r="X543" s="137"/>
      <c r="Y543" s="137"/>
      <c r="Z543" s="137"/>
    </row>
    <row r="544" ht="15.75" customHeight="1">
      <c r="A544" s="1385"/>
      <c r="B544" s="1385"/>
      <c r="C544" s="234"/>
      <c r="D544" s="815"/>
      <c r="E544" s="1537"/>
      <c r="F544" s="763"/>
      <c r="G544" s="763"/>
      <c r="H544" s="763"/>
      <c r="I544" s="763"/>
      <c r="J544" s="763"/>
      <c r="K544" s="781"/>
      <c r="L544" s="781"/>
      <c r="M544" s="781"/>
      <c r="N544" s="781"/>
      <c r="O544" s="781"/>
      <c r="P544" s="781"/>
      <c r="Q544" s="781"/>
      <c r="R544" s="781"/>
      <c r="S544" s="781"/>
      <c r="T544" s="781"/>
      <c r="U544" s="781"/>
      <c r="V544" s="781"/>
      <c r="W544" s="137"/>
      <c r="X544" s="137"/>
      <c r="Y544" s="137"/>
      <c r="Z544" s="137"/>
    </row>
    <row r="545" ht="15.75" customHeight="1">
      <c r="A545" s="1385"/>
      <c r="B545" s="1385"/>
      <c r="C545" s="234"/>
      <c r="D545" s="815"/>
      <c r="E545" s="1537"/>
      <c r="F545" s="763"/>
      <c r="G545" s="763"/>
      <c r="H545" s="763"/>
      <c r="I545" s="763"/>
      <c r="J545" s="763"/>
      <c r="K545" s="781"/>
      <c r="L545" s="781"/>
      <c r="M545" s="781"/>
      <c r="N545" s="781"/>
      <c r="O545" s="781"/>
      <c r="P545" s="781"/>
      <c r="Q545" s="781"/>
      <c r="R545" s="781"/>
      <c r="S545" s="781"/>
      <c r="T545" s="781"/>
      <c r="U545" s="781"/>
      <c r="V545" s="781"/>
      <c r="W545" s="137"/>
      <c r="X545" s="137"/>
      <c r="Y545" s="137"/>
      <c r="Z545" s="137"/>
    </row>
    <row r="546" ht="15.75" customHeight="1">
      <c r="A546" s="1385"/>
      <c r="B546" s="1385"/>
      <c r="C546" s="234"/>
      <c r="D546" s="815"/>
      <c r="E546" s="1537"/>
      <c r="F546" s="763"/>
      <c r="G546" s="763"/>
      <c r="H546" s="763"/>
      <c r="I546" s="763"/>
      <c r="J546" s="763"/>
      <c r="K546" s="781"/>
      <c r="L546" s="781"/>
      <c r="M546" s="781"/>
      <c r="N546" s="781"/>
      <c r="O546" s="781"/>
      <c r="P546" s="781"/>
      <c r="Q546" s="781"/>
      <c r="R546" s="781"/>
      <c r="S546" s="781"/>
      <c r="T546" s="781"/>
      <c r="U546" s="781"/>
      <c r="V546" s="781"/>
      <c r="W546" s="137"/>
      <c r="X546" s="137"/>
      <c r="Y546" s="137"/>
      <c r="Z546" s="137"/>
    </row>
    <row r="547" ht="15.75" customHeight="1">
      <c r="A547" s="1385"/>
      <c r="B547" s="1385"/>
      <c r="C547" s="234"/>
      <c r="D547" s="815"/>
      <c r="E547" s="1537"/>
      <c r="F547" s="763"/>
      <c r="G547" s="763"/>
      <c r="H547" s="763"/>
      <c r="I547" s="763"/>
      <c r="J547" s="763"/>
      <c r="K547" s="781"/>
      <c r="L547" s="781"/>
      <c r="M547" s="781"/>
      <c r="N547" s="781"/>
      <c r="O547" s="781"/>
      <c r="P547" s="781"/>
      <c r="Q547" s="781"/>
      <c r="R547" s="781"/>
      <c r="S547" s="781"/>
      <c r="T547" s="781"/>
      <c r="U547" s="781"/>
      <c r="V547" s="781"/>
      <c r="W547" s="137"/>
      <c r="X547" s="137"/>
      <c r="Y547" s="137"/>
      <c r="Z547" s="137"/>
    </row>
    <row r="548" ht="15.75" customHeight="1">
      <c r="A548" s="1385"/>
      <c r="B548" s="1385"/>
      <c r="C548" s="234"/>
      <c r="D548" s="815"/>
      <c r="E548" s="1537"/>
      <c r="F548" s="763"/>
      <c r="G548" s="763"/>
      <c r="H548" s="763"/>
      <c r="I548" s="763"/>
      <c r="J548" s="763"/>
      <c r="K548" s="781"/>
      <c r="L548" s="781"/>
      <c r="M548" s="781"/>
      <c r="N548" s="781"/>
      <c r="O548" s="781"/>
      <c r="P548" s="781"/>
      <c r="Q548" s="781"/>
      <c r="R548" s="781"/>
      <c r="S548" s="781"/>
      <c r="T548" s="781"/>
      <c r="U548" s="781"/>
      <c r="V548" s="781"/>
      <c r="W548" s="137"/>
      <c r="X548" s="137"/>
      <c r="Y548" s="137"/>
      <c r="Z548" s="137"/>
    </row>
    <row r="549" ht="15.75" customHeight="1">
      <c r="A549" s="1385"/>
      <c r="B549" s="1385"/>
      <c r="C549" s="234"/>
      <c r="D549" s="815"/>
      <c r="E549" s="1537"/>
      <c r="F549" s="763"/>
      <c r="G549" s="763"/>
      <c r="H549" s="763"/>
      <c r="I549" s="763"/>
      <c r="J549" s="763"/>
      <c r="K549" s="781"/>
      <c r="L549" s="781"/>
      <c r="M549" s="781"/>
      <c r="N549" s="781"/>
      <c r="O549" s="781"/>
      <c r="P549" s="781"/>
      <c r="Q549" s="781"/>
      <c r="R549" s="781"/>
      <c r="S549" s="781"/>
      <c r="T549" s="781"/>
      <c r="U549" s="781"/>
      <c r="V549" s="781"/>
      <c r="W549" s="137"/>
      <c r="X549" s="137"/>
      <c r="Y549" s="137"/>
      <c r="Z549" s="137"/>
    </row>
    <row r="550" ht="15.75" customHeight="1">
      <c r="A550" s="1385"/>
      <c r="B550" s="1385"/>
      <c r="C550" s="234"/>
      <c r="D550" s="815"/>
      <c r="E550" s="1537"/>
      <c r="F550" s="763"/>
      <c r="G550" s="763"/>
      <c r="H550" s="763"/>
      <c r="I550" s="763"/>
      <c r="J550" s="763"/>
      <c r="K550" s="781"/>
      <c r="L550" s="781"/>
      <c r="M550" s="781"/>
      <c r="N550" s="781"/>
      <c r="O550" s="781"/>
      <c r="P550" s="781"/>
      <c r="Q550" s="781"/>
      <c r="R550" s="781"/>
      <c r="S550" s="781"/>
      <c r="T550" s="781"/>
      <c r="U550" s="781"/>
      <c r="V550" s="781"/>
      <c r="W550" s="137"/>
      <c r="X550" s="137"/>
      <c r="Y550" s="137"/>
      <c r="Z550" s="137"/>
    </row>
    <row r="551" ht="15.75" customHeight="1">
      <c r="A551" s="1385"/>
      <c r="B551" s="1385"/>
      <c r="C551" s="234"/>
      <c r="D551" s="815"/>
      <c r="E551" s="1537"/>
      <c r="F551" s="763"/>
      <c r="G551" s="763"/>
      <c r="H551" s="763"/>
      <c r="I551" s="763"/>
      <c r="J551" s="763"/>
      <c r="K551" s="781"/>
      <c r="L551" s="781"/>
      <c r="M551" s="781"/>
      <c r="N551" s="781"/>
      <c r="O551" s="781"/>
      <c r="P551" s="781"/>
      <c r="Q551" s="781"/>
      <c r="R551" s="781"/>
      <c r="S551" s="781"/>
      <c r="T551" s="781"/>
      <c r="U551" s="781"/>
      <c r="V551" s="781"/>
      <c r="W551" s="137"/>
      <c r="X551" s="137"/>
      <c r="Y551" s="137"/>
      <c r="Z551" s="137"/>
    </row>
    <row r="552" ht="15.75" customHeight="1">
      <c r="A552" s="1385"/>
      <c r="B552" s="1385"/>
      <c r="C552" s="234"/>
      <c r="D552" s="815"/>
      <c r="E552" s="1537"/>
      <c r="F552" s="763"/>
      <c r="G552" s="763"/>
      <c r="H552" s="763"/>
      <c r="I552" s="763"/>
      <c r="J552" s="763"/>
      <c r="K552" s="781"/>
      <c r="L552" s="781"/>
      <c r="M552" s="781"/>
      <c r="N552" s="781"/>
      <c r="O552" s="781"/>
      <c r="P552" s="781"/>
      <c r="Q552" s="781"/>
      <c r="R552" s="781"/>
      <c r="S552" s="781"/>
      <c r="T552" s="781"/>
      <c r="U552" s="781"/>
      <c r="V552" s="781"/>
      <c r="W552" s="137"/>
      <c r="X552" s="137"/>
      <c r="Y552" s="137"/>
      <c r="Z552" s="137"/>
    </row>
    <row r="553" ht="15.75" customHeight="1">
      <c r="A553" s="1385"/>
      <c r="B553" s="1385"/>
      <c r="C553" s="234"/>
      <c r="D553" s="815"/>
      <c r="E553" s="1537"/>
      <c r="F553" s="763"/>
      <c r="G553" s="763"/>
      <c r="H553" s="763"/>
      <c r="I553" s="763"/>
      <c r="J553" s="763"/>
      <c r="K553" s="781"/>
      <c r="L553" s="781"/>
      <c r="M553" s="781"/>
      <c r="N553" s="781"/>
      <c r="O553" s="781"/>
      <c r="P553" s="781"/>
      <c r="Q553" s="781"/>
      <c r="R553" s="781"/>
      <c r="S553" s="781"/>
      <c r="T553" s="781"/>
      <c r="U553" s="781"/>
      <c r="V553" s="781"/>
      <c r="W553" s="137"/>
      <c r="X553" s="137"/>
      <c r="Y553" s="137"/>
      <c r="Z553" s="137"/>
    </row>
    <row r="554" ht="15.75" customHeight="1">
      <c r="A554" s="1385"/>
      <c r="B554" s="1385"/>
      <c r="C554" s="234"/>
      <c r="D554" s="815"/>
      <c r="E554" s="1537"/>
      <c r="F554" s="763"/>
      <c r="G554" s="763"/>
      <c r="H554" s="763"/>
      <c r="I554" s="763"/>
      <c r="J554" s="763"/>
      <c r="K554" s="781"/>
      <c r="L554" s="781"/>
      <c r="M554" s="781"/>
      <c r="N554" s="781"/>
      <c r="O554" s="781"/>
      <c r="P554" s="781"/>
      <c r="Q554" s="781"/>
      <c r="R554" s="781"/>
      <c r="S554" s="781"/>
      <c r="T554" s="781"/>
      <c r="U554" s="781"/>
      <c r="V554" s="781"/>
      <c r="W554" s="137"/>
      <c r="X554" s="137"/>
      <c r="Y554" s="137"/>
      <c r="Z554" s="137"/>
    </row>
    <row r="555" ht="15.75" customHeight="1">
      <c r="A555" s="1385"/>
      <c r="B555" s="1385"/>
      <c r="C555" s="234"/>
      <c r="D555" s="815"/>
      <c r="E555" s="1537"/>
      <c r="F555" s="763"/>
      <c r="G555" s="763"/>
      <c r="H555" s="763"/>
      <c r="I555" s="763"/>
      <c r="J555" s="763"/>
      <c r="K555" s="781"/>
      <c r="L555" s="781"/>
      <c r="M555" s="781"/>
      <c r="N555" s="781"/>
      <c r="O555" s="781"/>
      <c r="P555" s="781"/>
      <c r="Q555" s="781"/>
      <c r="R555" s="781"/>
      <c r="S555" s="781"/>
      <c r="T555" s="781"/>
      <c r="U555" s="781"/>
      <c r="V555" s="781"/>
      <c r="W555" s="137"/>
      <c r="X555" s="137"/>
      <c r="Y555" s="137"/>
      <c r="Z555" s="137"/>
    </row>
    <row r="556" ht="15.75" customHeight="1">
      <c r="A556" s="1385"/>
      <c r="B556" s="1385"/>
      <c r="C556" s="234"/>
      <c r="D556" s="815"/>
      <c r="E556" s="1537"/>
      <c r="F556" s="763"/>
      <c r="G556" s="763"/>
      <c r="H556" s="763"/>
      <c r="I556" s="763"/>
      <c r="J556" s="763"/>
      <c r="K556" s="781"/>
      <c r="L556" s="781"/>
      <c r="M556" s="781"/>
      <c r="N556" s="781"/>
      <c r="O556" s="781"/>
      <c r="P556" s="781"/>
      <c r="Q556" s="781"/>
      <c r="R556" s="781"/>
      <c r="S556" s="781"/>
      <c r="T556" s="781"/>
      <c r="U556" s="781"/>
      <c r="V556" s="781"/>
      <c r="W556" s="137"/>
      <c r="X556" s="137"/>
      <c r="Y556" s="137"/>
      <c r="Z556" s="137"/>
    </row>
    <row r="557" ht="15.75" customHeight="1">
      <c r="A557" s="1385"/>
      <c r="B557" s="1385"/>
      <c r="C557" s="234"/>
      <c r="D557" s="815"/>
      <c r="E557" s="1537"/>
      <c r="F557" s="763"/>
      <c r="G557" s="763"/>
      <c r="H557" s="763"/>
      <c r="I557" s="763"/>
      <c r="J557" s="763"/>
      <c r="K557" s="781"/>
      <c r="L557" s="781"/>
      <c r="M557" s="781"/>
      <c r="N557" s="781"/>
      <c r="O557" s="781"/>
      <c r="P557" s="781"/>
      <c r="Q557" s="781"/>
      <c r="R557" s="781"/>
      <c r="S557" s="781"/>
      <c r="T557" s="781"/>
      <c r="U557" s="781"/>
      <c r="V557" s="781"/>
      <c r="W557" s="137"/>
      <c r="X557" s="137"/>
      <c r="Y557" s="137"/>
      <c r="Z557" s="137"/>
    </row>
    <row r="558" ht="15.75" customHeight="1">
      <c r="A558" s="1385"/>
      <c r="B558" s="1385"/>
      <c r="C558" s="234"/>
      <c r="D558" s="815"/>
      <c r="E558" s="1537"/>
      <c r="F558" s="763"/>
      <c r="G558" s="763"/>
      <c r="H558" s="763"/>
      <c r="I558" s="763"/>
      <c r="J558" s="763"/>
      <c r="K558" s="781"/>
      <c r="L558" s="781"/>
      <c r="M558" s="781"/>
      <c r="N558" s="781"/>
      <c r="O558" s="781"/>
      <c r="P558" s="781"/>
      <c r="Q558" s="781"/>
      <c r="R558" s="781"/>
      <c r="S558" s="781"/>
      <c r="T558" s="781"/>
      <c r="U558" s="781"/>
      <c r="V558" s="781"/>
      <c r="W558" s="137"/>
      <c r="X558" s="137"/>
      <c r="Y558" s="137"/>
      <c r="Z558" s="137"/>
    </row>
    <row r="559" ht="15.75" customHeight="1">
      <c r="A559" s="1385"/>
      <c r="B559" s="1385"/>
      <c r="C559" s="234"/>
      <c r="D559" s="815"/>
      <c r="E559" s="1537"/>
      <c r="F559" s="763"/>
      <c r="G559" s="763"/>
      <c r="H559" s="763"/>
      <c r="I559" s="763"/>
      <c r="J559" s="763"/>
      <c r="K559" s="781"/>
      <c r="L559" s="781"/>
      <c r="M559" s="781"/>
      <c r="N559" s="781"/>
      <c r="O559" s="781"/>
      <c r="P559" s="781"/>
      <c r="Q559" s="781"/>
      <c r="R559" s="781"/>
      <c r="S559" s="781"/>
      <c r="T559" s="781"/>
      <c r="U559" s="781"/>
      <c r="V559" s="781"/>
      <c r="W559" s="137"/>
      <c r="X559" s="137"/>
      <c r="Y559" s="137"/>
      <c r="Z559" s="137"/>
    </row>
    <row r="560" ht="15.75" customHeight="1">
      <c r="A560" s="1385"/>
      <c r="B560" s="1385"/>
      <c r="C560" s="234"/>
      <c r="D560" s="815"/>
      <c r="E560" s="1537"/>
      <c r="F560" s="763"/>
      <c r="G560" s="763"/>
      <c r="H560" s="763"/>
      <c r="I560" s="763"/>
      <c r="J560" s="763"/>
      <c r="K560" s="781"/>
      <c r="L560" s="781"/>
      <c r="M560" s="781"/>
      <c r="N560" s="781"/>
      <c r="O560" s="781"/>
      <c r="P560" s="781"/>
      <c r="Q560" s="781"/>
      <c r="R560" s="781"/>
      <c r="S560" s="781"/>
      <c r="T560" s="781"/>
      <c r="U560" s="781"/>
      <c r="V560" s="781"/>
      <c r="W560" s="137"/>
      <c r="X560" s="137"/>
      <c r="Y560" s="137"/>
      <c r="Z560" s="137"/>
    </row>
    <row r="561" ht="15.75" customHeight="1">
      <c r="A561" s="1385"/>
      <c r="B561" s="1385"/>
      <c r="C561" s="234"/>
      <c r="D561" s="815"/>
      <c r="E561" s="1537"/>
      <c r="F561" s="763"/>
      <c r="G561" s="763"/>
      <c r="H561" s="763"/>
      <c r="I561" s="763"/>
      <c r="J561" s="763"/>
      <c r="K561" s="781"/>
      <c r="L561" s="781"/>
      <c r="M561" s="781"/>
      <c r="N561" s="781"/>
      <c r="O561" s="781"/>
      <c r="P561" s="781"/>
      <c r="Q561" s="781"/>
      <c r="R561" s="781"/>
      <c r="S561" s="781"/>
      <c r="T561" s="781"/>
      <c r="U561" s="781"/>
      <c r="V561" s="781"/>
      <c r="W561" s="137"/>
      <c r="X561" s="137"/>
      <c r="Y561" s="137"/>
      <c r="Z561" s="137"/>
    </row>
    <row r="562" ht="15.75" customHeight="1">
      <c r="A562" s="1385"/>
      <c r="B562" s="1385"/>
      <c r="C562" s="234"/>
      <c r="D562" s="815"/>
      <c r="E562" s="1537"/>
      <c r="F562" s="763"/>
      <c r="G562" s="763"/>
      <c r="H562" s="763"/>
      <c r="I562" s="763"/>
      <c r="J562" s="763"/>
      <c r="K562" s="781"/>
      <c r="L562" s="781"/>
      <c r="M562" s="781"/>
      <c r="N562" s="781"/>
      <c r="O562" s="781"/>
      <c r="P562" s="781"/>
      <c r="Q562" s="781"/>
      <c r="R562" s="781"/>
      <c r="S562" s="781"/>
      <c r="T562" s="781"/>
      <c r="U562" s="781"/>
      <c r="V562" s="781"/>
      <c r="W562" s="137"/>
      <c r="X562" s="137"/>
      <c r="Y562" s="137"/>
      <c r="Z562" s="137"/>
    </row>
    <row r="563" ht="15.75" customHeight="1">
      <c r="A563" s="1385"/>
      <c r="B563" s="1385"/>
      <c r="C563" s="234"/>
      <c r="D563" s="815"/>
      <c r="E563" s="1537"/>
      <c r="F563" s="763"/>
      <c r="G563" s="763"/>
      <c r="H563" s="763"/>
      <c r="I563" s="763"/>
      <c r="J563" s="763"/>
      <c r="K563" s="781"/>
      <c r="L563" s="781"/>
      <c r="M563" s="781"/>
      <c r="N563" s="781"/>
      <c r="O563" s="781"/>
      <c r="P563" s="781"/>
      <c r="Q563" s="781"/>
      <c r="R563" s="781"/>
      <c r="S563" s="781"/>
      <c r="T563" s="781"/>
      <c r="U563" s="781"/>
      <c r="V563" s="781"/>
      <c r="W563" s="137"/>
      <c r="X563" s="137"/>
      <c r="Y563" s="137"/>
      <c r="Z563" s="137"/>
    </row>
    <row r="564" ht="15.75" customHeight="1">
      <c r="A564" s="1385"/>
      <c r="B564" s="1385"/>
      <c r="C564" s="234"/>
      <c r="D564" s="815"/>
      <c r="E564" s="1537"/>
      <c r="F564" s="763"/>
      <c r="G564" s="763"/>
      <c r="H564" s="763"/>
      <c r="I564" s="763"/>
      <c r="J564" s="763"/>
      <c r="K564" s="781"/>
      <c r="L564" s="781"/>
      <c r="M564" s="781"/>
      <c r="N564" s="781"/>
      <c r="O564" s="781"/>
      <c r="P564" s="781"/>
      <c r="Q564" s="781"/>
      <c r="R564" s="781"/>
      <c r="S564" s="781"/>
      <c r="T564" s="781"/>
      <c r="U564" s="781"/>
      <c r="V564" s="781"/>
      <c r="W564" s="137"/>
      <c r="X564" s="137"/>
      <c r="Y564" s="137"/>
      <c r="Z564" s="137"/>
    </row>
    <row r="565" ht="15.75" customHeight="1">
      <c r="A565" s="1385"/>
      <c r="B565" s="1385"/>
      <c r="C565" s="234"/>
      <c r="D565" s="815"/>
      <c r="E565" s="1537"/>
      <c r="F565" s="763"/>
      <c r="G565" s="763"/>
      <c r="H565" s="763"/>
      <c r="I565" s="763"/>
      <c r="J565" s="763"/>
      <c r="K565" s="781"/>
      <c r="L565" s="781"/>
      <c r="M565" s="781"/>
      <c r="N565" s="781"/>
      <c r="O565" s="781"/>
      <c r="P565" s="781"/>
      <c r="Q565" s="781"/>
      <c r="R565" s="781"/>
      <c r="S565" s="781"/>
      <c r="T565" s="781"/>
      <c r="U565" s="781"/>
      <c r="V565" s="781"/>
      <c r="W565" s="137"/>
      <c r="X565" s="137"/>
      <c r="Y565" s="137"/>
      <c r="Z565" s="137"/>
    </row>
    <row r="566" ht="15.75" customHeight="1">
      <c r="A566" s="1385"/>
      <c r="B566" s="1385"/>
      <c r="C566" s="234"/>
      <c r="D566" s="815"/>
      <c r="E566" s="1537"/>
      <c r="F566" s="763"/>
      <c r="G566" s="763"/>
      <c r="H566" s="763"/>
      <c r="I566" s="763"/>
      <c r="J566" s="763"/>
      <c r="K566" s="781"/>
      <c r="L566" s="781"/>
      <c r="M566" s="781"/>
      <c r="N566" s="781"/>
      <c r="O566" s="781"/>
      <c r="P566" s="781"/>
      <c r="Q566" s="781"/>
      <c r="R566" s="781"/>
      <c r="S566" s="781"/>
      <c r="T566" s="781"/>
      <c r="U566" s="781"/>
      <c r="V566" s="781"/>
      <c r="W566" s="137"/>
      <c r="X566" s="137"/>
      <c r="Y566" s="137"/>
      <c r="Z566" s="137"/>
    </row>
    <row r="567" ht="15.75" customHeight="1">
      <c r="A567" s="1385"/>
      <c r="B567" s="1385"/>
      <c r="C567" s="234"/>
      <c r="D567" s="815"/>
      <c r="E567" s="1537"/>
      <c r="F567" s="763"/>
      <c r="G567" s="763"/>
      <c r="H567" s="763"/>
      <c r="I567" s="763"/>
      <c r="J567" s="763"/>
      <c r="K567" s="781"/>
      <c r="L567" s="781"/>
      <c r="M567" s="781"/>
      <c r="N567" s="781"/>
      <c r="O567" s="781"/>
      <c r="P567" s="781"/>
      <c r="Q567" s="781"/>
      <c r="R567" s="781"/>
      <c r="S567" s="781"/>
      <c r="T567" s="781"/>
      <c r="U567" s="781"/>
      <c r="V567" s="781"/>
      <c r="W567" s="137"/>
      <c r="X567" s="137"/>
      <c r="Y567" s="137"/>
      <c r="Z567" s="137"/>
    </row>
    <row r="568" ht="15.75" customHeight="1">
      <c r="A568" s="1385"/>
      <c r="B568" s="1385"/>
      <c r="C568" s="234"/>
      <c r="D568" s="815"/>
      <c r="E568" s="1537"/>
      <c r="F568" s="763"/>
      <c r="G568" s="763"/>
      <c r="H568" s="763"/>
      <c r="I568" s="763"/>
      <c r="J568" s="763"/>
      <c r="K568" s="781"/>
      <c r="L568" s="781"/>
      <c r="M568" s="781"/>
      <c r="N568" s="781"/>
      <c r="O568" s="781"/>
      <c r="P568" s="781"/>
      <c r="Q568" s="781"/>
      <c r="R568" s="781"/>
      <c r="S568" s="781"/>
      <c r="T568" s="781"/>
      <c r="U568" s="781"/>
      <c r="V568" s="781"/>
      <c r="W568" s="137"/>
      <c r="X568" s="137"/>
      <c r="Y568" s="137"/>
      <c r="Z568" s="137"/>
    </row>
    <row r="569" ht="15.75" customHeight="1">
      <c r="A569" s="1385"/>
      <c r="B569" s="1385"/>
      <c r="C569" s="234"/>
      <c r="D569" s="815"/>
      <c r="E569" s="1537"/>
      <c r="F569" s="763"/>
      <c r="G569" s="763"/>
      <c r="H569" s="763"/>
      <c r="I569" s="763"/>
      <c r="J569" s="763"/>
      <c r="K569" s="781"/>
      <c r="L569" s="781"/>
      <c r="M569" s="781"/>
      <c r="N569" s="781"/>
      <c r="O569" s="781"/>
      <c r="P569" s="781"/>
      <c r="Q569" s="781"/>
      <c r="R569" s="781"/>
      <c r="S569" s="781"/>
      <c r="T569" s="781"/>
      <c r="U569" s="781"/>
      <c r="V569" s="781"/>
      <c r="W569" s="137"/>
      <c r="X569" s="137"/>
      <c r="Y569" s="137"/>
      <c r="Z569" s="137"/>
    </row>
    <row r="570" ht="15.75" customHeight="1">
      <c r="A570" s="1385"/>
      <c r="B570" s="1385"/>
      <c r="C570" s="234"/>
      <c r="D570" s="815"/>
      <c r="E570" s="1537"/>
      <c r="F570" s="763"/>
      <c r="G570" s="763"/>
      <c r="H570" s="763"/>
      <c r="I570" s="763"/>
      <c r="J570" s="763"/>
      <c r="K570" s="781"/>
      <c r="L570" s="781"/>
      <c r="M570" s="781"/>
      <c r="N570" s="781"/>
      <c r="O570" s="781"/>
      <c r="P570" s="781"/>
      <c r="Q570" s="781"/>
      <c r="R570" s="781"/>
      <c r="S570" s="781"/>
      <c r="T570" s="781"/>
      <c r="U570" s="781"/>
      <c r="V570" s="781"/>
      <c r="W570" s="137"/>
      <c r="X570" s="137"/>
      <c r="Y570" s="137"/>
      <c r="Z570" s="137"/>
    </row>
    <row r="571" ht="15.75" customHeight="1">
      <c r="A571" s="1385"/>
      <c r="B571" s="1385"/>
      <c r="C571" s="234"/>
      <c r="D571" s="815"/>
      <c r="E571" s="1537"/>
      <c r="F571" s="763"/>
      <c r="G571" s="763"/>
      <c r="H571" s="763"/>
      <c r="I571" s="763"/>
      <c r="J571" s="763"/>
      <c r="K571" s="781"/>
      <c r="L571" s="781"/>
      <c r="M571" s="781"/>
      <c r="N571" s="781"/>
      <c r="O571" s="781"/>
      <c r="P571" s="781"/>
      <c r="Q571" s="781"/>
      <c r="R571" s="781"/>
      <c r="S571" s="781"/>
      <c r="T571" s="781"/>
      <c r="U571" s="781"/>
      <c r="V571" s="781"/>
      <c r="W571" s="137"/>
      <c r="X571" s="137"/>
      <c r="Y571" s="137"/>
      <c r="Z571" s="137"/>
    </row>
    <row r="572" ht="15.75" customHeight="1">
      <c r="A572" s="1385"/>
      <c r="B572" s="1385"/>
      <c r="C572" s="234"/>
      <c r="D572" s="815"/>
      <c r="E572" s="1537"/>
      <c r="F572" s="763"/>
      <c r="G572" s="763"/>
      <c r="H572" s="763"/>
      <c r="I572" s="763"/>
      <c r="J572" s="763"/>
      <c r="K572" s="781"/>
      <c r="L572" s="781"/>
      <c r="M572" s="781"/>
      <c r="N572" s="781"/>
      <c r="O572" s="781"/>
      <c r="P572" s="781"/>
      <c r="Q572" s="781"/>
      <c r="R572" s="781"/>
      <c r="S572" s="781"/>
      <c r="T572" s="781"/>
      <c r="U572" s="781"/>
      <c r="V572" s="781"/>
      <c r="W572" s="137"/>
      <c r="X572" s="137"/>
      <c r="Y572" s="137"/>
      <c r="Z572" s="137"/>
    </row>
    <row r="573" ht="15.75" customHeight="1">
      <c r="A573" s="1385"/>
      <c r="B573" s="1385"/>
      <c r="C573" s="234"/>
      <c r="D573" s="815"/>
      <c r="E573" s="1537"/>
      <c r="F573" s="763"/>
      <c r="G573" s="763"/>
      <c r="H573" s="763"/>
      <c r="I573" s="763"/>
      <c r="J573" s="763"/>
      <c r="K573" s="781"/>
      <c r="L573" s="781"/>
      <c r="M573" s="781"/>
      <c r="N573" s="781"/>
      <c r="O573" s="781"/>
      <c r="P573" s="781"/>
      <c r="Q573" s="781"/>
      <c r="R573" s="781"/>
      <c r="S573" s="781"/>
      <c r="T573" s="781"/>
      <c r="U573" s="781"/>
      <c r="V573" s="781"/>
      <c r="W573" s="137"/>
      <c r="X573" s="137"/>
      <c r="Y573" s="137"/>
      <c r="Z573" s="137"/>
    </row>
    <row r="574" ht="15.75" customHeight="1">
      <c r="A574" s="1385"/>
      <c r="B574" s="1385"/>
      <c r="C574" s="234"/>
      <c r="D574" s="815"/>
      <c r="E574" s="1537"/>
      <c r="F574" s="763"/>
      <c r="G574" s="763"/>
      <c r="H574" s="763"/>
      <c r="I574" s="763"/>
      <c r="J574" s="763"/>
      <c r="K574" s="781"/>
      <c r="L574" s="781"/>
      <c r="M574" s="781"/>
      <c r="N574" s="781"/>
      <c r="O574" s="781"/>
      <c r="P574" s="781"/>
      <c r="Q574" s="781"/>
      <c r="R574" s="781"/>
      <c r="S574" s="781"/>
      <c r="T574" s="781"/>
      <c r="U574" s="781"/>
      <c r="V574" s="781"/>
      <c r="W574" s="137"/>
      <c r="X574" s="137"/>
      <c r="Y574" s="137"/>
      <c r="Z574" s="137"/>
    </row>
    <row r="575" ht="15.75" customHeight="1">
      <c r="A575" s="1385"/>
      <c r="B575" s="1385"/>
      <c r="C575" s="234"/>
      <c r="D575" s="815"/>
      <c r="E575" s="1537"/>
      <c r="F575" s="763"/>
      <c r="G575" s="763"/>
      <c r="H575" s="763"/>
      <c r="I575" s="763"/>
      <c r="J575" s="763"/>
      <c r="K575" s="781"/>
      <c r="L575" s="781"/>
      <c r="M575" s="781"/>
      <c r="N575" s="781"/>
      <c r="O575" s="781"/>
      <c r="P575" s="781"/>
      <c r="Q575" s="781"/>
      <c r="R575" s="781"/>
      <c r="S575" s="781"/>
      <c r="T575" s="781"/>
      <c r="U575" s="781"/>
      <c r="V575" s="781"/>
      <c r="W575" s="137"/>
      <c r="X575" s="137"/>
      <c r="Y575" s="137"/>
      <c r="Z575" s="137"/>
    </row>
    <row r="576" ht="15.75" customHeight="1">
      <c r="A576" s="1385"/>
      <c r="B576" s="1385"/>
      <c r="C576" s="234"/>
      <c r="D576" s="815"/>
      <c r="E576" s="1537"/>
      <c r="F576" s="763"/>
      <c r="G576" s="763"/>
      <c r="H576" s="763"/>
      <c r="I576" s="763"/>
      <c r="J576" s="763"/>
      <c r="K576" s="781"/>
      <c r="L576" s="781"/>
      <c r="M576" s="781"/>
      <c r="N576" s="781"/>
      <c r="O576" s="781"/>
      <c r="P576" s="781"/>
      <c r="Q576" s="781"/>
      <c r="R576" s="781"/>
      <c r="S576" s="781"/>
      <c r="T576" s="781"/>
      <c r="U576" s="781"/>
      <c r="V576" s="781"/>
      <c r="W576" s="137"/>
      <c r="X576" s="137"/>
      <c r="Y576" s="137"/>
      <c r="Z576" s="137"/>
    </row>
    <row r="577" ht="15.75" customHeight="1">
      <c r="A577" s="1385"/>
      <c r="B577" s="1385"/>
      <c r="C577" s="234"/>
      <c r="D577" s="815"/>
      <c r="E577" s="1537"/>
      <c r="F577" s="763"/>
      <c r="G577" s="763"/>
      <c r="H577" s="763"/>
      <c r="I577" s="763"/>
      <c r="J577" s="763"/>
      <c r="K577" s="781"/>
      <c r="L577" s="781"/>
      <c r="M577" s="781"/>
      <c r="N577" s="781"/>
      <c r="O577" s="781"/>
      <c r="P577" s="781"/>
      <c r="Q577" s="781"/>
      <c r="R577" s="781"/>
      <c r="S577" s="781"/>
      <c r="T577" s="781"/>
      <c r="U577" s="781"/>
      <c r="V577" s="781"/>
      <c r="W577" s="137"/>
      <c r="X577" s="137"/>
      <c r="Y577" s="137"/>
      <c r="Z577" s="137"/>
    </row>
    <row r="578" ht="15.75" customHeight="1">
      <c r="A578" s="1385"/>
      <c r="B578" s="1385"/>
      <c r="C578" s="234"/>
      <c r="D578" s="815"/>
      <c r="E578" s="1537"/>
      <c r="F578" s="763"/>
      <c r="G578" s="763"/>
      <c r="H578" s="763"/>
      <c r="I578" s="763"/>
      <c r="J578" s="763"/>
      <c r="K578" s="781"/>
      <c r="L578" s="781"/>
      <c r="M578" s="781"/>
      <c r="N578" s="781"/>
      <c r="O578" s="781"/>
      <c r="P578" s="781"/>
      <c r="Q578" s="781"/>
      <c r="R578" s="781"/>
      <c r="S578" s="781"/>
      <c r="T578" s="781"/>
      <c r="U578" s="781"/>
      <c r="V578" s="781"/>
      <c r="W578" s="137"/>
      <c r="X578" s="137"/>
      <c r="Y578" s="137"/>
      <c r="Z578" s="137"/>
    </row>
    <row r="579" ht="15.75" customHeight="1">
      <c r="A579" s="1385"/>
      <c r="B579" s="1385"/>
      <c r="C579" s="234"/>
      <c r="D579" s="815"/>
      <c r="E579" s="1537"/>
      <c r="F579" s="763"/>
      <c r="G579" s="763"/>
      <c r="H579" s="763"/>
      <c r="I579" s="763"/>
      <c r="J579" s="763"/>
      <c r="K579" s="781"/>
      <c r="L579" s="781"/>
      <c r="M579" s="781"/>
      <c r="N579" s="781"/>
      <c r="O579" s="781"/>
      <c r="P579" s="781"/>
      <c r="Q579" s="781"/>
      <c r="R579" s="781"/>
      <c r="S579" s="781"/>
      <c r="T579" s="781"/>
      <c r="U579" s="781"/>
      <c r="V579" s="781"/>
      <c r="W579" s="137"/>
      <c r="X579" s="137"/>
      <c r="Y579" s="137"/>
      <c r="Z579" s="137"/>
    </row>
    <row r="580" ht="15.75" customHeight="1">
      <c r="A580" s="1385"/>
      <c r="B580" s="1385"/>
      <c r="C580" s="234"/>
      <c r="D580" s="815"/>
      <c r="E580" s="1537"/>
      <c r="F580" s="763"/>
      <c r="G580" s="763"/>
      <c r="H580" s="763"/>
      <c r="I580" s="763"/>
      <c r="J580" s="763"/>
      <c r="K580" s="781"/>
      <c r="L580" s="781"/>
      <c r="M580" s="781"/>
      <c r="N580" s="781"/>
      <c r="O580" s="781"/>
      <c r="P580" s="781"/>
      <c r="Q580" s="781"/>
      <c r="R580" s="781"/>
      <c r="S580" s="781"/>
      <c r="T580" s="781"/>
      <c r="U580" s="781"/>
      <c r="V580" s="781"/>
      <c r="W580" s="137"/>
      <c r="X580" s="137"/>
      <c r="Y580" s="137"/>
      <c r="Z580" s="137"/>
    </row>
    <row r="581" ht="15.75" customHeight="1">
      <c r="A581" s="1385"/>
      <c r="B581" s="1385"/>
      <c r="C581" s="234"/>
      <c r="D581" s="815"/>
      <c r="E581" s="1537"/>
      <c r="F581" s="763"/>
      <c r="G581" s="763"/>
      <c r="H581" s="763"/>
      <c r="I581" s="763"/>
      <c r="J581" s="763"/>
      <c r="K581" s="781"/>
      <c r="L581" s="781"/>
      <c r="M581" s="781"/>
      <c r="N581" s="781"/>
      <c r="O581" s="781"/>
      <c r="P581" s="781"/>
      <c r="Q581" s="781"/>
      <c r="R581" s="781"/>
      <c r="S581" s="781"/>
      <c r="T581" s="781"/>
      <c r="U581" s="781"/>
      <c r="V581" s="781"/>
      <c r="W581" s="137"/>
      <c r="X581" s="137"/>
      <c r="Y581" s="137"/>
      <c r="Z581" s="137"/>
    </row>
    <row r="582" ht="15.75" customHeight="1">
      <c r="A582" s="1385"/>
      <c r="B582" s="1385"/>
      <c r="C582" s="234"/>
      <c r="D582" s="815"/>
      <c r="E582" s="1537"/>
      <c r="F582" s="763"/>
      <c r="G582" s="763"/>
      <c r="H582" s="763"/>
      <c r="I582" s="763"/>
      <c r="J582" s="763"/>
      <c r="K582" s="781"/>
      <c r="L582" s="781"/>
      <c r="M582" s="781"/>
      <c r="N582" s="781"/>
      <c r="O582" s="781"/>
      <c r="P582" s="781"/>
      <c r="Q582" s="781"/>
      <c r="R582" s="781"/>
      <c r="S582" s="781"/>
      <c r="T582" s="781"/>
      <c r="U582" s="781"/>
      <c r="V582" s="781"/>
      <c r="W582" s="137"/>
      <c r="X582" s="137"/>
      <c r="Y582" s="137"/>
      <c r="Z582" s="137"/>
    </row>
    <row r="583" ht="15.75" customHeight="1">
      <c r="A583" s="1385"/>
      <c r="B583" s="1385"/>
      <c r="C583" s="234"/>
      <c r="D583" s="815"/>
      <c r="E583" s="1537"/>
      <c r="F583" s="763"/>
      <c r="G583" s="763"/>
      <c r="H583" s="763"/>
      <c r="I583" s="763"/>
      <c r="J583" s="763"/>
      <c r="K583" s="781"/>
      <c r="L583" s="781"/>
      <c r="M583" s="781"/>
      <c r="N583" s="781"/>
      <c r="O583" s="781"/>
      <c r="P583" s="781"/>
      <c r="Q583" s="781"/>
      <c r="R583" s="781"/>
      <c r="S583" s="781"/>
      <c r="T583" s="781"/>
      <c r="U583" s="781"/>
      <c r="V583" s="781"/>
      <c r="W583" s="137"/>
      <c r="X583" s="137"/>
      <c r="Y583" s="137"/>
      <c r="Z583" s="137"/>
    </row>
    <row r="584" ht="15.75" customHeight="1">
      <c r="A584" s="1385"/>
      <c r="B584" s="1385"/>
      <c r="C584" s="234"/>
      <c r="D584" s="815"/>
      <c r="E584" s="1537"/>
      <c r="F584" s="763"/>
      <c r="G584" s="763"/>
      <c r="H584" s="763"/>
      <c r="I584" s="763"/>
      <c r="J584" s="763"/>
      <c r="K584" s="781"/>
      <c r="L584" s="781"/>
      <c r="M584" s="781"/>
      <c r="N584" s="781"/>
      <c r="O584" s="781"/>
      <c r="P584" s="781"/>
      <c r="Q584" s="781"/>
      <c r="R584" s="781"/>
      <c r="S584" s="781"/>
      <c r="T584" s="781"/>
      <c r="U584" s="781"/>
      <c r="V584" s="781"/>
      <c r="W584" s="137"/>
      <c r="X584" s="137"/>
      <c r="Y584" s="137"/>
      <c r="Z584" s="137"/>
    </row>
    <row r="585" ht="15.75" customHeight="1">
      <c r="A585" s="1385"/>
      <c r="B585" s="1385"/>
      <c r="C585" s="234"/>
      <c r="D585" s="815"/>
      <c r="E585" s="1537"/>
      <c r="F585" s="763"/>
      <c r="G585" s="763"/>
      <c r="H585" s="763"/>
      <c r="I585" s="763"/>
      <c r="J585" s="763"/>
      <c r="K585" s="781"/>
      <c r="L585" s="781"/>
      <c r="M585" s="781"/>
      <c r="N585" s="781"/>
      <c r="O585" s="781"/>
      <c r="P585" s="781"/>
      <c r="Q585" s="781"/>
      <c r="R585" s="781"/>
      <c r="S585" s="781"/>
      <c r="T585" s="781"/>
      <c r="U585" s="781"/>
      <c r="V585" s="781"/>
      <c r="W585" s="137"/>
      <c r="X585" s="137"/>
      <c r="Y585" s="137"/>
      <c r="Z585" s="137"/>
    </row>
    <row r="586" ht="15.75" customHeight="1">
      <c r="A586" s="1385"/>
      <c r="B586" s="1385"/>
      <c r="C586" s="234"/>
      <c r="D586" s="815"/>
      <c r="E586" s="1537"/>
      <c r="F586" s="763"/>
      <c r="G586" s="763"/>
      <c r="H586" s="763"/>
      <c r="I586" s="763"/>
      <c r="J586" s="763"/>
      <c r="K586" s="781"/>
      <c r="L586" s="781"/>
      <c r="M586" s="781"/>
      <c r="N586" s="781"/>
      <c r="O586" s="781"/>
      <c r="P586" s="781"/>
      <c r="Q586" s="781"/>
      <c r="R586" s="781"/>
      <c r="S586" s="781"/>
      <c r="T586" s="781"/>
      <c r="U586" s="781"/>
      <c r="V586" s="781"/>
      <c r="W586" s="137"/>
      <c r="X586" s="137"/>
      <c r="Y586" s="137"/>
      <c r="Z586" s="137"/>
    </row>
    <row r="587" ht="15.75" customHeight="1">
      <c r="A587" s="1385"/>
      <c r="B587" s="1385"/>
      <c r="C587" s="234"/>
      <c r="D587" s="815"/>
      <c r="E587" s="1537"/>
      <c r="F587" s="763"/>
      <c r="G587" s="763"/>
      <c r="H587" s="763"/>
      <c r="I587" s="763"/>
      <c r="J587" s="763"/>
      <c r="K587" s="781"/>
      <c r="L587" s="781"/>
      <c r="M587" s="781"/>
      <c r="N587" s="781"/>
      <c r="O587" s="781"/>
      <c r="P587" s="781"/>
      <c r="Q587" s="781"/>
      <c r="R587" s="781"/>
      <c r="S587" s="781"/>
      <c r="T587" s="781"/>
      <c r="U587" s="781"/>
      <c r="V587" s="781"/>
      <c r="W587" s="137"/>
      <c r="X587" s="137"/>
      <c r="Y587" s="137"/>
      <c r="Z587" s="137"/>
    </row>
    <row r="588" ht="15.75" customHeight="1">
      <c r="A588" s="1385"/>
      <c r="B588" s="1385"/>
      <c r="C588" s="234"/>
      <c r="D588" s="815"/>
      <c r="E588" s="1537"/>
      <c r="F588" s="763"/>
      <c r="G588" s="763"/>
      <c r="H588" s="763"/>
      <c r="I588" s="763"/>
      <c r="J588" s="763"/>
      <c r="K588" s="781"/>
      <c r="L588" s="781"/>
      <c r="M588" s="781"/>
      <c r="N588" s="781"/>
      <c r="O588" s="781"/>
      <c r="P588" s="781"/>
      <c r="Q588" s="781"/>
      <c r="R588" s="781"/>
      <c r="S588" s="781"/>
      <c r="T588" s="781"/>
      <c r="U588" s="781"/>
      <c r="V588" s="781"/>
      <c r="W588" s="137"/>
      <c r="X588" s="137"/>
      <c r="Y588" s="137"/>
      <c r="Z588" s="137"/>
    </row>
    <row r="589" ht="15.75" customHeight="1">
      <c r="A589" s="1385"/>
      <c r="B589" s="1385"/>
      <c r="C589" s="234"/>
      <c r="D589" s="815"/>
      <c r="E589" s="1537"/>
      <c r="F589" s="763"/>
      <c r="G589" s="763"/>
      <c r="H589" s="763"/>
      <c r="I589" s="763"/>
      <c r="J589" s="763"/>
      <c r="K589" s="781"/>
      <c r="L589" s="781"/>
      <c r="M589" s="781"/>
      <c r="N589" s="781"/>
      <c r="O589" s="781"/>
      <c r="P589" s="781"/>
      <c r="Q589" s="781"/>
      <c r="R589" s="781"/>
      <c r="S589" s="781"/>
      <c r="T589" s="781"/>
      <c r="U589" s="781"/>
      <c r="V589" s="781"/>
      <c r="W589" s="137"/>
      <c r="X589" s="137"/>
      <c r="Y589" s="137"/>
      <c r="Z589" s="137"/>
    </row>
    <row r="590" ht="15.75" customHeight="1">
      <c r="A590" s="1385"/>
      <c r="B590" s="1385"/>
      <c r="C590" s="234"/>
      <c r="D590" s="815"/>
      <c r="E590" s="1537"/>
      <c r="F590" s="763"/>
      <c r="G590" s="763"/>
      <c r="H590" s="763"/>
      <c r="I590" s="763"/>
      <c r="J590" s="763"/>
      <c r="K590" s="781"/>
      <c r="L590" s="781"/>
      <c r="M590" s="781"/>
      <c r="N590" s="781"/>
      <c r="O590" s="781"/>
      <c r="P590" s="781"/>
      <c r="Q590" s="781"/>
      <c r="R590" s="781"/>
      <c r="S590" s="781"/>
      <c r="T590" s="781"/>
      <c r="U590" s="781"/>
      <c r="V590" s="781"/>
      <c r="W590" s="137"/>
      <c r="X590" s="137"/>
      <c r="Y590" s="137"/>
      <c r="Z590" s="137"/>
    </row>
    <row r="591" ht="15.75" customHeight="1">
      <c r="A591" s="1385"/>
      <c r="B591" s="1385"/>
      <c r="C591" s="234"/>
      <c r="D591" s="815"/>
      <c r="E591" s="1537"/>
      <c r="F591" s="763"/>
      <c r="G591" s="763"/>
      <c r="H591" s="763"/>
      <c r="I591" s="763"/>
      <c r="J591" s="763"/>
      <c r="K591" s="781"/>
      <c r="L591" s="781"/>
      <c r="M591" s="781"/>
      <c r="N591" s="781"/>
      <c r="O591" s="781"/>
      <c r="P591" s="781"/>
      <c r="Q591" s="781"/>
      <c r="R591" s="781"/>
      <c r="S591" s="781"/>
      <c r="T591" s="781"/>
      <c r="U591" s="781"/>
      <c r="V591" s="781"/>
      <c r="W591" s="137"/>
      <c r="X591" s="137"/>
      <c r="Y591" s="137"/>
      <c r="Z591" s="137"/>
    </row>
    <row r="592" ht="15.75" customHeight="1">
      <c r="A592" s="1385"/>
      <c r="B592" s="1385"/>
      <c r="C592" s="234"/>
      <c r="D592" s="815"/>
      <c r="E592" s="1537"/>
      <c r="F592" s="763"/>
      <c r="G592" s="763"/>
      <c r="H592" s="763"/>
      <c r="I592" s="763"/>
      <c r="J592" s="763"/>
      <c r="K592" s="781"/>
      <c r="L592" s="781"/>
      <c r="M592" s="781"/>
      <c r="N592" s="781"/>
      <c r="O592" s="781"/>
      <c r="P592" s="781"/>
      <c r="Q592" s="781"/>
      <c r="R592" s="781"/>
      <c r="S592" s="781"/>
      <c r="T592" s="781"/>
      <c r="U592" s="781"/>
      <c r="V592" s="781"/>
      <c r="W592" s="137"/>
      <c r="X592" s="137"/>
      <c r="Y592" s="137"/>
      <c r="Z592" s="137"/>
    </row>
    <row r="593" ht="15.75" customHeight="1">
      <c r="A593" s="1385"/>
      <c r="B593" s="1385"/>
      <c r="C593" s="234"/>
      <c r="D593" s="815"/>
      <c r="E593" s="1537"/>
      <c r="F593" s="763"/>
      <c r="G593" s="763"/>
      <c r="H593" s="763"/>
      <c r="I593" s="763"/>
      <c r="J593" s="763"/>
      <c r="K593" s="781"/>
      <c r="L593" s="781"/>
      <c r="M593" s="781"/>
      <c r="N593" s="781"/>
      <c r="O593" s="781"/>
      <c r="P593" s="781"/>
      <c r="Q593" s="781"/>
      <c r="R593" s="781"/>
      <c r="S593" s="781"/>
      <c r="T593" s="781"/>
      <c r="U593" s="781"/>
      <c r="V593" s="781"/>
      <c r="W593" s="137"/>
      <c r="X593" s="137"/>
      <c r="Y593" s="137"/>
      <c r="Z593" s="137"/>
    </row>
    <row r="594" ht="15.75" customHeight="1">
      <c r="A594" s="1385"/>
      <c r="B594" s="1385"/>
      <c r="C594" s="234"/>
      <c r="D594" s="815"/>
      <c r="E594" s="1537"/>
      <c r="F594" s="763"/>
      <c r="G594" s="763"/>
      <c r="H594" s="763"/>
      <c r="I594" s="763"/>
      <c r="J594" s="763"/>
      <c r="K594" s="781"/>
      <c r="L594" s="781"/>
      <c r="M594" s="781"/>
      <c r="N594" s="781"/>
      <c r="O594" s="781"/>
      <c r="P594" s="781"/>
      <c r="Q594" s="781"/>
      <c r="R594" s="781"/>
      <c r="S594" s="781"/>
      <c r="T594" s="781"/>
      <c r="U594" s="781"/>
      <c r="V594" s="781"/>
      <c r="W594" s="137"/>
      <c r="X594" s="137"/>
      <c r="Y594" s="137"/>
      <c r="Z594" s="137"/>
    </row>
    <row r="595" ht="15.75" customHeight="1">
      <c r="A595" s="1385"/>
      <c r="B595" s="1385"/>
      <c r="C595" s="234"/>
      <c r="D595" s="815"/>
      <c r="E595" s="1537"/>
      <c r="F595" s="763"/>
      <c r="G595" s="763"/>
      <c r="H595" s="763"/>
      <c r="I595" s="763"/>
      <c r="J595" s="763"/>
      <c r="K595" s="781"/>
      <c r="L595" s="781"/>
      <c r="M595" s="781"/>
      <c r="N595" s="781"/>
      <c r="O595" s="781"/>
      <c r="P595" s="781"/>
      <c r="Q595" s="781"/>
      <c r="R595" s="781"/>
      <c r="S595" s="781"/>
      <c r="T595" s="781"/>
      <c r="U595" s="781"/>
      <c r="V595" s="781"/>
      <c r="W595" s="137"/>
      <c r="X595" s="137"/>
      <c r="Y595" s="137"/>
      <c r="Z595" s="137"/>
    </row>
    <row r="596" ht="15.75" customHeight="1">
      <c r="A596" s="1385"/>
      <c r="B596" s="1385"/>
      <c r="C596" s="234"/>
      <c r="D596" s="815"/>
      <c r="E596" s="1537"/>
      <c r="F596" s="763"/>
      <c r="G596" s="763"/>
      <c r="H596" s="763"/>
      <c r="I596" s="763"/>
      <c r="J596" s="763"/>
      <c r="K596" s="781"/>
      <c r="L596" s="781"/>
      <c r="M596" s="781"/>
      <c r="N596" s="781"/>
      <c r="O596" s="781"/>
      <c r="P596" s="781"/>
      <c r="Q596" s="781"/>
      <c r="R596" s="781"/>
      <c r="S596" s="781"/>
      <c r="T596" s="781"/>
      <c r="U596" s="781"/>
      <c r="V596" s="781"/>
      <c r="W596" s="137"/>
      <c r="X596" s="137"/>
      <c r="Y596" s="137"/>
      <c r="Z596" s="137"/>
    </row>
    <row r="597" ht="15.75" customHeight="1">
      <c r="A597" s="1385"/>
      <c r="B597" s="1385"/>
      <c r="C597" s="234"/>
      <c r="D597" s="815"/>
      <c r="E597" s="1537"/>
      <c r="F597" s="763"/>
      <c r="G597" s="763"/>
      <c r="H597" s="763"/>
      <c r="I597" s="763"/>
      <c r="J597" s="763"/>
      <c r="K597" s="781"/>
      <c r="L597" s="781"/>
      <c r="M597" s="781"/>
      <c r="N597" s="781"/>
      <c r="O597" s="781"/>
      <c r="P597" s="781"/>
      <c r="Q597" s="781"/>
      <c r="R597" s="781"/>
      <c r="S597" s="781"/>
      <c r="T597" s="781"/>
      <c r="U597" s="781"/>
      <c r="V597" s="781"/>
      <c r="W597" s="137"/>
      <c r="X597" s="137"/>
      <c r="Y597" s="137"/>
      <c r="Z597" s="137"/>
    </row>
    <row r="598" ht="15.75" customHeight="1">
      <c r="A598" s="1385"/>
      <c r="B598" s="1385"/>
      <c r="C598" s="234"/>
      <c r="D598" s="815"/>
      <c r="E598" s="1537"/>
      <c r="F598" s="763"/>
      <c r="G598" s="763"/>
      <c r="H598" s="763"/>
      <c r="I598" s="763"/>
      <c r="J598" s="763"/>
      <c r="K598" s="781"/>
      <c r="L598" s="781"/>
      <c r="M598" s="781"/>
      <c r="N598" s="781"/>
      <c r="O598" s="781"/>
      <c r="P598" s="781"/>
      <c r="Q598" s="781"/>
      <c r="R598" s="781"/>
      <c r="S598" s="781"/>
      <c r="T598" s="781"/>
      <c r="U598" s="781"/>
      <c r="V598" s="781"/>
      <c r="W598" s="137"/>
      <c r="X598" s="137"/>
      <c r="Y598" s="137"/>
      <c r="Z598" s="137"/>
    </row>
    <row r="599" ht="15.75" customHeight="1">
      <c r="A599" s="1385"/>
      <c r="B599" s="1385"/>
      <c r="C599" s="234"/>
      <c r="D599" s="815"/>
      <c r="E599" s="1537"/>
      <c r="F599" s="763"/>
      <c r="G599" s="763"/>
      <c r="H599" s="763"/>
      <c r="I599" s="763"/>
      <c r="J599" s="763"/>
      <c r="K599" s="781"/>
      <c r="L599" s="781"/>
      <c r="M599" s="781"/>
      <c r="N599" s="781"/>
      <c r="O599" s="781"/>
      <c r="P599" s="781"/>
      <c r="Q599" s="781"/>
      <c r="R599" s="781"/>
      <c r="S599" s="781"/>
      <c r="T599" s="781"/>
      <c r="U599" s="781"/>
      <c r="V599" s="781"/>
      <c r="W599" s="137"/>
      <c r="X599" s="137"/>
      <c r="Y599" s="137"/>
      <c r="Z599" s="137"/>
    </row>
    <row r="600" ht="15.75" customHeight="1">
      <c r="A600" s="1385"/>
      <c r="B600" s="1385"/>
      <c r="C600" s="234"/>
      <c r="D600" s="815"/>
      <c r="E600" s="1537"/>
      <c r="F600" s="763"/>
      <c r="G600" s="763"/>
      <c r="H600" s="763"/>
      <c r="I600" s="763"/>
      <c r="J600" s="763"/>
      <c r="K600" s="781"/>
      <c r="L600" s="781"/>
      <c r="M600" s="781"/>
      <c r="N600" s="781"/>
      <c r="O600" s="781"/>
      <c r="P600" s="781"/>
      <c r="Q600" s="781"/>
      <c r="R600" s="781"/>
      <c r="S600" s="781"/>
      <c r="T600" s="781"/>
      <c r="U600" s="781"/>
      <c r="V600" s="781"/>
      <c r="W600" s="137"/>
      <c r="X600" s="137"/>
      <c r="Y600" s="137"/>
      <c r="Z600" s="137"/>
    </row>
    <row r="601" ht="15.75" customHeight="1">
      <c r="A601" s="1385"/>
      <c r="B601" s="1385"/>
      <c r="C601" s="234"/>
      <c r="D601" s="815"/>
      <c r="E601" s="1537"/>
      <c r="F601" s="763"/>
      <c r="G601" s="763"/>
      <c r="H601" s="763"/>
      <c r="I601" s="763"/>
      <c r="J601" s="763"/>
      <c r="K601" s="781"/>
      <c r="L601" s="781"/>
      <c r="M601" s="781"/>
      <c r="N601" s="781"/>
      <c r="O601" s="781"/>
      <c r="P601" s="781"/>
      <c r="Q601" s="781"/>
      <c r="R601" s="781"/>
      <c r="S601" s="781"/>
      <c r="T601" s="781"/>
      <c r="U601" s="781"/>
      <c r="V601" s="781"/>
      <c r="W601" s="137"/>
      <c r="X601" s="137"/>
      <c r="Y601" s="137"/>
      <c r="Z601" s="137"/>
    </row>
    <row r="602" ht="15.75" customHeight="1">
      <c r="A602" s="1385"/>
      <c r="B602" s="1385"/>
      <c r="C602" s="234"/>
      <c r="D602" s="815"/>
      <c r="E602" s="1537"/>
      <c r="F602" s="763"/>
      <c r="G602" s="763"/>
      <c r="H602" s="763"/>
      <c r="I602" s="763"/>
      <c r="J602" s="763"/>
      <c r="K602" s="781"/>
      <c r="L602" s="781"/>
      <c r="M602" s="781"/>
      <c r="N602" s="781"/>
      <c r="O602" s="781"/>
      <c r="P602" s="781"/>
      <c r="Q602" s="781"/>
      <c r="R602" s="781"/>
      <c r="S602" s="781"/>
      <c r="T602" s="781"/>
      <c r="U602" s="781"/>
      <c r="V602" s="781"/>
      <c r="W602" s="137"/>
      <c r="X602" s="137"/>
      <c r="Y602" s="137"/>
      <c r="Z602" s="137"/>
    </row>
    <row r="603" ht="15.75" customHeight="1">
      <c r="A603" s="1385"/>
      <c r="B603" s="1385"/>
      <c r="C603" s="234"/>
      <c r="D603" s="815"/>
      <c r="E603" s="1537"/>
      <c r="F603" s="763"/>
      <c r="G603" s="763"/>
      <c r="H603" s="763"/>
      <c r="I603" s="763"/>
      <c r="J603" s="763"/>
      <c r="K603" s="781"/>
      <c r="L603" s="781"/>
      <c r="M603" s="781"/>
      <c r="N603" s="781"/>
      <c r="O603" s="781"/>
      <c r="P603" s="781"/>
      <c r="Q603" s="781"/>
      <c r="R603" s="781"/>
      <c r="S603" s="781"/>
      <c r="T603" s="781"/>
      <c r="U603" s="781"/>
      <c r="V603" s="781"/>
      <c r="W603" s="137"/>
      <c r="X603" s="137"/>
      <c r="Y603" s="137"/>
      <c r="Z603" s="137"/>
    </row>
    <row r="604" ht="15.75" customHeight="1">
      <c r="A604" s="1385"/>
      <c r="B604" s="1385"/>
      <c r="C604" s="234"/>
      <c r="D604" s="815"/>
      <c r="E604" s="1537"/>
      <c r="F604" s="763"/>
      <c r="G604" s="763"/>
      <c r="H604" s="763"/>
      <c r="I604" s="763"/>
      <c r="J604" s="763"/>
      <c r="K604" s="781"/>
      <c r="L604" s="781"/>
      <c r="M604" s="781"/>
      <c r="N604" s="781"/>
      <c r="O604" s="781"/>
      <c r="P604" s="781"/>
      <c r="Q604" s="781"/>
      <c r="R604" s="781"/>
      <c r="S604" s="781"/>
      <c r="T604" s="781"/>
      <c r="U604" s="781"/>
      <c r="V604" s="781"/>
      <c r="W604" s="137"/>
      <c r="X604" s="137"/>
      <c r="Y604" s="137"/>
      <c r="Z604" s="137"/>
    </row>
    <row r="605" ht="15.75" customHeight="1">
      <c r="A605" s="1385"/>
      <c r="B605" s="1385"/>
      <c r="C605" s="234"/>
      <c r="D605" s="815"/>
      <c r="E605" s="1537"/>
      <c r="F605" s="763"/>
      <c r="G605" s="763"/>
      <c r="H605" s="763"/>
      <c r="I605" s="763"/>
      <c r="J605" s="763"/>
      <c r="K605" s="781"/>
      <c r="L605" s="781"/>
      <c r="M605" s="781"/>
      <c r="N605" s="781"/>
      <c r="O605" s="781"/>
      <c r="P605" s="781"/>
      <c r="Q605" s="781"/>
      <c r="R605" s="781"/>
      <c r="S605" s="781"/>
      <c r="T605" s="781"/>
      <c r="U605" s="781"/>
      <c r="V605" s="781"/>
      <c r="W605" s="137"/>
      <c r="X605" s="137"/>
      <c r="Y605" s="137"/>
      <c r="Z605" s="137"/>
    </row>
    <row r="606" ht="15.75" customHeight="1">
      <c r="A606" s="1385"/>
      <c r="B606" s="1385"/>
      <c r="C606" s="234"/>
      <c r="D606" s="815"/>
      <c r="E606" s="1537"/>
      <c r="F606" s="763"/>
      <c r="G606" s="763"/>
      <c r="H606" s="763"/>
      <c r="I606" s="763"/>
      <c r="J606" s="763"/>
      <c r="K606" s="781"/>
      <c r="L606" s="781"/>
      <c r="M606" s="781"/>
      <c r="N606" s="781"/>
      <c r="O606" s="781"/>
      <c r="P606" s="781"/>
      <c r="Q606" s="781"/>
      <c r="R606" s="781"/>
      <c r="S606" s="781"/>
      <c r="T606" s="781"/>
      <c r="U606" s="781"/>
      <c r="V606" s="781"/>
      <c r="W606" s="137"/>
      <c r="X606" s="137"/>
      <c r="Y606" s="137"/>
      <c r="Z606" s="137"/>
    </row>
    <row r="607" ht="15.75" customHeight="1">
      <c r="A607" s="1385"/>
      <c r="B607" s="1385"/>
      <c r="C607" s="234"/>
      <c r="D607" s="815"/>
      <c r="E607" s="1537"/>
      <c r="F607" s="763"/>
      <c r="G607" s="763"/>
      <c r="H607" s="763"/>
      <c r="I607" s="763"/>
      <c r="J607" s="763"/>
      <c r="K607" s="781"/>
      <c r="L607" s="781"/>
      <c r="M607" s="781"/>
      <c r="N607" s="781"/>
      <c r="O607" s="781"/>
      <c r="P607" s="781"/>
      <c r="Q607" s="781"/>
      <c r="R607" s="781"/>
      <c r="S607" s="781"/>
      <c r="T607" s="781"/>
      <c r="U607" s="781"/>
      <c r="V607" s="781"/>
      <c r="W607" s="137"/>
      <c r="X607" s="137"/>
      <c r="Y607" s="137"/>
      <c r="Z607" s="137"/>
    </row>
    <row r="608" ht="15.75" customHeight="1">
      <c r="A608" s="1385"/>
      <c r="B608" s="1385"/>
      <c r="C608" s="234"/>
      <c r="D608" s="815"/>
      <c r="E608" s="1537"/>
      <c r="F608" s="763"/>
      <c r="G608" s="763"/>
      <c r="H608" s="763"/>
      <c r="I608" s="763"/>
      <c r="J608" s="763"/>
      <c r="K608" s="781"/>
      <c r="L608" s="781"/>
      <c r="M608" s="781"/>
      <c r="N608" s="781"/>
      <c r="O608" s="781"/>
      <c r="P608" s="781"/>
      <c r="Q608" s="781"/>
      <c r="R608" s="781"/>
      <c r="S608" s="781"/>
      <c r="T608" s="781"/>
      <c r="U608" s="781"/>
      <c r="V608" s="781"/>
      <c r="W608" s="137"/>
      <c r="X608" s="137"/>
      <c r="Y608" s="137"/>
      <c r="Z608" s="137"/>
    </row>
    <row r="609" ht="15.75" customHeight="1">
      <c r="A609" s="1385"/>
      <c r="B609" s="1385"/>
      <c r="C609" s="234"/>
      <c r="D609" s="815"/>
      <c r="E609" s="1537"/>
      <c r="F609" s="763"/>
      <c r="G609" s="763"/>
      <c r="H609" s="763"/>
      <c r="I609" s="763"/>
      <c r="J609" s="763"/>
      <c r="K609" s="781"/>
      <c r="L609" s="781"/>
      <c r="M609" s="781"/>
      <c r="N609" s="781"/>
      <c r="O609" s="781"/>
      <c r="P609" s="781"/>
      <c r="Q609" s="781"/>
      <c r="R609" s="781"/>
      <c r="S609" s="781"/>
      <c r="T609" s="781"/>
      <c r="U609" s="781"/>
      <c r="V609" s="781"/>
      <c r="W609" s="137"/>
      <c r="X609" s="137"/>
      <c r="Y609" s="137"/>
      <c r="Z609" s="137"/>
    </row>
    <row r="610" ht="15.75" customHeight="1">
      <c r="A610" s="1385"/>
      <c r="B610" s="1385"/>
      <c r="C610" s="234"/>
      <c r="D610" s="815"/>
      <c r="E610" s="1537"/>
      <c r="F610" s="763"/>
      <c r="G610" s="763"/>
      <c r="H610" s="763"/>
      <c r="I610" s="763"/>
      <c r="J610" s="763"/>
      <c r="K610" s="781"/>
      <c r="L610" s="781"/>
      <c r="M610" s="781"/>
      <c r="N610" s="781"/>
      <c r="O610" s="781"/>
      <c r="P610" s="781"/>
      <c r="Q610" s="781"/>
      <c r="R610" s="781"/>
      <c r="S610" s="781"/>
      <c r="T610" s="781"/>
      <c r="U610" s="781"/>
      <c r="V610" s="781"/>
      <c r="W610" s="137"/>
      <c r="X610" s="137"/>
      <c r="Y610" s="137"/>
      <c r="Z610" s="137"/>
    </row>
    <row r="611" ht="15.75" customHeight="1">
      <c r="A611" s="1385"/>
      <c r="B611" s="1385"/>
      <c r="C611" s="234"/>
      <c r="D611" s="815"/>
      <c r="E611" s="1537"/>
      <c r="F611" s="763"/>
      <c r="G611" s="763"/>
      <c r="H611" s="763"/>
      <c r="I611" s="763"/>
      <c r="J611" s="763"/>
      <c r="K611" s="781"/>
      <c r="L611" s="781"/>
      <c r="M611" s="781"/>
      <c r="N611" s="781"/>
      <c r="O611" s="781"/>
      <c r="P611" s="781"/>
      <c r="Q611" s="781"/>
      <c r="R611" s="781"/>
      <c r="S611" s="781"/>
      <c r="T611" s="781"/>
      <c r="U611" s="781"/>
      <c r="V611" s="781"/>
      <c r="W611" s="137"/>
      <c r="X611" s="137"/>
      <c r="Y611" s="137"/>
      <c r="Z611" s="137"/>
    </row>
    <row r="612" ht="15.75" customHeight="1">
      <c r="A612" s="1385"/>
      <c r="B612" s="1385"/>
      <c r="C612" s="234"/>
      <c r="D612" s="815"/>
      <c r="E612" s="1537"/>
      <c r="F612" s="763"/>
      <c r="G612" s="763"/>
      <c r="H612" s="763"/>
      <c r="I612" s="763"/>
      <c r="J612" s="763"/>
      <c r="K612" s="781"/>
      <c r="L612" s="781"/>
      <c r="M612" s="781"/>
      <c r="N612" s="781"/>
      <c r="O612" s="781"/>
      <c r="P612" s="781"/>
      <c r="Q612" s="781"/>
      <c r="R612" s="781"/>
      <c r="S612" s="781"/>
      <c r="T612" s="781"/>
      <c r="U612" s="781"/>
      <c r="V612" s="781"/>
      <c r="W612" s="137"/>
      <c r="X612" s="137"/>
      <c r="Y612" s="137"/>
      <c r="Z612" s="137"/>
    </row>
    <row r="613" ht="15.75" customHeight="1">
      <c r="A613" s="1385"/>
      <c r="B613" s="1385"/>
      <c r="C613" s="234"/>
      <c r="D613" s="815"/>
      <c r="E613" s="1537"/>
      <c r="F613" s="763"/>
      <c r="G613" s="763"/>
      <c r="H613" s="763"/>
      <c r="I613" s="763"/>
      <c r="J613" s="763"/>
      <c r="K613" s="781"/>
      <c r="L613" s="781"/>
      <c r="M613" s="781"/>
      <c r="N613" s="781"/>
      <c r="O613" s="781"/>
      <c r="P613" s="781"/>
      <c r="Q613" s="781"/>
      <c r="R613" s="781"/>
      <c r="S613" s="781"/>
      <c r="T613" s="781"/>
      <c r="U613" s="781"/>
      <c r="V613" s="781"/>
      <c r="W613" s="137"/>
      <c r="X613" s="137"/>
      <c r="Y613" s="137"/>
      <c r="Z613" s="137"/>
    </row>
    <row r="614" ht="15.75" customHeight="1">
      <c r="A614" s="1385"/>
      <c r="B614" s="1385"/>
      <c r="C614" s="234"/>
      <c r="D614" s="815"/>
      <c r="E614" s="1537"/>
      <c r="F614" s="763"/>
      <c r="G614" s="763"/>
      <c r="H614" s="763"/>
      <c r="I614" s="763"/>
      <c r="J614" s="763"/>
      <c r="K614" s="781"/>
      <c r="L614" s="781"/>
      <c r="M614" s="781"/>
      <c r="N614" s="781"/>
      <c r="O614" s="781"/>
      <c r="P614" s="781"/>
      <c r="Q614" s="781"/>
      <c r="R614" s="781"/>
      <c r="S614" s="781"/>
      <c r="T614" s="781"/>
      <c r="U614" s="781"/>
      <c r="V614" s="781"/>
      <c r="W614" s="137"/>
      <c r="X614" s="137"/>
      <c r="Y614" s="137"/>
      <c r="Z614" s="137"/>
    </row>
    <row r="615" ht="15.75" customHeight="1">
      <c r="A615" s="1385"/>
      <c r="B615" s="1385"/>
      <c r="C615" s="234"/>
      <c r="D615" s="815"/>
      <c r="E615" s="1537"/>
      <c r="F615" s="763"/>
      <c r="G615" s="763"/>
      <c r="H615" s="763"/>
      <c r="I615" s="763"/>
      <c r="J615" s="763"/>
      <c r="K615" s="781"/>
      <c r="L615" s="781"/>
      <c r="M615" s="781"/>
      <c r="N615" s="781"/>
      <c r="O615" s="781"/>
      <c r="P615" s="781"/>
      <c r="Q615" s="781"/>
      <c r="R615" s="781"/>
      <c r="S615" s="781"/>
      <c r="T615" s="781"/>
      <c r="U615" s="781"/>
      <c r="V615" s="781"/>
      <c r="W615" s="137"/>
      <c r="X615" s="137"/>
      <c r="Y615" s="137"/>
      <c r="Z615" s="137"/>
    </row>
    <row r="616" ht="15.75" customHeight="1">
      <c r="A616" s="1385"/>
      <c r="B616" s="1385"/>
      <c r="C616" s="234"/>
      <c r="D616" s="815"/>
      <c r="E616" s="1537"/>
      <c r="F616" s="763"/>
      <c r="G616" s="763"/>
      <c r="H616" s="763"/>
      <c r="I616" s="763"/>
      <c r="J616" s="763"/>
      <c r="K616" s="781"/>
      <c r="L616" s="781"/>
      <c r="M616" s="781"/>
      <c r="N616" s="781"/>
      <c r="O616" s="781"/>
      <c r="P616" s="781"/>
      <c r="Q616" s="781"/>
      <c r="R616" s="781"/>
      <c r="S616" s="781"/>
      <c r="T616" s="781"/>
      <c r="U616" s="781"/>
      <c r="V616" s="781"/>
      <c r="W616" s="137"/>
      <c r="X616" s="137"/>
      <c r="Y616" s="137"/>
      <c r="Z616" s="137"/>
    </row>
    <row r="617" ht="15.75" customHeight="1">
      <c r="A617" s="1385"/>
      <c r="B617" s="1385"/>
      <c r="C617" s="234"/>
      <c r="D617" s="815"/>
      <c r="E617" s="1537"/>
      <c r="F617" s="763"/>
      <c r="G617" s="763"/>
      <c r="H617" s="763"/>
      <c r="I617" s="763"/>
      <c r="J617" s="763"/>
      <c r="K617" s="781"/>
      <c r="L617" s="781"/>
      <c r="M617" s="781"/>
      <c r="N617" s="781"/>
      <c r="O617" s="781"/>
      <c r="P617" s="781"/>
      <c r="Q617" s="781"/>
      <c r="R617" s="781"/>
      <c r="S617" s="781"/>
      <c r="T617" s="781"/>
      <c r="U617" s="781"/>
      <c r="V617" s="781"/>
      <c r="W617" s="137"/>
      <c r="X617" s="137"/>
      <c r="Y617" s="137"/>
      <c r="Z617" s="137"/>
    </row>
    <row r="618" ht="15.75" customHeight="1">
      <c r="A618" s="1385"/>
      <c r="B618" s="1385"/>
      <c r="C618" s="234"/>
      <c r="D618" s="815"/>
      <c r="E618" s="1537"/>
      <c r="F618" s="763"/>
      <c r="G618" s="763"/>
      <c r="H618" s="763"/>
      <c r="I618" s="763"/>
      <c r="J618" s="763"/>
      <c r="K618" s="781"/>
      <c r="L618" s="781"/>
      <c r="M618" s="781"/>
      <c r="N618" s="781"/>
      <c r="O618" s="781"/>
      <c r="P618" s="781"/>
      <c r="Q618" s="781"/>
      <c r="R618" s="781"/>
      <c r="S618" s="781"/>
      <c r="T618" s="781"/>
      <c r="U618" s="781"/>
      <c r="V618" s="781"/>
      <c r="W618" s="137"/>
      <c r="X618" s="137"/>
      <c r="Y618" s="137"/>
      <c r="Z618" s="137"/>
    </row>
    <row r="619" ht="15.75" customHeight="1">
      <c r="A619" s="1385"/>
      <c r="B619" s="1385"/>
      <c r="C619" s="234"/>
      <c r="D619" s="815"/>
      <c r="E619" s="1537"/>
      <c r="F619" s="763"/>
      <c r="G619" s="763"/>
      <c r="H619" s="763"/>
      <c r="I619" s="763"/>
      <c r="J619" s="763"/>
      <c r="K619" s="781"/>
      <c r="L619" s="781"/>
      <c r="M619" s="781"/>
      <c r="N619" s="781"/>
      <c r="O619" s="781"/>
      <c r="P619" s="781"/>
      <c r="Q619" s="781"/>
      <c r="R619" s="781"/>
      <c r="S619" s="781"/>
      <c r="T619" s="781"/>
      <c r="U619" s="781"/>
      <c r="V619" s="781"/>
      <c r="W619" s="137"/>
      <c r="X619" s="137"/>
      <c r="Y619" s="137"/>
      <c r="Z619" s="137"/>
    </row>
    <row r="620" ht="15.75" customHeight="1">
      <c r="A620" s="1385"/>
      <c r="B620" s="1385"/>
      <c r="C620" s="234"/>
      <c r="D620" s="815"/>
      <c r="E620" s="1537"/>
      <c r="F620" s="763"/>
      <c r="G620" s="763"/>
      <c r="H620" s="763"/>
      <c r="I620" s="763"/>
      <c r="J620" s="763"/>
      <c r="K620" s="781"/>
      <c r="L620" s="781"/>
      <c r="M620" s="781"/>
      <c r="N620" s="781"/>
      <c r="O620" s="781"/>
      <c r="P620" s="781"/>
      <c r="Q620" s="781"/>
      <c r="R620" s="781"/>
      <c r="S620" s="781"/>
      <c r="T620" s="781"/>
      <c r="U620" s="781"/>
      <c r="V620" s="781"/>
      <c r="W620" s="137"/>
      <c r="X620" s="137"/>
      <c r="Y620" s="137"/>
      <c r="Z620" s="137"/>
    </row>
    <row r="621" ht="15.75" customHeight="1">
      <c r="A621" s="1385"/>
      <c r="B621" s="1385"/>
      <c r="C621" s="234"/>
      <c r="D621" s="815"/>
      <c r="E621" s="1537"/>
      <c r="F621" s="763"/>
      <c r="G621" s="763"/>
      <c r="H621" s="763"/>
      <c r="I621" s="763"/>
      <c r="J621" s="763"/>
      <c r="K621" s="781"/>
      <c r="L621" s="781"/>
      <c r="M621" s="781"/>
      <c r="N621" s="781"/>
      <c r="O621" s="781"/>
      <c r="P621" s="781"/>
      <c r="Q621" s="781"/>
      <c r="R621" s="781"/>
      <c r="S621" s="781"/>
      <c r="T621" s="781"/>
      <c r="U621" s="781"/>
      <c r="V621" s="781"/>
      <c r="W621" s="137"/>
      <c r="X621" s="137"/>
      <c r="Y621" s="137"/>
      <c r="Z621" s="137"/>
    </row>
    <row r="622" ht="15.75" customHeight="1">
      <c r="A622" s="1385"/>
      <c r="B622" s="1385"/>
      <c r="C622" s="234"/>
      <c r="D622" s="815"/>
      <c r="E622" s="1537"/>
      <c r="F622" s="763"/>
      <c r="G622" s="763"/>
      <c r="H622" s="763"/>
      <c r="I622" s="763"/>
      <c r="J622" s="763"/>
      <c r="K622" s="781"/>
      <c r="L622" s="781"/>
      <c r="M622" s="781"/>
      <c r="N622" s="781"/>
      <c r="O622" s="781"/>
      <c r="P622" s="781"/>
      <c r="Q622" s="781"/>
      <c r="R622" s="781"/>
      <c r="S622" s="781"/>
      <c r="T622" s="781"/>
      <c r="U622" s="781"/>
      <c r="V622" s="781"/>
      <c r="W622" s="137"/>
      <c r="X622" s="137"/>
      <c r="Y622" s="137"/>
      <c r="Z622" s="137"/>
    </row>
    <row r="623" ht="15.75" customHeight="1">
      <c r="A623" s="1385"/>
      <c r="B623" s="1385"/>
      <c r="C623" s="234"/>
      <c r="D623" s="815"/>
      <c r="E623" s="1537"/>
      <c r="F623" s="763"/>
      <c r="G623" s="763"/>
      <c r="H623" s="763"/>
      <c r="I623" s="763"/>
      <c r="J623" s="763"/>
      <c r="K623" s="781"/>
      <c r="L623" s="781"/>
      <c r="M623" s="781"/>
      <c r="N623" s="781"/>
      <c r="O623" s="781"/>
      <c r="P623" s="781"/>
      <c r="Q623" s="781"/>
      <c r="R623" s="781"/>
      <c r="S623" s="781"/>
      <c r="T623" s="781"/>
      <c r="U623" s="781"/>
      <c r="V623" s="781"/>
      <c r="W623" s="137"/>
      <c r="X623" s="137"/>
      <c r="Y623" s="137"/>
      <c r="Z623" s="137"/>
    </row>
    <row r="624" ht="15.75" customHeight="1">
      <c r="A624" s="1385"/>
      <c r="B624" s="1385"/>
      <c r="C624" s="234"/>
      <c r="D624" s="815"/>
      <c r="E624" s="1537"/>
      <c r="F624" s="763"/>
      <c r="G624" s="763"/>
      <c r="H624" s="763"/>
      <c r="I624" s="763"/>
      <c r="J624" s="763"/>
      <c r="K624" s="781"/>
      <c r="L624" s="781"/>
      <c r="M624" s="781"/>
      <c r="N624" s="781"/>
      <c r="O624" s="781"/>
      <c r="P624" s="781"/>
      <c r="Q624" s="781"/>
      <c r="R624" s="781"/>
      <c r="S624" s="781"/>
      <c r="T624" s="781"/>
      <c r="U624" s="781"/>
      <c r="V624" s="781"/>
      <c r="W624" s="137"/>
      <c r="X624" s="137"/>
      <c r="Y624" s="137"/>
      <c r="Z624" s="137"/>
    </row>
    <row r="625" ht="15.75" customHeight="1">
      <c r="A625" s="1385"/>
      <c r="B625" s="1385"/>
      <c r="C625" s="234"/>
      <c r="D625" s="815"/>
      <c r="E625" s="1537"/>
      <c r="F625" s="763"/>
      <c r="G625" s="763"/>
      <c r="H625" s="763"/>
      <c r="I625" s="763"/>
      <c r="J625" s="763"/>
      <c r="K625" s="781"/>
      <c r="L625" s="781"/>
      <c r="M625" s="781"/>
      <c r="N625" s="781"/>
      <c r="O625" s="781"/>
      <c r="P625" s="781"/>
      <c r="Q625" s="781"/>
      <c r="R625" s="781"/>
      <c r="S625" s="781"/>
      <c r="T625" s="781"/>
      <c r="U625" s="781"/>
      <c r="V625" s="781"/>
      <c r="W625" s="137"/>
      <c r="X625" s="137"/>
      <c r="Y625" s="137"/>
      <c r="Z625" s="137"/>
    </row>
    <row r="626" ht="15.75" customHeight="1">
      <c r="A626" s="1385"/>
      <c r="B626" s="1385"/>
      <c r="C626" s="234"/>
      <c r="D626" s="815"/>
      <c r="E626" s="1537"/>
      <c r="F626" s="763"/>
      <c r="G626" s="763"/>
      <c r="H626" s="763"/>
      <c r="I626" s="763"/>
      <c r="J626" s="763"/>
      <c r="K626" s="781"/>
      <c r="L626" s="781"/>
      <c r="M626" s="781"/>
      <c r="N626" s="781"/>
      <c r="O626" s="781"/>
      <c r="P626" s="781"/>
      <c r="Q626" s="781"/>
      <c r="R626" s="781"/>
      <c r="S626" s="781"/>
      <c r="T626" s="781"/>
      <c r="U626" s="781"/>
      <c r="V626" s="781"/>
      <c r="W626" s="137"/>
      <c r="X626" s="137"/>
      <c r="Y626" s="137"/>
      <c r="Z626" s="137"/>
    </row>
    <row r="627" ht="15.75" customHeight="1">
      <c r="A627" s="1385"/>
      <c r="B627" s="1385"/>
      <c r="C627" s="234"/>
      <c r="D627" s="815"/>
      <c r="E627" s="1537"/>
      <c r="F627" s="763"/>
      <c r="G627" s="763"/>
      <c r="H627" s="763"/>
      <c r="I627" s="763"/>
      <c r="J627" s="763"/>
      <c r="K627" s="781"/>
      <c r="L627" s="781"/>
      <c r="M627" s="781"/>
      <c r="N627" s="781"/>
      <c r="O627" s="781"/>
      <c r="P627" s="781"/>
      <c r="Q627" s="781"/>
      <c r="R627" s="781"/>
      <c r="S627" s="781"/>
      <c r="T627" s="781"/>
      <c r="U627" s="781"/>
      <c r="V627" s="781"/>
      <c r="W627" s="137"/>
      <c r="X627" s="137"/>
      <c r="Y627" s="137"/>
      <c r="Z627" s="137"/>
    </row>
    <row r="628" ht="15.75" customHeight="1">
      <c r="A628" s="1385"/>
      <c r="B628" s="1385"/>
      <c r="C628" s="234"/>
      <c r="D628" s="815"/>
      <c r="E628" s="1537"/>
      <c r="F628" s="763"/>
      <c r="G628" s="763"/>
      <c r="H628" s="763"/>
      <c r="I628" s="763"/>
      <c r="J628" s="763"/>
      <c r="K628" s="781"/>
      <c r="L628" s="781"/>
      <c r="M628" s="781"/>
      <c r="N628" s="781"/>
      <c r="O628" s="781"/>
      <c r="P628" s="781"/>
      <c r="Q628" s="781"/>
      <c r="R628" s="781"/>
      <c r="S628" s="781"/>
      <c r="T628" s="781"/>
      <c r="U628" s="781"/>
      <c r="V628" s="781"/>
      <c r="W628" s="137"/>
      <c r="X628" s="137"/>
      <c r="Y628" s="137"/>
      <c r="Z628" s="137"/>
    </row>
    <row r="629" ht="15.75" customHeight="1">
      <c r="A629" s="1385"/>
      <c r="B629" s="1385"/>
      <c r="C629" s="234"/>
      <c r="D629" s="815"/>
      <c r="E629" s="1537"/>
      <c r="F629" s="763"/>
      <c r="G629" s="763"/>
      <c r="H629" s="763"/>
      <c r="I629" s="763"/>
      <c r="J629" s="763"/>
      <c r="K629" s="781"/>
      <c r="L629" s="781"/>
      <c r="M629" s="781"/>
      <c r="N629" s="781"/>
      <c r="O629" s="781"/>
      <c r="P629" s="781"/>
      <c r="Q629" s="781"/>
      <c r="R629" s="781"/>
      <c r="S629" s="781"/>
      <c r="T629" s="781"/>
      <c r="U629" s="781"/>
      <c r="V629" s="781"/>
      <c r="W629" s="137"/>
      <c r="X629" s="137"/>
      <c r="Y629" s="137"/>
      <c r="Z629" s="137"/>
    </row>
    <row r="630" ht="15.75" customHeight="1">
      <c r="A630" s="1385"/>
      <c r="B630" s="1385"/>
      <c r="C630" s="234"/>
      <c r="D630" s="815"/>
      <c r="E630" s="1537"/>
      <c r="F630" s="763"/>
      <c r="G630" s="763"/>
      <c r="H630" s="763"/>
      <c r="I630" s="763"/>
      <c r="J630" s="763"/>
      <c r="K630" s="781"/>
      <c r="L630" s="781"/>
      <c r="M630" s="781"/>
      <c r="N630" s="781"/>
      <c r="O630" s="781"/>
      <c r="P630" s="781"/>
      <c r="Q630" s="781"/>
      <c r="R630" s="781"/>
      <c r="S630" s="781"/>
      <c r="T630" s="781"/>
      <c r="U630" s="781"/>
      <c r="V630" s="781"/>
      <c r="W630" s="137"/>
      <c r="X630" s="137"/>
      <c r="Y630" s="137"/>
      <c r="Z630" s="137"/>
    </row>
    <row r="631" ht="15.75" customHeight="1">
      <c r="A631" s="1385"/>
      <c r="B631" s="1385"/>
      <c r="C631" s="234"/>
      <c r="D631" s="815"/>
      <c r="E631" s="1537"/>
      <c r="F631" s="763"/>
      <c r="G631" s="763"/>
      <c r="H631" s="763"/>
      <c r="I631" s="763"/>
      <c r="J631" s="763"/>
      <c r="K631" s="781"/>
      <c r="L631" s="781"/>
      <c r="M631" s="781"/>
      <c r="N631" s="781"/>
      <c r="O631" s="781"/>
      <c r="P631" s="781"/>
      <c r="Q631" s="781"/>
      <c r="R631" s="781"/>
      <c r="S631" s="781"/>
      <c r="T631" s="781"/>
      <c r="U631" s="781"/>
      <c r="V631" s="781"/>
      <c r="W631" s="137"/>
      <c r="X631" s="137"/>
      <c r="Y631" s="137"/>
      <c r="Z631" s="137"/>
    </row>
    <row r="632" ht="15.75" customHeight="1">
      <c r="A632" s="1385"/>
      <c r="B632" s="1385"/>
      <c r="C632" s="234"/>
      <c r="D632" s="815"/>
      <c r="E632" s="1537"/>
      <c r="F632" s="763"/>
      <c r="G632" s="763"/>
      <c r="H632" s="763"/>
      <c r="I632" s="763"/>
      <c r="J632" s="763"/>
      <c r="K632" s="781"/>
      <c r="L632" s="781"/>
      <c r="M632" s="781"/>
      <c r="N632" s="781"/>
      <c r="O632" s="781"/>
      <c r="P632" s="781"/>
      <c r="Q632" s="781"/>
      <c r="R632" s="781"/>
      <c r="S632" s="781"/>
      <c r="T632" s="781"/>
      <c r="U632" s="781"/>
      <c r="V632" s="781"/>
      <c r="W632" s="137"/>
      <c r="X632" s="137"/>
      <c r="Y632" s="137"/>
      <c r="Z632" s="137"/>
    </row>
    <row r="633" ht="15.75" customHeight="1">
      <c r="A633" s="1385"/>
      <c r="B633" s="1385"/>
      <c r="C633" s="234"/>
      <c r="D633" s="815"/>
      <c r="E633" s="1537"/>
      <c r="F633" s="763"/>
      <c r="G633" s="763"/>
      <c r="H633" s="763"/>
      <c r="I633" s="763"/>
      <c r="J633" s="763"/>
      <c r="K633" s="781"/>
      <c r="L633" s="781"/>
      <c r="M633" s="781"/>
      <c r="N633" s="781"/>
      <c r="O633" s="781"/>
      <c r="P633" s="781"/>
      <c r="Q633" s="781"/>
      <c r="R633" s="781"/>
      <c r="S633" s="781"/>
      <c r="T633" s="781"/>
      <c r="U633" s="781"/>
      <c r="V633" s="781"/>
      <c r="W633" s="137"/>
      <c r="X633" s="137"/>
      <c r="Y633" s="137"/>
      <c r="Z633" s="137"/>
    </row>
    <row r="634" ht="15.75" customHeight="1">
      <c r="A634" s="1385"/>
      <c r="B634" s="1385"/>
      <c r="C634" s="234"/>
      <c r="D634" s="815"/>
      <c r="E634" s="1537"/>
      <c r="F634" s="763"/>
      <c r="G634" s="763"/>
      <c r="H634" s="763"/>
      <c r="I634" s="763"/>
      <c r="J634" s="763"/>
      <c r="K634" s="781"/>
      <c r="L634" s="781"/>
      <c r="M634" s="781"/>
      <c r="N634" s="781"/>
      <c r="O634" s="781"/>
      <c r="P634" s="781"/>
      <c r="Q634" s="781"/>
      <c r="R634" s="781"/>
      <c r="S634" s="781"/>
      <c r="T634" s="781"/>
      <c r="U634" s="781"/>
      <c r="V634" s="781"/>
      <c r="W634" s="137"/>
      <c r="X634" s="137"/>
      <c r="Y634" s="137"/>
      <c r="Z634" s="137"/>
    </row>
    <row r="635" ht="15.75" customHeight="1">
      <c r="A635" s="1385"/>
      <c r="B635" s="1385"/>
      <c r="C635" s="234"/>
      <c r="D635" s="815"/>
      <c r="E635" s="1537"/>
      <c r="F635" s="763"/>
      <c r="G635" s="763"/>
      <c r="H635" s="763"/>
      <c r="I635" s="763"/>
      <c r="J635" s="763"/>
      <c r="K635" s="781"/>
      <c r="L635" s="781"/>
      <c r="M635" s="781"/>
      <c r="N635" s="781"/>
      <c r="O635" s="781"/>
      <c r="P635" s="781"/>
      <c r="Q635" s="781"/>
      <c r="R635" s="781"/>
      <c r="S635" s="781"/>
      <c r="T635" s="781"/>
      <c r="U635" s="781"/>
      <c r="V635" s="781"/>
      <c r="W635" s="137"/>
      <c r="X635" s="137"/>
      <c r="Y635" s="137"/>
      <c r="Z635" s="137"/>
    </row>
    <row r="636" ht="15.75" customHeight="1">
      <c r="A636" s="1385"/>
      <c r="B636" s="1385"/>
      <c r="C636" s="234"/>
      <c r="D636" s="815"/>
      <c r="E636" s="1537"/>
      <c r="F636" s="763"/>
      <c r="G636" s="763"/>
      <c r="H636" s="763"/>
      <c r="I636" s="763"/>
      <c r="J636" s="763"/>
      <c r="K636" s="781"/>
      <c r="L636" s="781"/>
      <c r="M636" s="781"/>
      <c r="N636" s="781"/>
      <c r="O636" s="781"/>
      <c r="P636" s="781"/>
      <c r="Q636" s="781"/>
      <c r="R636" s="781"/>
      <c r="S636" s="781"/>
      <c r="T636" s="781"/>
      <c r="U636" s="781"/>
      <c r="V636" s="781"/>
      <c r="W636" s="137"/>
      <c r="X636" s="137"/>
      <c r="Y636" s="137"/>
      <c r="Z636" s="137"/>
    </row>
    <row r="637" ht="15.75" customHeight="1">
      <c r="A637" s="1385"/>
      <c r="B637" s="1385"/>
      <c r="C637" s="234"/>
      <c r="D637" s="815"/>
      <c r="E637" s="1537"/>
      <c r="F637" s="763"/>
      <c r="G637" s="763"/>
      <c r="H637" s="763"/>
      <c r="I637" s="763"/>
      <c r="J637" s="763"/>
      <c r="K637" s="781"/>
      <c r="L637" s="781"/>
      <c r="M637" s="781"/>
      <c r="N637" s="781"/>
      <c r="O637" s="781"/>
      <c r="P637" s="781"/>
      <c r="Q637" s="781"/>
      <c r="R637" s="781"/>
      <c r="S637" s="781"/>
      <c r="T637" s="781"/>
      <c r="U637" s="781"/>
      <c r="V637" s="781"/>
      <c r="W637" s="137"/>
      <c r="X637" s="137"/>
      <c r="Y637" s="137"/>
      <c r="Z637" s="137"/>
    </row>
    <row r="638" ht="15.75" customHeight="1">
      <c r="A638" s="1385"/>
      <c r="B638" s="1385"/>
      <c r="C638" s="234"/>
      <c r="D638" s="815"/>
      <c r="E638" s="1537"/>
      <c r="F638" s="763"/>
      <c r="G638" s="763"/>
      <c r="H638" s="763"/>
      <c r="I638" s="763"/>
      <c r="J638" s="763"/>
      <c r="K638" s="781"/>
      <c r="L638" s="781"/>
      <c r="M638" s="781"/>
      <c r="N638" s="781"/>
      <c r="O638" s="781"/>
      <c r="P638" s="781"/>
      <c r="Q638" s="781"/>
      <c r="R638" s="781"/>
      <c r="S638" s="781"/>
      <c r="T638" s="781"/>
      <c r="U638" s="781"/>
      <c r="V638" s="781"/>
      <c r="W638" s="137"/>
      <c r="X638" s="137"/>
      <c r="Y638" s="137"/>
      <c r="Z638" s="137"/>
    </row>
    <row r="639" ht="15.75" customHeight="1">
      <c r="A639" s="1385"/>
      <c r="B639" s="1385"/>
      <c r="C639" s="234"/>
      <c r="D639" s="815"/>
      <c r="E639" s="1537"/>
      <c r="F639" s="763"/>
      <c r="G639" s="763"/>
      <c r="H639" s="763"/>
      <c r="I639" s="763"/>
      <c r="J639" s="763"/>
      <c r="K639" s="781"/>
      <c r="L639" s="781"/>
      <c r="M639" s="781"/>
      <c r="N639" s="781"/>
      <c r="O639" s="781"/>
      <c r="P639" s="781"/>
      <c r="Q639" s="781"/>
      <c r="R639" s="781"/>
      <c r="S639" s="781"/>
      <c r="T639" s="781"/>
      <c r="U639" s="781"/>
      <c r="V639" s="781"/>
      <c r="W639" s="137"/>
      <c r="X639" s="137"/>
      <c r="Y639" s="137"/>
      <c r="Z639" s="137"/>
    </row>
    <row r="640" ht="15.75" customHeight="1">
      <c r="A640" s="1385"/>
      <c r="B640" s="1385"/>
      <c r="C640" s="234"/>
      <c r="D640" s="815"/>
      <c r="E640" s="1537"/>
      <c r="F640" s="763"/>
      <c r="G640" s="763"/>
      <c r="H640" s="763"/>
      <c r="I640" s="763"/>
      <c r="J640" s="763"/>
      <c r="K640" s="781"/>
      <c r="L640" s="781"/>
      <c r="M640" s="781"/>
      <c r="N640" s="781"/>
      <c r="O640" s="781"/>
      <c r="P640" s="781"/>
      <c r="Q640" s="781"/>
      <c r="R640" s="781"/>
      <c r="S640" s="781"/>
      <c r="T640" s="781"/>
      <c r="U640" s="781"/>
      <c r="V640" s="781"/>
      <c r="W640" s="137"/>
      <c r="X640" s="137"/>
      <c r="Y640" s="137"/>
      <c r="Z640" s="137"/>
    </row>
    <row r="641" ht="15.75" customHeight="1">
      <c r="A641" s="1385"/>
      <c r="B641" s="1385"/>
      <c r="C641" s="234"/>
      <c r="D641" s="815"/>
      <c r="E641" s="1537"/>
      <c r="F641" s="763"/>
      <c r="G641" s="763"/>
      <c r="H641" s="763"/>
      <c r="I641" s="763"/>
      <c r="J641" s="763"/>
      <c r="K641" s="781"/>
      <c r="L641" s="781"/>
      <c r="M641" s="781"/>
      <c r="N641" s="781"/>
      <c r="O641" s="781"/>
      <c r="P641" s="781"/>
      <c r="Q641" s="781"/>
      <c r="R641" s="781"/>
      <c r="S641" s="781"/>
      <c r="T641" s="781"/>
      <c r="U641" s="781"/>
      <c r="V641" s="781"/>
      <c r="W641" s="137"/>
      <c r="X641" s="137"/>
      <c r="Y641" s="137"/>
      <c r="Z641" s="137"/>
    </row>
    <row r="642" ht="15.75" customHeight="1">
      <c r="A642" s="1385"/>
      <c r="B642" s="1385"/>
      <c r="C642" s="234"/>
      <c r="D642" s="815"/>
      <c r="E642" s="1537"/>
      <c r="F642" s="763"/>
      <c r="G642" s="763"/>
      <c r="H642" s="763"/>
      <c r="I642" s="763"/>
      <c r="J642" s="763"/>
      <c r="K642" s="781"/>
      <c r="L642" s="781"/>
      <c r="M642" s="781"/>
      <c r="N642" s="781"/>
      <c r="O642" s="781"/>
      <c r="P642" s="781"/>
      <c r="Q642" s="781"/>
      <c r="R642" s="781"/>
      <c r="S642" s="781"/>
      <c r="T642" s="781"/>
      <c r="U642" s="781"/>
      <c r="V642" s="781"/>
      <c r="W642" s="137"/>
      <c r="X642" s="137"/>
      <c r="Y642" s="137"/>
      <c r="Z642" s="137"/>
    </row>
    <row r="643" ht="15.75" customHeight="1">
      <c r="A643" s="1385"/>
      <c r="B643" s="1385"/>
      <c r="C643" s="234"/>
      <c r="D643" s="815"/>
      <c r="E643" s="1537"/>
      <c r="F643" s="763"/>
      <c r="G643" s="763"/>
      <c r="H643" s="763"/>
      <c r="I643" s="763"/>
      <c r="J643" s="763"/>
      <c r="K643" s="781"/>
      <c r="L643" s="781"/>
      <c r="M643" s="781"/>
      <c r="N643" s="781"/>
      <c r="O643" s="781"/>
      <c r="P643" s="781"/>
      <c r="Q643" s="781"/>
      <c r="R643" s="781"/>
      <c r="S643" s="781"/>
      <c r="T643" s="781"/>
      <c r="U643" s="781"/>
      <c r="V643" s="781"/>
      <c r="W643" s="137"/>
      <c r="X643" s="137"/>
      <c r="Y643" s="137"/>
      <c r="Z643" s="137"/>
    </row>
    <row r="644" ht="15.75" customHeight="1">
      <c r="A644" s="1385"/>
      <c r="B644" s="1385"/>
      <c r="C644" s="234"/>
      <c r="D644" s="815"/>
      <c r="E644" s="1537"/>
      <c r="F644" s="763"/>
      <c r="G644" s="763"/>
      <c r="H644" s="763"/>
      <c r="I644" s="763"/>
      <c r="J644" s="763"/>
      <c r="K644" s="781"/>
      <c r="L644" s="781"/>
      <c r="M644" s="781"/>
      <c r="N644" s="781"/>
      <c r="O644" s="781"/>
      <c r="P644" s="781"/>
      <c r="Q644" s="781"/>
      <c r="R644" s="781"/>
      <c r="S644" s="781"/>
      <c r="T644" s="781"/>
      <c r="U644" s="781"/>
      <c r="V644" s="781"/>
      <c r="W644" s="137"/>
      <c r="X644" s="137"/>
      <c r="Y644" s="137"/>
      <c r="Z644" s="137"/>
    </row>
    <row r="645" ht="15.75" customHeight="1">
      <c r="A645" s="1385"/>
      <c r="B645" s="1385"/>
      <c r="C645" s="234"/>
      <c r="D645" s="815"/>
      <c r="E645" s="1537"/>
      <c r="F645" s="763"/>
      <c r="G645" s="763"/>
      <c r="H645" s="763"/>
      <c r="I645" s="763"/>
      <c r="J645" s="763"/>
      <c r="K645" s="781"/>
      <c r="L645" s="781"/>
      <c r="M645" s="781"/>
      <c r="N645" s="781"/>
      <c r="O645" s="781"/>
      <c r="P645" s="781"/>
      <c r="Q645" s="781"/>
      <c r="R645" s="781"/>
      <c r="S645" s="781"/>
      <c r="T645" s="781"/>
      <c r="U645" s="781"/>
      <c r="V645" s="781"/>
      <c r="W645" s="137"/>
      <c r="X645" s="137"/>
      <c r="Y645" s="137"/>
      <c r="Z645" s="137"/>
    </row>
    <row r="646" ht="15.75" customHeight="1">
      <c r="A646" s="1385"/>
      <c r="B646" s="1385"/>
      <c r="C646" s="234"/>
      <c r="D646" s="815"/>
      <c r="E646" s="1537"/>
      <c r="F646" s="763"/>
      <c r="G646" s="763"/>
      <c r="H646" s="763"/>
      <c r="I646" s="763"/>
      <c r="J646" s="763"/>
      <c r="K646" s="781"/>
      <c r="L646" s="781"/>
      <c r="M646" s="781"/>
      <c r="N646" s="781"/>
      <c r="O646" s="781"/>
      <c r="P646" s="781"/>
      <c r="Q646" s="781"/>
      <c r="R646" s="781"/>
      <c r="S646" s="781"/>
      <c r="T646" s="781"/>
      <c r="U646" s="781"/>
      <c r="V646" s="781"/>
      <c r="W646" s="137"/>
      <c r="X646" s="137"/>
      <c r="Y646" s="137"/>
      <c r="Z646" s="137"/>
    </row>
    <row r="647" ht="15.75" customHeight="1">
      <c r="A647" s="1385"/>
      <c r="B647" s="1385"/>
      <c r="C647" s="234"/>
      <c r="D647" s="815"/>
      <c r="E647" s="1537"/>
      <c r="F647" s="763"/>
      <c r="G647" s="763"/>
      <c r="H647" s="763"/>
      <c r="I647" s="763"/>
      <c r="J647" s="763"/>
      <c r="K647" s="781"/>
      <c r="L647" s="781"/>
      <c r="M647" s="781"/>
      <c r="N647" s="781"/>
      <c r="O647" s="781"/>
      <c r="P647" s="781"/>
      <c r="Q647" s="781"/>
      <c r="R647" s="781"/>
      <c r="S647" s="781"/>
      <c r="T647" s="781"/>
      <c r="U647" s="781"/>
      <c r="V647" s="781"/>
      <c r="W647" s="137"/>
      <c r="X647" s="137"/>
      <c r="Y647" s="137"/>
      <c r="Z647" s="137"/>
    </row>
    <row r="648" ht="15.75" customHeight="1">
      <c r="A648" s="1385"/>
      <c r="B648" s="1385"/>
      <c r="C648" s="234"/>
      <c r="D648" s="815"/>
      <c r="E648" s="1537"/>
      <c r="F648" s="763"/>
      <c r="G648" s="763"/>
      <c r="H648" s="763"/>
      <c r="I648" s="763"/>
      <c r="J648" s="763"/>
      <c r="K648" s="781"/>
      <c r="L648" s="781"/>
      <c r="M648" s="781"/>
      <c r="N648" s="781"/>
      <c r="O648" s="781"/>
      <c r="P648" s="781"/>
      <c r="Q648" s="781"/>
      <c r="R648" s="781"/>
      <c r="S648" s="781"/>
      <c r="T648" s="781"/>
      <c r="U648" s="781"/>
      <c r="V648" s="781"/>
      <c r="W648" s="137"/>
      <c r="X648" s="137"/>
      <c r="Y648" s="137"/>
      <c r="Z648" s="137"/>
    </row>
    <row r="649" ht="15.75" customHeight="1">
      <c r="A649" s="1385"/>
      <c r="B649" s="1385"/>
      <c r="C649" s="234"/>
      <c r="D649" s="815"/>
      <c r="E649" s="1537"/>
      <c r="F649" s="763"/>
      <c r="G649" s="763"/>
      <c r="H649" s="763"/>
      <c r="I649" s="763"/>
      <c r="J649" s="763"/>
      <c r="K649" s="781"/>
      <c r="L649" s="781"/>
      <c r="M649" s="781"/>
      <c r="N649" s="781"/>
      <c r="O649" s="781"/>
      <c r="P649" s="781"/>
      <c r="Q649" s="781"/>
      <c r="R649" s="781"/>
      <c r="S649" s="781"/>
      <c r="T649" s="781"/>
      <c r="U649" s="781"/>
      <c r="V649" s="781"/>
      <c r="W649" s="137"/>
      <c r="X649" s="137"/>
      <c r="Y649" s="137"/>
      <c r="Z649" s="137"/>
    </row>
    <row r="650" ht="15.75" customHeight="1">
      <c r="A650" s="1385"/>
      <c r="B650" s="1385"/>
      <c r="C650" s="234"/>
      <c r="D650" s="815"/>
      <c r="E650" s="1537"/>
      <c r="F650" s="763"/>
      <c r="G650" s="763"/>
      <c r="H650" s="763"/>
      <c r="I650" s="763"/>
      <c r="J650" s="763"/>
      <c r="K650" s="781"/>
      <c r="L650" s="781"/>
      <c r="M650" s="781"/>
      <c r="N650" s="781"/>
      <c r="O650" s="781"/>
      <c r="P650" s="781"/>
      <c r="Q650" s="781"/>
      <c r="R650" s="781"/>
      <c r="S650" s="781"/>
      <c r="T650" s="781"/>
      <c r="U650" s="781"/>
      <c r="V650" s="781"/>
      <c r="W650" s="137"/>
      <c r="X650" s="137"/>
      <c r="Y650" s="137"/>
      <c r="Z650" s="137"/>
    </row>
    <row r="651" ht="15.75" customHeight="1">
      <c r="A651" s="1385"/>
      <c r="B651" s="1385"/>
      <c r="C651" s="234"/>
      <c r="D651" s="815"/>
      <c r="E651" s="1537"/>
      <c r="F651" s="763"/>
      <c r="G651" s="763"/>
      <c r="H651" s="763"/>
      <c r="I651" s="763"/>
      <c r="J651" s="763"/>
      <c r="K651" s="781"/>
      <c r="L651" s="781"/>
      <c r="M651" s="781"/>
      <c r="N651" s="781"/>
      <c r="O651" s="781"/>
      <c r="P651" s="781"/>
      <c r="Q651" s="781"/>
      <c r="R651" s="781"/>
      <c r="S651" s="781"/>
      <c r="T651" s="781"/>
      <c r="U651" s="781"/>
      <c r="V651" s="781"/>
      <c r="W651" s="137"/>
      <c r="X651" s="137"/>
      <c r="Y651" s="137"/>
      <c r="Z651" s="137"/>
    </row>
    <row r="652" ht="15.75" customHeight="1">
      <c r="A652" s="1385"/>
      <c r="B652" s="1385"/>
      <c r="C652" s="234"/>
      <c r="D652" s="815"/>
      <c r="E652" s="1537"/>
      <c r="F652" s="763"/>
      <c r="G652" s="763"/>
      <c r="H652" s="763"/>
      <c r="I652" s="763"/>
      <c r="J652" s="763"/>
      <c r="K652" s="781"/>
      <c r="L652" s="781"/>
      <c r="M652" s="781"/>
      <c r="N652" s="781"/>
      <c r="O652" s="781"/>
      <c r="P652" s="781"/>
      <c r="Q652" s="781"/>
      <c r="R652" s="781"/>
      <c r="S652" s="781"/>
      <c r="T652" s="781"/>
      <c r="U652" s="781"/>
      <c r="V652" s="781"/>
      <c r="W652" s="137"/>
      <c r="X652" s="137"/>
      <c r="Y652" s="137"/>
      <c r="Z652" s="137"/>
    </row>
    <row r="653" ht="15.75" customHeight="1">
      <c r="A653" s="1385"/>
      <c r="B653" s="1385"/>
      <c r="C653" s="234"/>
      <c r="D653" s="815"/>
      <c r="E653" s="1537"/>
      <c r="F653" s="763"/>
      <c r="G653" s="763"/>
      <c r="H653" s="763"/>
      <c r="I653" s="763"/>
      <c r="J653" s="763"/>
      <c r="K653" s="781"/>
      <c r="L653" s="781"/>
      <c r="M653" s="781"/>
      <c r="N653" s="781"/>
      <c r="O653" s="781"/>
      <c r="P653" s="781"/>
      <c r="Q653" s="781"/>
      <c r="R653" s="781"/>
      <c r="S653" s="781"/>
      <c r="T653" s="781"/>
      <c r="U653" s="781"/>
      <c r="V653" s="781"/>
      <c r="W653" s="137"/>
      <c r="X653" s="137"/>
      <c r="Y653" s="137"/>
      <c r="Z653" s="137"/>
    </row>
    <row r="654" ht="15.75" customHeight="1">
      <c r="A654" s="1385"/>
      <c r="B654" s="1385"/>
      <c r="C654" s="234"/>
      <c r="D654" s="815"/>
      <c r="E654" s="1537"/>
      <c r="F654" s="763"/>
      <c r="G654" s="763"/>
      <c r="H654" s="763"/>
      <c r="I654" s="763"/>
      <c r="J654" s="763"/>
      <c r="K654" s="781"/>
      <c r="L654" s="781"/>
      <c r="M654" s="781"/>
      <c r="N654" s="781"/>
      <c r="O654" s="781"/>
      <c r="P654" s="781"/>
      <c r="Q654" s="781"/>
      <c r="R654" s="781"/>
      <c r="S654" s="781"/>
      <c r="T654" s="781"/>
      <c r="U654" s="781"/>
      <c r="V654" s="781"/>
      <c r="W654" s="137"/>
      <c r="X654" s="137"/>
      <c r="Y654" s="137"/>
      <c r="Z654" s="137"/>
    </row>
    <row r="655" ht="15.75" customHeight="1">
      <c r="A655" s="1385"/>
      <c r="B655" s="1385"/>
      <c r="C655" s="234"/>
      <c r="D655" s="815"/>
      <c r="E655" s="1537"/>
      <c r="F655" s="763"/>
      <c r="G655" s="763"/>
      <c r="H655" s="763"/>
      <c r="I655" s="763"/>
      <c r="J655" s="763"/>
      <c r="K655" s="781"/>
      <c r="L655" s="781"/>
      <c r="M655" s="781"/>
      <c r="N655" s="781"/>
      <c r="O655" s="781"/>
      <c r="P655" s="781"/>
      <c r="Q655" s="781"/>
      <c r="R655" s="781"/>
      <c r="S655" s="781"/>
      <c r="T655" s="781"/>
      <c r="U655" s="781"/>
      <c r="V655" s="781"/>
      <c r="W655" s="137"/>
      <c r="X655" s="137"/>
      <c r="Y655" s="137"/>
      <c r="Z655" s="137"/>
    </row>
    <row r="656" ht="15.75" customHeight="1">
      <c r="A656" s="1385"/>
      <c r="B656" s="1385"/>
      <c r="C656" s="234"/>
      <c r="D656" s="815"/>
      <c r="E656" s="1537"/>
      <c r="F656" s="763"/>
      <c r="G656" s="763"/>
      <c r="H656" s="763"/>
      <c r="I656" s="763"/>
      <c r="J656" s="763"/>
      <c r="K656" s="781"/>
      <c r="L656" s="781"/>
      <c r="M656" s="781"/>
      <c r="N656" s="781"/>
      <c r="O656" s="781"/>
      <c r="P656" s="781"/>
      <c r="Q656" s="781"/>
      <c r="R656" s="781"/>
      <c r="S656" s="781"/>
      <c r="T656" s="781"/>
      <c r="U656" s="781"/>
      <c r="V656" s="781"/>
      <c r="W656" s="137"/>
      <c r="X656" s="137"/>
      <c r="Y656" s="137"/>
      <c r="Z656" s="137"/>
    </row>
    <row r="657" ht="15.75" customHeight="1">
      <c r="A657" s="1385"/>
      <c r="B657" s="1385"/>
      <c r="C657" s="234"/>
      <c r="D657" s="815"/>
      <c r="E657" s="1537"/>
      <c r="F657" s="763"/>
      <c r="G657" s="763"/>
      <c r="H657" s="763"/>
      <c r="I657" s="763"/>
      <c r="J657" s="763"/>
      <c r="K657" s="781"/>
      <c r="L657" s="781"/>
      <c r="M657" s="781"/>
      <c r="N657" s="781"/>
      <c r="O657" s="781"/>
      <c r="P657" s="781"/>
      <c r="Q657" s="781"/>
      <c r="R657" s="781"/>
      <c r="S657" s="781"/>
      <c r="T657" s="781"/>
      <c r="U657" s="781"/>
      <c r="V657" s="781"/>
      <c r="W657" s="137"/>
      <c r="X657" s="137"/>
      <c r="Y657" s="137"/>
      <c r="Z657" s="137"/>
    </row>
    <row r="658" ht="15.75" customHeight="1">
      <c r="A658" s="1385"/>
      <c r="B658" s="1385"/>
      <c r="C658" s="234"/>
      <c r="D658" s="815"/>
      <c r="E658" s="1537"/>
      <c r="F658" s="763"/>
      <c r="G658" s="763"/>
      <c r="H658" s="763"/>
      <c r="I658" s="763"/>
      <c r="J658" s="763"/>
      <c r="K658" s="781"/>
      <c r="L658" s="781"/>
      <c r="M658" s="781"/>
      <c r="N658" s="781"/>
      <c r="O658" s="781"/>
      <c r="P658" s="781"/>
      <c r="Q658" s="781"/>
      <c r="R658" s="781"/>
      <c r="S658" s="781"/>
      <c r="T658" s="781"/>
      <c r="U658" s="781"/>
      <c r="V658" s="781"/>
      <c r="W658" s="137"/>
      <c r="X658" s="137"/>
      <c r="Y658" s="137"/>
      <c r="Z658" s="137"/>
    </row>
    <row r="659" ht="15.75" customHeight="1">
      <c r="A659" s="1385"/>
      <c r="B659" s="1385"/>
      <c r="C659" s="234"/>
      <c r="D659" s="815"/>
      <c r="E659" s="1537"/>
      <c r="F659" s="763"/>
      <c r="G659" s="763"/>
      <c r="H659" s="763"/>
      <c r="I659" s="763"/>
      <c r="J659" s="763"/>
      <c r="K659" s="781"/>
      <c r="L659" s="781"/>
      <c r="M659" s="781"/>
      <c r="N659" s="781"/>
      <c r="O659" s="781"/>
      <c r="P659" s="781"/>
      <c r="Q659" s="781"/>
      <c r="R659" s="781"/>
      <c r="S659" s="781"/>
      <c r="T659" s="781"/>
      <c r="U659" s="781"/>
      <c r="V659" s="781"/>
      <c r="W659" s="137"/>
      <c r="X659" s="137"/>
      <c r="Y659" s="137"/>
      <c r="Z659" s="137"/>
    </row>
    <row r="660" ht="15.75" customHeight="1">
      <c r="A660" s="1385"/>
      <c r="B660" s="1385"/>
      <c r="C660" s="234"/>
      <c r="D660" s="815"/>
      <c r="E660" s="1537"/>
      <c r="F660" s="763"/>
      <c r="G660" s="763"/>
      <c r="H660" s="763"/>
      <c r="I660" s="763"/>
      <c r="J660" s="763"/>
      <c r="K660" s="781"/>
      <c r="L660" s="781"/>
      <c r="M660" s="781"/>
      <c r="N660" s="781"/>
      <c r="O660" s="781"/>
      <c r="P660" s="781"/>
      <c r="Q660" s="781"/>
      <c r="R660" s="781"/>
      <c r="S660" s="781"/>
      <c r="T660" s="781"/>
      <c r="U660" s="781"/>
      <c r="V660" s="781"/>
      <c r="W660" s="137"/>
      <c r="X660" s="137"/>
      <c r="Y660" s="137"/>
      <c r="Z660" s="137"/>
    </row>
    <row r="661" ht="15.75" customHeight="1">
      <c r="A661" s="1385"/>
      <c r="B661" s="1385"/>
      <c r="C661" s="234"/>
      <c r="D661" s="815"/>
      <c r="E661" s="1537"/>
      <c r="F661" s="763"/>
      <c r="G661" s="763"/>
      <c r="H661" s="763"/>
      <c r="I661" s="763"/>
      <c r="J661" s="763"/>
      <c r="K661" s="781"/>
      <c r="L661" s="781"/>
      <c r="M661" s="781"/>
      <c r="N661" s="781"/>
      <c r="O661" s="781"/>
      <c r="P661" s="781"/>
      <c r="Q661" s="781"/>
      <c r="R661" s="781"/>
      <c r="S661" s="781"/>
      <c r="T661" s="781"/>
      <c r="U661" s="781"/>
      <c r="V661" s="781"/>
      <c r="W661" s="137"/>
      <c r="X661" s="137"/>
      <c r="Y661" s="137"/>
      <c r="Z661" s="137"/>
    </row>
    <row r="662" ht="15.75" customHeight="1">
      <c r="A662" s="1385"/>
      <c r="B662" s="1385"/>
      <c r="C662" s="234"/>
      <c r="D662" s="815"/>
      <c r="E662" s="1537"/>
      <c r="F662" s="763"/>
      <c r="G662" s="763"/>
      <c r="H662" s="763"/>
      <c r="I662" s="763"/>
      <c r="J662" s="763"/>
      <c r="K662" s="781"/>
      <c r="L662" s="781"/>
      <c r="M662" s="781"/>
      <c r="N662" s="781"/>
      <c r="O662" s="781"/>
      <c r="P662" s="781"/>
      <c r="Q662" s="781"/>
      <c r="R662" s="781"/>
      <c r="S662" s="781"/>
      <c r="T662" s="781"/>
      <c r="U662" s="781"/>
      <c r="V662" s="781"/>
      <c r="W662" s="137"/>
      <c r="X662" s="137"/>
      <c r="Y662" s="137"/>
      <c r="Z662" s="137"/>
    </row>
    <row r="663" ht="15.75" customHeight="1">
      <c r="A663" s="1385"/>
      <c r="B663" s="1385"/>
      <c r="C663" s="234"/>
      <c r="D663" s="815"/>
      <c r="E663" s="1537"/>
      <c r="F663" s="763"/>
      <c r="G663" s="763"/>
      <c r="H663" s="763"/>
      <c r="I663" s="763"/>
      <c r="J663" s="763"/>
      <c r="K663" s="781"/>
      <c r="L663" s="781"/>
      <c r="M663" s="781"/>
      <c r="N663" s="781"/>
      <c r="O663" s="781"/>
      <c r="P663" s="781"/>
      <c r="Q663" s="781"/>
      <c r="R663" s="781"/>
      <c r="S663" s="781"/>
      <c r="T663" s="781"/>
      <c r="U663" s="781"/>
      <c r="V663" s="781"/>
      <c r="W663" s="137"/>
      <c r="X663" s="137"/>
      <c r="Y663" s="137"/>
      <c r="Z663" s="137"/>
    </row>
    <row r="664" ht="15.75" customHeight="1">
      <c r="A664" s="1385"/>
      <c r="B664" s="1385"/>
      <c r="C664" s="234"/>
      <c r="D664" s="815"/>
      <c r="E664" s="1537"/>
      <c r="F664" s="763"/>
      <c r="G664" s="763"/>
      <c r="H664" s="763"/>
      <c r="I664" s="763"/>
      <c r="J664" s="763"/>
      <c r="K664" s="781"/>
      <c r="L664" s="781"/>
      <c r="M664" s="781"/>
      <c r="N664" s="781"/>
      <c r="O664" s="781"/>
      <c r="P664" s="781"/>
      <c r="Q664" s="781"/>
      <c r="R664" s="781"/>
      <c r="S664" s="781"/>
      <c r="T664" s="781"/>
      <c r="U664" s="781"/>
      <c r="V664" s="781"/>
      <c r="W664" s="137"/>
      <c r="X664" s="137"/>
      <c r="Y664" s="137"/>
      <c r="Z664" s="137"/>
    </row>
    <row r="665" ht="15.75" customHeight="1">
      <c r="A665" s="1385"/>
      <c r="B665" s="1385"/>
      <c r="C665" s="234"/>
      <c r="D665" s="815"/>
      <c r="E665" s="1537"/>
      <c r="F665" s="763"/>
      <c r="G665" s="763"/>
      <c r="H665" s="763"/>
      <c r="I665" s="763"/>
      <c r="J665" s="763"/>
      <c r="K665" s="781"/>
      <c r="L665" s="781"/>
      <c r="M665" s="781"/>
      <c r="N665" s="781"/>
      <c r="O665" s="781"/>
      <c r="P665" s="781"/>
      <c r="Q665" s="781"/>
      <c r="R665" s="781"/>
      <c r="S665" s="781"/>
      <c r="T665" s="781"/>
      <c r="U665" s="781"/>
      <c r="V665" s="781"/>
      <c r="W665" s="137"/>
      <c r="X665" s="137"/>
      <c r="Y665" s="137"/>
      <c r="Z665" s="137"/>
    </row>
    <row r="666" ht="15.75" customHeight="1">
      <c r="A666" s="1385"/>
      <c r="B666" s="1385"/>
      <c r="C666" s="234"/>
      <c r="D666" s="815"/>
      <c r="E666" s="1537"/>
      <c r="F666" s="763"/>
      <c r="G666" s="763"/>
      <c r="H666" s="763"/>
      <c r="I666" s="763"/>
      <c r="J666" s="763"/>
      <c r="K666" s="781"/>
      <c r="L666" s="781"/>
      <c r="M666" s="781"/>
      <c r="N666" s="781"/>
      <c r="O666" s="781"/>
      <c r="P666" s="781"/>
      <c r="Q666" s="781"/>
      <c r="R666" s="781"/>
      <c r="S666" s="781"/>
      <c r="T666" s="781"/>
      <c r="U666" s="781"/>
      <c r="V666" s="781"/>
      <c r="W666" s="137"/>
      <c r="X666" s="137"/>
      <c r="Y666" s="137"/>
      <c r="Z666" s="137"/>
    </row>
    <row r="667" ht="15.75" customHeight="1">
      <c r="A667" s="1385"/>
      <c r="B667" s="1385"/>
      <c r="C667" s="234"/>
      <c r="D667" s="815"/>
      <c r="E667" s="1537"/>
      <c r="F667" s="763"/>
      <c r="G667" s="763"/>
      <c r="H667" s="763"/>
      <c r="I667" s="763"/>
      <c r="J667" s="763"/>
      <c r="K667" s="781"/>
      <c r="L667" s="781"/>
      <c r="M667" s="781"/>
      <c r="N667" s="781"/>
      <c r="O667" s="781"/>
      <c r="P667" s="781"/>
      <c r="Q667" s="781"/>
      <c r="R667" s="781"/>
      <c r="S667" s="781"/>
      <c r="T667" s="781"/>
      <c r="U667" s="781"/>
      <c r="V667" s="781"/>
      <c r="W667" s="137"/>
      <c r="X667" s="137"/>
      <c r="Y667" s="137"/>
      <c r="Z667" s="137"/>
    </row>
    <row r="668" ht="15.75" customHeight="1">
      <c r="A668" s="1385"/>
      <c r="B668" s="1385"/>
      <c r="C668" s="234"/>
      <c r="D668" s="815"/>
      <c r="E668" s="1537"/>
      <c r="F668" s="763"/>
      <c r="G668" s="763"/>
      <c r="H668" s="763"/>
      <c r="I668" s="763"/>
      <c r="J668" s="763"/>
      <c r="K668" s="781"/>
      <c r="L668" s="781"/>
      <c r="M668" s="781"/>
      <c r="N668" s="781"/>
      <c r="O668" s="781"/>
      <c r="P668" s="781"/>
      <c r="Q668" s="781"/>
      <c r="R668" s="781"/>
      <c r="S668" s="781"/>
      <c r="T668" s="781"/>
      <c r="U668" s="781"/>
      <c r="V668" s="781"/>
      <c r="W668" s="137"/>
      <c r="X668" s="137"/>
      <c r="Y668" s="137"/>
      <c r="Z668" s="137"/>
    </row>
    <row r="669" ht="15.75" customHeight="1">
      <c r="A669" s="1385"/>
      <c r="B669" s="1385"/>
      <c r="C669" s="234"/>
      <c r="D669" s="815"/>
      <c r="E669" s="1537"/>
      <c r="F669" s="763"/>
      <c r="G669" s="763"/>
      <c r="H669" s="763"/>
      <c r="I669" s="763"/>
      <c r="J669" s="763"/>
      <c r="K669" s="781"/>
      <c r="L669" s="781"/>
      <c r="M669" s="781"/>
      <c r="N669" s="781"/>
      <c r="O669" s="781"/>
      <c r="P669" s="781"/>
      <c r="Q669" s="781"/>
      <c r="R669" s="781"/>
      <c r="S669" s="781"/>
      <c r="T669" s="781"/>
      <c r="U669" s="781"/>
      <c r="V669" s="781"/>
      <c r="W669" s="137"/>
      <c r="X669" s="137"/>
      <c r="Y669" s="137"/>
      <c r="Z669" s="137"/>
    </row>
    <row r="670" ht="15.75" customHeight="1">
      <c r="A670" s="1385"/>
      <c r="B670" s="1385"/>
      <c r="C670" s="234"/>
      <c r="D670" s="815"/>
      <c r="E670" s="1537"/>
      <c r="F670" s="763"/>
      <c r="G670" s="763"/>
      <c r="H670" s="763"/>
      <c r="I670" s="763"/>
      <c r="J670" s="763"/>
      <c r="K670" s="781"/>
      <c r="L670" s="781"/>
      <c r="M670" s="781"/>
      <c r="N670" s="781"/>
      <c r="O670" s="781"/>
      <c r="P670" s="781"/>
      <c r="Q670" s="781"/>
      <c r="R670" s="781"/>
      <c r="S670" s="781"/>
      <c r="T670" s="781"/>
      <c r="U670" s="781"/>
      <c r="V670" s="781"/>
      <c r="W670" s="137"/>
      <c r="X670" s="137"/>
      <c r="Y670" s="137"/>
      <c r="Z670" s="137"/>
    </row>
    <row r="671" ht="15.75" customHeight="1">
      <c r="A671" s="1385"/>
      <c r="B671" s="1385"/>
      <c r="C671" s="234"/>
      <c r="D671" s="815"/>
      <c r="E671" s="1537"/>
      <c r="F671" s="763"/>
      <c r="G671" s="763"/>
      <c r="H671" s="763"/>
      <c r="I671" s="763"/>
      <c r="J671" s="763"/>
      <c r="K671" s="781"/>
      <c r="L671" s="781"/>
      <c r="M671" s="781"/>
      <c r="N671" s="781"/>
      <c r="O671" s="781"/>
      <c r="P671" s="781"/>
      <c r="Q671" s="781"/>
      <c r="R671" s="781"/>
      <c r="S671" s="781"/>
      <c r="T671" s="781"/>
      <c r="U671" s="781"/>
      <c r="V671" s="781"/>
      <c r="W671" s="137"/>
      <c r="X671" s="137"/>
      <c r="Y671" s="137"/>
      <c r="Z671" s="137"/>
    </row>
    <row r="672" ht="15.75" customHeight="1">
      <c r="A672" s="1385"/>
      <c r="B672" s="1385"/>
      <c r="C672" s="234"/>
      <c r="D672" s="815"/>
      <c r="E672" s="1537"/>
      <c r="F672" s="763"/>
      <c r="G672" s="763"/>
      <c r="H672" s="763"/>
      <c r="I672" s="763"/>
      <c r="J672" s="763"/>
      <c r="K672" s="781"/>
      <c r="L672" s="781"/>
      <c r="M672" s="781"/>
      <c r="N672" s="781"/>
      <c r="O672" s="781"/>
      <c r="P672" s="781"/>
      <c r="Q672" s="781"/>
      <c r="R672" s="781"/>
      <c r="S672" s="781"/>
      <c r="T672" s="781"/>
      <c r="U672" s="781"/>
      <c r="V672" s="781"/>
      <c r="W672" s="137"/>
      <c r="X672" s="137"/>
      <c r="Y672" s="137"/>
      <c r="Z672" s="137"/>
    </row>
    <row r="673" ht="15.75" customHeight="1">
      <c r="A673" s="1385"/>
      <c r="B673" s="1385"/>
      <c r="C673" s="234"/>
      <c r="D673" s="815"/>
      <c r="E673" s="1537"/>
      <c r="F673" s="763"/>
      <c r="G673" s="763"/>
      <c r="H673" s="763"/>
      <c r="I673" s="763"/>
      <c r="J673" s="763"/>
      <c r="K673" s="781"/>
      <c r="L673" s="781"/>
      <c r="M673" s="781"/>
      <c r="N673" s="781"/>
      <c r="O673" s="781"/>
      <c r="P673" s="781"/>
      <c r="Q673" s="781"/>
      <c r="R673" s="781"/>
      <c r="S673" s="781"/>
      <c r="T673" s="781"/>
      <c r="U673" s="781"/>
      <c r="V673" s="781"/>
      <c r="W673" s="137"/>
      <c r="X673" s="137"/>
      <c r="Y673" s="137"/>
      <c r="Z673" s="137"/>
    </row>
    <row r="674" ht="15.75" customHeight="1">
      <c r="A674" s="1385"/>
      <c r="B674" s="1385"/>
      <c r="C674" s="234"/>
      <c r="D674" s="815"/>
      <c r="E674" s="1537"/>
      <c r="F674" s="763"/>
      <c r="G674" s="763"/>
      <c r="H674" s="763"/>
      <c r="I674" s="763"/>
      <c r="J674" s="763"/>
      <c r="K674" s="781"/>
      <c r="L674" s="781"/>
      <c r="M674" s="781"/>
      <c r="N674" s="781"/>
      <c r="O674" s="781"/>
      <c r="P674" s="781"/>
      <c r="Q674" s="781"/>
      <c r="R674" s="781"/>
      <c r="S674" s="781"/>
      <c r="T674" s="781"/>
      <c r="U674" s="781"/>
      <c r="V674" s="781"/>
      <c r="W674" s="137"/>
      <c r="X674" s="137"/>
      <c r="Y674" s="137"/>
      <c r="Z674" s="137"/>
    </row>
    <row r="675" ht="15.75" customHeight="1">
      <c r="A675" s="1385"/>
      <c r="B675" s="1385"/>
      <c r="C675" s="234"/>
      <c r="D675" s="815"/>
      <c r="E675" s="1537"/>
      <c r="F675" s="763"/>
      <c r="G675" s="763"/>
      <c r="H675" s="763"/>
      <c r="I675" s="763"/>
      <c r="J675" s="763"/>
      <c r="K675" s="781"/>
      <c r="L675" s="781"/>
      <c r="M675" s="781"/>
      <c r="N675" s="781"/>
      <c r="O675" s="781"/>
      <c r="P675" s="781"/>
      <c r="Q675" s="781"/>
      <c r="R675" s="781"/>
      <c r="S675" s="781"/>
      <c r="T675" s="781"/>
      <c r="U675" s="781"/>
      <c r="V675" s="781"/>
      <c r="W675" s="137"/>
      <c r="X675" s="137"/>
      <c r="Y675" s="137"/>
      <c r="Z675" s="137"/>
    </row>
    <row r="676" ht="15.75" customHeight="1">
      <c r="A676" s="1385"/>
      <c r="B676" s="1385"/>
      <c r="C676" s="234"/>
      <c r="D676" s="815"/>
      <c r="E676" s="1537"/>
      <c r="F676" s="763"/>
      <c r="G676" s="763"/>
      <c r="H676" s="763"/>
      <c r="I676" s="763"/>
      <c r="J676" s="763"/>
      <c r="K676" s="781"/>
      <c r="L676" s="781"/>
      <c r="M676" s="781"/>
      <c r="N676" s="781"/>
      <c r="O676" s="781"/>
      <c r="P676" s="781"/>
      <c r="Q676" s="781"/>
      <c r="R676" s="781"/>
      <c r="S676" s="781"/>
      <c r="T676" s="781"/>
      <c r="U676" s="781"/>
      <c r="V676" s="781"/>
      <c r="W676" s="137"/>
      <c r="X676" s="137"/>
      <c r="Y676" s="137"/>
      <c r="Z676" s="137"/>
    </row>
    <row r="677" ht="15.75" customHeight="1">
      <c r="A677" s="1385"/>
      <c r="B677" s="1385"/>
      <c r="C677" s="234"/>
      <c r="D677" s="815"/>
      <c r="E677" s="1537"/>
      <c r="F677" s="763"/>
      <c r="G677" s="763"/>
      <c r="H677" s="763"/>
      <c r="I677" s="763"/>
      <c r="J677" s="763"/>
      <c r="K677" s="781"/>
      <c r="L677" s="781"/>
      <c r="M677" s="781"/>
      <c r="N677" s="781"/>
      <c r="O677" s="781"/>
      <c r="P677" s="781"/>
      <c r="Q677" s="781"/>
      <c r="R677" s="781"/>
      <c r="S677" s="781"/>
      <c r="T677" s="781"/>
      <c r="U677" s="781"/>
      <c r="V677" s="781"/>
      <c r="W677" s="137"/>
      <c r="X677" s="137"/>
      <c r="Y677" s="137"/>
      <c r="Z677" s="137"/>
    </row>
    <row r="678" ht="15.75" customHeight="1">
      <c r="A678" s="1385"/>
      <c r="B678" s="1385"/>
      <c r="C678" s="234"/>
      <c r="D678" s="815"/>
      <c r="E678" s="1537"/>
      <c r="F678" s="763"/>
      <c r="G678" s="763"/>
      <c r="H678" s="763"/>
      <c r="I678" s="763"/>
      <c r="J678" s="763"/>
      <c r="K678" s="781"/>
      <c r="L678" s="781"/>
      <c r="M678" s="781"/>
      <c r="N678" s="781"/>
      <c r="O678" s="781"/>
      <c r="P678" s="781"/>
      <c r="Q678" s="781"/>
      <c r="R678" s="781"/>
      <c r="S678" s="781"/>
      <c r="T678" s="781"/>
      <c r="U678" s="781"/>
      <c r="V678" s="781"/>
      <c r="W678" s="137"/>
      <c r="X678" s="137"/>
      <c r="Y678" s="137"/>
      <c r="Z678" s="137"/>
    </row>
    <row r="679" ht="15.75" customHeight="1">
      <c r="A679" s="1385"/>
      <c r="B679" s="1385"/>
      <c r="C679" s="234"/>
      <c r="D679" s="815"/>
      <c r="E679" s="1537"/>
      <c r="F679" s="763"/>
      <c r="G679" s="763"/>
      <c r="H679" s="763"/>
      <c r="I679" s="763"/>
      <c r="J679" s="763"/>
      <c r="K679" s="781"/>
      <c r="L679" s="781"/>
      <c r="M679" s="781"/>
      <c r="N679" s="781"/>
      <c r="O679" s="781"/>
      <c r="P679" s="781"/>
      <c r="Q679" s="781"/>
      <c r="R679" s="781"/>
      <c r="S679" s="781"/>
      <c r="T679" s="781"/>
      <c r="U679" s="781"/>
      <c r="V679" s="781"/>
      <c r="W679" s="137"/>
      <c r="X679" s="137"/>
      <c r="Y679" s="137"/>
      <c r="Z679" s="137"/>
    </row>
    <row r="680" ht="15.75" customHeight="1">
      <c r="A680" s="1385"/>
      <c r="B680" s="1385"/>
      <c r="C680" s="234"/>
      <c r="D680" s="815"/>
      <c r="E680" s="1537"/>
      <c r="F680" s="763"/>
      <c r="G680" s="763"/>
      <c r="H680" s="763"/>
      <c r="I680" s="763"/>
      <c r="J680" s="763"/>
      <c r="K680" s="781"/>
      <c r="L680" s="781"/>
      <c r="M680" s="781"/>
      <c r="N680" s="781"/>
      <c r="O680" s="781"/>
      <c r="P680" s="781"/>
      <c r="Q680" s="781"/>
      <c r="R680" s="781"/>
      <c r="S680" s="781"/>
      <c r="T680" s="781"/>
      <c r="U680" s="781"/>
      <c r="V680" s="781"/>
      <c r="W680" s="137"/>
      <c r="X680" s="137"/>
      <c r="Y680" s="137"/>
      <c r="Z680" s="137"/>
    </row>
    <row r="681" ht="15.75" customHeight="1">
      <c r="A681" s="1385"/>
      <c r="B681" s="1385"/>
      <c r="C681" s="234"/>
      <c r="D681" s="815"/>
      <c r="E681" s="1537"/>
      <c r="F681" s="763"/>
      <c r="G681" s="763"/>
      <c r="H681" s="763"/>
      <c r="I681" s="763"/>
      <c r="J681" s="763"/>
      <c r="K681" s="781"/>
      <c r="L681" s="781"/>
      <c r="M681" s="781"/>
      <c r="N681" s="781"/>
      <c r="O681" s="781"/>
      <c r="P681" s="781"/>
      <c r="Q681" s="781"/>
      <c r="R681" s="781"/>
      <c r="S681" s="781"/>
      <c r="T681" s="781"/>
      <c r="U681" s="781"/>
      <c r="V681" s="781"/>
      <c r="W681" s="137"/>
      <c r="X681" s="137"/>
      <c r="Y681" s="137"/>
      <c r="Z681" s="137"/>
    </row>
    <row r="682" ht="15.75" customHeight="1">
      <c r="A682" s="1385"/>
      <c r="B682" s="1385"/>
      <c r="C682" s="234"/>
      <c r="D682" s="815"/>
      <c r="E682" s="1537"/>
      <c r="F682" s="763"/>
      <c r="G682" s="763"/>
      <c r="H682" s="763"/>
      <c r="I682" s="763"/>
      <c r="J682" s="763"/>
      <c r="K682" s="781"/>
      <c r="L682" s="781"/>
      <c r="M682" s="781"/>
      <c r="N682" s="781"/>
      <c r="O682" s="781"/>
      <c r="P682" s="781"/>
      <c r="Q682" s="781"/>
      <c r="R682" s="781"/>
      <c r="S682" s="781"/>
      <c r="T682" s="781"/>
      <c r="U682" s="781"/>
      <c r="V682" s="781"/>
      <c r="W682" s="137"/>
      <c r="X682" s="137"/>
      <c r="Y682" s="137"/>
      <c r="Z682" s="137"/>
    </row>
    <row r="683" ht="15.75" customHeight="1">
      <c r="A683" s="1385"/>
      <c r="B683" s="1385"/>
      <c r="C683" s="234"/>
      <c r="D683" s="815"/>
      <c r="E683" s="1537"/>
      <c r="F683" s="763"/>
      <c r="G683" s="763"/>
      <c r="H683" s="763"/>
      <c r="I683" s="763"/>
      <c r="J683" s="763"/>
      <c r="K683" s="781"/>
      <c r="L683" s="781"/>
      <c r="M683" s="781"/>
      <c r="N683" s="781"/>
      <c r="O683" s="781"/>
      <c r="P683" s="781"/>
      <c r="Q683" s="781"/>
      <c r="R683" s="781"/>
      <c r="S683" s="781"/>
      <c r="T683" s="781"/>
      <c r="U683" s="781"/>
      <c r="V683" s="781"/>
      <c r="W683" s="137"/>
      <c r="X683" s="137"/>
      <c r="Y683" s="137"/>
      <c r="Z683" s="137"/>
    </row>
    <row r="684" ht="15.75" customHeight="1">
      <c r="A684" s="1385"/>
      <c r="B684" s="1385"/>
      <c r="C684" s="234"/>
      <c r="D684" s="815"/>
      <c r="E684" s="1537"/>
      <c r="F684" s="763"/>
      <c r="G684" s="763"/>
      <c r="H684" s="763"/>
      <c r="I684" s="763"/>
      <c r="J684" s="763"/>
      <c r="K684" s="781"/>
      <c r="L684" s="781"/>
      <c r="M684" s="781"/>
      <c r="N684" s="781"/>
      <c r="O684" s="781"/>
      <c r="P684" s="781"/>
      <c r="Q684" s="781"/>
      <c r="R684" s="781"/>
      <c r="S684" s="781"/>
      <c r="T684" s="781"/>
      <c r="U684" s="781"/>
      <c r="V684" s="781"/>
      <c r="W684" s="137"/>
      <c r="X684" s="137"/>
      <c r="Y684" s="137"/>
      <c r="Z684" s="137"/>
    </row>
    <row r="685" ht="15.75" customHeight="1">
      <c r="A685" s="1385"/>
      <c r="B685" s="1385"/>
      <c r="C685" s="234"/>
      <c r="D685" s="815"/>
      <c r="E685" s="1537"/>
      <c r="F685" s="763"/>
      <c r="G685" s="763"/>
      <c r="H685" s="763"/>
      <c r="I685" s="763"/>
      <c r="J685" s="763"/>
      <c r="K685" s="781"/>
      <c r="L685" s="781"/>
      <c r="M685" s="781"/>
      <c r="N685" s="781"/>
      <c r="O685" s="781"/>
      <c r="P685" s="781"/>
      <c r="Q685" s="781"/>
      <c r="R685" s="781"/>
      <c r="S685" s="781"/>
      <c r="T685" s="781"/>
      <c r="U685" s="781"/>
      <c r="V685" s="781"/>
      <c r="W685" s="137"/>
      <c r="X685" s="137"/>
      <c r="Y685" s="137"/>
      <c r="Z685" s="137"/>
    </row>
    <row r="686" ht="15.75" customHeight="1">
      <c r="A686" s="1385"/>
      <c r="B686" s="1385"/>
      <c r="C686" s="234"/>
      <c r="D686" s="815"/>
      <c r="E686" s="1537"/>
      <c r="F686" s="763"/>
      <c r="G686" s="763"/>
      <c r="H686" s="763"/>
      <c r="I686" s="763"/>
      <c r="J686" s="763"/>
      <c r="K686" s="781"/>
      <c r="L686" s="781"/>
      <c r="M686" s="781"/>
      <c r="N686" s="781"/>
      <c r="O686" s="781"/>
      <c r="P686" s="781"/>
      <c r="Q686" s="781"/>
      <c r="R686" s="781"/>
      <c r="S686" s="781"/>
      <c r="T686" s="781"/>
      <c r="U686" s="781"/>
      <c r="V686" s="781"/>
      <c r="W686" s="137"/>
      <c r="X686" s="137"/>
      <c r="Y686" s="137"/>
      <c r="Z686" s="137"/>
    </row>
    <row r="687" ht="15.75" customHeight="1">
      <c r="A687" s="1385"/>
      <c r="B687" s="1385"/>
      <c r="C687" s="234"/>
      <c r="D687" s="815"/>
      <c r="E687" s="1537"/>
      <c r="F687" s="763"/>
      <c r="G687" s="763"/>
      <c r="H687" s="763"/>
      <c r="I687" s="763"/>
      <c r="J687" s="763"/>
      <c r="K687" s="781"/>
      <c r="L687" s="781"/>
      <c r="M687" s="781"/>
      <c r="N687" s="781"/>
      <c r="O687" s="781"/>
      <c r="P687" s="781"/>
      <c r="Q687" s="781"/>
      <c r="R687" s="781"/>
      <c r="S687" s="781"/>
      <c r="T687" s="781"/>
      <c r="U687" s="781"/>
      <c r="V687" s="781"/>
      <c r="W687" s="137"/>
      <c r="X687" s="137"/>
      <c r="Y687" s="137"/>
      <c r="Z687" s="137"/>
    </row>
    <row r="688" ht="15.75" customHeight="1">
      <c r="A688" s="1385"/>
      <c r="B688" s="1385"/>
      <c r="C688" s="234"/>
      <c r="D688" s="815"/>
      <c r="E688" s="1537"/>
      <c r="F688" s="763"/>
      <c r="G688" s="763"/>
      <c r="H688" s="763"/>
      <c r="I688" s="763"/>
      <c r="J688" s="763"/>
      <c r="K688" s="781"/>
      <c r="L688" s="781"/>
      <c r="M688" s="781"/>
      <c r="N688" s="781"/>
      <c r="O688" s="781"/>
      <c r="P688" s="781"/>
      <c r="Q688" s="781"/>
      <c r="R688" s="781"/>
      <c r="S688" s="781"/>
      <c r="T688" s="781"/>
      <c r="U688" s="781"/>
      <c r="V688" s="781"/>
      <c r="W688" s="137"/>
      <c r="X688" s="137"/>
      <c r="Y688" s="137"/>
      <c r="Z688" s="137"/>
    </row>
    <row r="689" ht="15.75" customHeight="1">
      <c r="A689" s="1385"/>
      <c r="B689" s="1385"/>
      <c r="C689" s="234"/>
      <c r="D689" s="815"/>
      <c r="E689" s="1537"/>
      <c r="F689" s="763"/>
      <c r="G689" s="763"/>
      <c r="H689" s="763"/>
      <c r="I689" s="763"/>
      <c r="J689" s="763"/>
      <c r="K689" s="781"/>
      <c r="L689" s="781"/>
      <c r="M689" s="781"/>
      <c r="N689" s="781"/>
      <c r="O689" s="781"/>
      <c r="P689" s="781"/>
      <c r="Q689" s="781"/>
      <c r="R689" s="781"/>
      <c r="S689" s="781"/>
      <c r="T689" s="781"/>
      <c r="U689" s="781"/>
      <c r="V689" s="781"/>
      <c r="W689" s="137"/>
      <c r="X689" s="137"/>
      <c r="Y689" s="137"/>
      <c r="Z689" s="137"/>
    </row>
    <row r="690" ht="15.75" customHeight="1">
      <c r="A690" s="1385"/>
      <c r="B690" s="1385"/>
      <c r="C690" s="234"/>
      <c r="D690" s="815"/>
      <c r="E690" s="1537"/>
      <c r="F690" s="763"/>
      <c r="G690" s="763"/>
      <c r="H690" s="763"/>
      <c r="I690" s="763"/>
      <c r="J690" s="763"/>
      <c r="K690" s="781"/>
      <c r="L690" s="781"/>
      <c r="M690" s="781"/>
      <c r="N690" s="781"/>
      <c r="O690" s="781"/>
      <c r="P690" s="781"/>
      <c r="Q690" s="781"/>
      <c r="R690" s="781"/>
      <c r="S690" s="781"/>
      <c r="T690" s="781"/>
      <c r="U690" s="781"/>
      <c r="V690" s="781"/>
      <c r="W690" s="137"/>
      <c r="X690" s="137"/>
      <c r="Y690" s="137"/>
      <c r="Z690" s="137"/>
    </row>
    <row r="691" ht="15.75" customHeight="1">
      <c r="A691" s="1385"/>
      <c r="B691" s="1385"/>
      <c r="C691" s="234"/>
      <c r="D691" s="815"/>
      <c r="E691" s="1537"/>
      <c r="F691" s="763"/>
      <c r="G691" s="763"/>
      <c r="H691" s="763"/>
      <c r="I691" s="763"/>
      <c r="J691" s="763"/>
      <c r="K691" s="781"/>
      <c r="L691" s="781"/>
      <c r="M691" s="781"/>
      <c r="N691" s="781"/>
      <c r="O691" s="781"/>
      <c r="P691" s="781"/>
      <c r="Q691" s="781"/>
      <c r="R691" s="781"/>
      <c r="S691" s="781"/>
      <c r="T691" s="781"/>
      <c r="U691" s="781"/>
      <c r="V691" s="781"/>
      <c r="W691" s="137"/>
      <c r="X691" s="137"/>
      <c r="Y691" s="137"/>
      <c r="Z691" s="137"/>
    </row>
    <row r="692" ht="15.75" customHeight="1">
      <c r="A692" s="1385"/>
      <c r="B692" s="1385"/>
      <c r="C692" s="234"/>
      <c r="D692" s="815"/>
      <c r="E692" s="1537"/>
      <c r="F692" s="763"/>
      <c r="G692" s="763"/>
      <c r="H692" s="763"/>
      <c r="I692" s="763"/>
      <c r="J692" s="763"/>
      <c r="K692" s="781"/>
      <c r="L692" s="781"/>
      <c r="M692" s="781"/>
      <c r="N692" s="781"/>
      <c r="O692" s="781"/>
      <c r="P692" s="781"/>
      <c r="Q692" s="781"/>
      <c r="R692" s="781"/>
      <c r="S692" s="781"/>
      <c r="T692" s="781"/>
      <c r="U692" s="781"/>
      <c r="V692" s="781"/>
      <c r="W692" s="137"/>
      <c r="X692" s="137"/>
      <c r="Y692" s="137"/>
      <c r="Z692" s="137"/>
    </row>
    <row r="693" ht="15.75" customHeight="1">
      <c r="A693" s="1385"/>
      <c r="B693" s="1385"/>
      <c r="C693" s="234"/>
      <c r="D693" s="815"/>
      <c r="E693" s="1537"/>
      <c r="F693" s="763"/>
      <c r="G693" s="763"/>
      <c r="H693" s="763"/>
      <c r="I693" s="763"/>
      <c r="J693" s="763"/>
      <c r="K693" s="781"/>
      <c r="L693" s="781"/>
      <c r="M693" s="781"/>
      <c r="N693" s="781"/>
      <c r="O693" s="781"/>
      <c r="P693" s="781"/>
      <c r="Q693" s="781"/>
      <c r="R693" s="781"/>
      <c r="S693" s="781"/>
      <c r="T693" s="781"/>
      <c r="U693" s="781"/>
      <c r="V693" s="781"/>
      <c r="W693" s="137"/>
      <c r="X693" s="137"/>
      <c r="Y693" s="137"/>
      <c r="Z693" s="137"/>
    </row>
    <row r="694" ht="15.75" customHeight="1">
      <c r="A694" s="1385"/>
      <c r="B694" s="1385"/>
      <c r="C694" s="234"/>
      <c r="D694" s="815"/>
      <c r="E694" s="1537"/>
      <c r="F694" s="763"/>
      <c r="G694" s="763"/>
      <c r="H694" s="763"/>
      <c r="I694" s="763"/>
      <c r="J694" s="763"/>
      <c r="K694" s="781"/>
      <c r="L694" s="781"/>
      <c r="M694" s="781"/>
      <c r="N694" s="781"/>
      <c r="O694" s="781"/>
      <c r="P694" s="781"/>
      <c r="Q694" s="781"/>
      <c r="R694" s="781"/>
      <c r="S694" s="781"/>
      <c r="T694" s="781"/>
      <c r="U694" s="781"/>
      <c r="V694" s="781"/>
      <c r="W694" s="137"/>
      <c r="X694" s="137"/>
      <c r="Y694" s="137"/>
      <c r="Z694" s="137"/>
    </row>
    <row r="695" ht="15.75" customHeight="1">
      <c r="A695" s="1385"/>
      <c r="B695" s="1385"/>
      <c r="C695" s="234"/>
      <c r="D695" s="815"/>
      <c r="E695" s="1537"/>
      <c r="F695" s="763"/>
      <c r="G695" s="763"/>
      <c r="H695" s="763"/>
      <c r="I695" s="763"/>
      <c r="J695" s="763"/>
      <c r="K695" s="781"/>
      <c r="L695" s="781"/>
      <c r="M695" s="781"/>
      <c r="N695" s="781"/>
      <c r="O695" s="781"/>
      <c r="P695" s="781"/>
      <c r="Q695" s="781"/>
      <c r="R695" s="781"/>
      <c r="S695" s="781"/>
      <c r="T695" s="781"/>
      <c r="U695" s="781"/>
      <c r="V695" s="781"/>
      <c r="W695" s="137"/>
      <c r="X695" s="137"/>
      <c r="Y695" s="137"/>
      <c r="Z695" s="137"/>
    </row>
    <row r="696" ht="15.75" customHeight="1">
      <c r="A696" s="1385"/>
      <c r="B696" s="1385"/>
      <c r="C696" s="234"/>
      <c r="D696" s="815"/>
      <c r="E696" s="1537"/>
      <c r="F696" s="763"/>
      <c r="G696" s="763"/>
      <c r="H696" s="763"/>
      <c r="I696" s="763"/>
      <c r="J696" s="763"/>
      <c r="K696" s="781"/>
      <c r="L696" s="781"/>
      <c r="M696" s="781"/>
      <c r="N696" s="781"/>
      <c r="O696" s="781"/>
      <c r="P696" s="781"/>
      <c r="Q696" s="781"/>
      <c r="R696" s="781"/>
      <c r="S696" s="781"/>
      <c r="T696" s="781"/>
      <c r="U696" s="781"/>
      <c r="V696" s="781"/>
      <c r="W696" s="137"/>
      <c r="X696" s="137"/>
      <c r="Y696" s="137"/>
      <c r="Z696" s="137"/>
    </row>
    <row r="697" ht="15.75" customHeight="1">
      <c r="A697" s="1385"/>
      <c r="B697" s="1385"/>
      <c r="C697" s="234"/>
      <c r="D697" s="815"/>
      <c r="E697" s="1537"/>
      <c r="F697" s="763"/>
      <c r="G697" s="763"/>
      <c r="H697" s="763"/>
      <c r="I697" s="763"/>
      <c r="J697" s="763"/>
      <c r="K697" s="781"/>
      <c r="L697" s="781"/>
      <c r="M697" s="781"/>
      <c r="N697" s="781"/>
      <c r="O697" s="781"/>
      <c r="P697" s="781"/>
      <c r="Q697" s="781"/>
      <c r="R697" s="781"/>
      <c r="S697" s="781"/>
      <c r="T697" s="781"/>
      <c r="U697" s="781"/>
      <c r="V697" s="781"/>
      <c r="W697" s="137"/>
      <c r="X697" s="137"/>
      <c r="Y697" s="137"/>
      <c r="Z697" s="137"/>
    </row>
    <row r="698" ht="15.75" customHeight="1">
      <c r="A698" s="1385"/>
      <c r="B698" s="1385"/>
      <c r="C698" s="234"/>
      <c r="D698" s="815"/>
      <c r="E698" s="1537"/>
      <c r="F698" s="763"/>
      <c r="G698" s="763"/>
      <c r="H698" s="763"/>
      <c r="I698" s="763"/>
      <c r="J698" s="763"/>
      <c r="K698" s="781"/>
      <c r="L698" s="781"/>
      <c r="M698" s="781"/>
      <c r="N698" s="781"/>
      <c r="O698" s="781"/>
      <c r="P698" s="781"/>
      <c r="Q698" s="781"/>
      <c r="R698" s="781"/>
      <c r="S698" s="781"/>
      <c r="T698" s="781"/>
      <c r="U698" s="781"/>
      <c r="V698" s="781"/>
      <c r="W698" s="137"/>
      <c r="X698" s="137"/>
      <c r="Y698" s="137"/>
      <c r="Z698" s="137"/>
    </row>
    <row r="699" ht="15.75" customHeight="1">
      <c r="A699" s="1385"/>
      <c r="B699" s="1385"/>
      <c r="C699" s="234"/>
      <c r="D699" s="815"/>
      <c r="E699" s="1537"/>
      <c r="F699" s="763"/>
      <c r="G699" s="763"/>
      <c r="H699" s="763"/>
      <c r="I699" s="763"/>
      <c r="J699" s="763"/>
      <c r="K699" s="781"/>
      <c r="L699" s="781"/>
      <c r="M699" s="781"/>
      <c r="N699" s="781"/>
      <c r="O699" s="781"/>
      <c r="P699" s="781"/>
      <c r="Q699" s="781"/>
      <c r="R699" s="781"/>
      <c r="S699" s="781"/>
      <c r="T699" s="781"/>
      <c r="U699" s="781"/>
      <c r="V699" s="781"/>
      <c r="W699" s="137"/>
      <c r="X699" s="137"/>
      <c r="Y699" s="137"/>
      <c r="Z699" s="137"/>
    </row>
    <row r="700" ht="15.75" customHeight="1">
      <c r="A700" s="1385"/>
      <c r="B700" s="1385"/>
      <c r="C700" s="234"/>
      <c r="D700" s="815"/>
      <c r="E700" s="1537"/>
      <c r="F700" s="763"/>
      <c r="G700" s="763"/>
      <c r="H700" s="763"/>
      <c r="I700" s="763"/>
      <c r="J700" s="763"/>
      <c r="K700" s="781"/>
      <c r="L700" s="781"/>
      <c r="M700" s="781"/>
      <c r="N700" s="781"/>
      <c r="O700" s="781"/>
      <c r="P700" s="781"/>
      <c r="Q700" s="781"/>
      <c r="R700" s="781"/>
      <c r="S700" s="781"/>
      <c r="T700" s="781"/>
      <c r="U700" s="781"/>
      <c r="V700" s="781"/>
      <c r="W700" s="137"/>
      <c r="X700" s="137"/>
      <c r="Y700" s="137"/>
      <c r="Z700" s="137"/>
    </row>
    <row r="701" ht="15.75" customHeight="1">
      <c r="A701" s="1385"/>
      <c r="B701" s="1385"/>
      <c r="C701" s="234"/>
      <c r="D701" s="815"/>
      <c r="E701" s="1537"/>
      <c r="F701" s="763"/>
      <c r="G701" s="763"/>
      <c r="H701" s="763"/>
      <c r="I701" s="763"/>
      <c r="J701" s="763"/>
      <c r="K701" s="781"/>
      <c r="L701" s="781"/>
      <c r="M701" s="781"/>
      <c r="N701" s="781"/>
      <c r="O701" s="781"/>
      <c r="P701" s="781"/>
      <c r="Q701" s="781"/>
      <c r="R701" s="781"/>
      <c r="S701" s="781"/>
      <c r="T701" s="781"/>
      <c r="U701" s="781"/>
      <c r="V701" s="781"/>
      <c r="W701" s="137"/>
      <c r="X701" s="137"/>
      <c r="Y701" s="137"/>
      <c r="Z701" s="137"/>
    </row>
    <row r="702" ht="15.75" customHeight="1">
      <c r="A702" s="1385"/>
      <c r="B702" s="1385"/>
      <c r="C702" s="234"/>
      <c r="D702" s="815"/>
      <c r="E702" s="1537"/>
      <c r="F702" s="763"/>
      <c r="G702" s="763"/>
      <c r="H702" s="763"/>
      <c r="I702" s="763"/>
      <c r="J702" s="763"/>
      <c r="K702" s="781"/>
      <c r="L702" s="781"/>
      <c r="M702" s="781"/>
      <c r="N702" s="781"/>
      <c r="O702" s="781"/>
      <c r="P702" s="781"/>
      <c r="Q702" s="781"/>
      <c r="R702" s="781"/>
      <c r="S702" s="781"/>
      <c r="T702" s="781"/>
      <c r="U702" s="781"/>
      <c r="V702" s="781"/>
      <c r="W702" s="137"/>
      <c r="X702" s="137"/>
      <c r="Y702" s="137"/>
      <c r="Z702" s="137"/>
    </row>
    <row r="703" ht="15.75" customHeight="1">
      <c r="A703" s="1385"/>
      <c r="B703" s="1385"/>
      <c r="C703" s="234"/>
      <c r="D703" s="815"/>
      <c r="E703" s="1537"/>
      <c r="F703" s="763"/>
      <c r="G703" s="763"/>
      <c r="H703" s="763"/>
      <c r="I703" s="763"/>
      <c r="J703" s="763"/>
      <c r="K703" s="781"/>
      <c r="L703" s="781"/>
      <c r="M703" s="781"/>
      <c r="N703" s="781"/>
      <c r="O703" s="781"/>
      <c r="P703" s="781"/>
      <c r="Q703" s="781"/>
      <c r="R703" s="781"/>
      <c r="S703" s="781"/>
      <c r="T703" s="781"/>
      <c r="U703" s="781"/>
      <c r="V703" s="781"/>
      <c r="W703" s="137"/>
      <c r="X703" s="137"/>
      <c r="Y703" s="137"/>
      <c r="Z703" s="137"/>
    </row>
    <row r="704" ht="15.75" customHeight="1">
      <c r="A704" s="1385"/>
      <c r="B704" s="1385"/>
      <c r="C704" s="234"/>
      <c r="D704" s="815"/>
      <c r="E704" s="1537"/>
      <c r="F704" s="763"/>
      <c r="G704" s="763"/>
      <c r="H704" s="763"/>
      <c r="I704" s="763"/>
      <c r="J704" s="763"/>
      <c r="K704" s="781"/>
      <c r="L704" s="781"/>
      <c r="M704" s="781"/>
      <c r="N704" s="781"/>
      <c r="O704" s="781"/>
      <c r="P704" s="781"/>
      <c r="Q704" s="781"/>
      <c r="R704" s="781"/>
      <c r="S704" s="781"/>
      <c r="T704" s="781"/>
      <c r="U704" s="781"/>
      <c r="V704" s="781"/>
      <c r="W704" s="137"/>
      <c r="X704" s="137"/>
      <c r="Y704" s="137"/>
      <c r="Z704" s="137"/>
    </row>
    <row r="705" ht="15.75" customHeight="1">
      <c r="A705" s="1385"/>
      <c r="B705" s="1385"/>
      <c r="C705" s="234"/>
      <c r="D705" s="815"/>
      <c r="E705" s="1537"/>
      <c r="F705" s="763"/>
      <c r="G705" s="763"/>
      <c r="H705" s="763"/>
      <c r="I705" s="763"/>
      <c r="J705" s="763"/>
      <c r="K705" s="781"/>
      <c r="L705" s="781"/>
      <c r="M705" s="781"/>
      <c r="N705" s="781"/>
      <c r="O705" s="781"/>
      <c r="P705" s="781"/>
      <c r="Q705" s="781"/>
      <c r="R705" s="781"/>
      <c r="S705" s="781"/>
      <c r="T705" s="781"/>
      <c r="U705" s="781"/>
      <c r="V705" s="781"/>
      <c r="W705" s="137"/>
      <c r="X705" s="137"/>
      <c r="Y705" s="137"/>
      <c r="Z705" s="137"/>
    </row>
    <row r="706" ht="15.75" customHeight="1">
      <c r="A706" s="1385"/>
      <c r="B706" s="1385"/>
      <c r="C706" s="234"/>
      <c r="D706" s="815"/>
      <c r="E706" s="1537"/>
      <c r="F706" s="763"/>
      <c r="G706" s="763"/>
      <c r="H706" s="763"/>
      <c r="I706" s="763"/>
      <c r="J706" s="763"/>
      <c r="K706" s="781"/>
      <c r="L706" s="781"/>
      <c r="M706" s="781"/>
      <c r="N706" s="781"/>
      <c r="O706" s="781"/>
      <c r="P706" s="781"/>
      <c r="Q706" s="781"/>
      <c r="R706" s="781"/>
      <c r="S706" s="781"/>
      <c r="T706" s="781"/>
      <c r="U706" s="781"/>
      <c r="V706" s="781"/>
      <c r="W706" s="137"/>
      <c r="X706" s="137"/>
      <c r="Y706" s="137"/>
      <c r="Z706" s="137"/>
    </row>
    <row r="707" ht="15.75" customHeight="1">
      <c r="A707" s="1385"/>
      <c r="B707" s="1385"/>
      <c r="C707" s="234"/>
      <c r="D707" s="815"/>
      <c r="E707" s="1537"/>
      <c r="F707" s="763"/>
      <c r="G707" s="763"/>
      <c r="H707" s="763"/>
      <c r="I707" s="763"/>
      <c r="J707" s="763"/>
      <c r="K707" s="781"/>
      <c r="L707" s="781"/>
      <c r="M707" s="781"/>
      <c r="N707" s="781"/>
      <c r="O707" s="781"/>
      <c r="P707" s="781"/>
      <c r="Q707" s="781"/>
      <c r="R707" s="781"/>
      <c r="S707" s="781"/>
      <c r="T707" s="781"/>
      <c r="U707" s="781"/>
      <c r="V707" s="781"/>
      <c r="W707" s="137"/>
      <c r="X707" s="137"/>
      <c r="Y707" s="137"/>
      <c r="Z707" s="137"/>
    </row>
    <row r="708" ht="15.75" customHeight="1">
      <c r="A708" s="1385"/>
      <c r="B708" s="1385"/>
      <c r="C708" s="234"/>
      <c r="D708" s="815"/>
      <c r="E708" s="1537"/>
      <c r="F708" s="763"/>
      <c r="G708" s="763"/>
      <c r="H708" s="763"/>
      <c r="I708" s="763"/>
      <c r="J708" s="763"/>
      <c r="K708" s="781"/>
      <c r="L708" s="781"/>
      <c r="M708" s="781"/>
      <c r="N708" s="781"/>
      <c r="O708" s="781"/>
      <c r="P708" s="781"/>
      <c r="Q708" s="781"/>
      <c r="R708" s="781"/>
      <c r="S708" s="781"/>
      <c r="T708" s="781"/>
      <c r="U708" s="781"/>
      <c r="V708" s="781"/>
      <c r="W708" s="137"/>
      <c r="X708" s="137"/>
      <c r="Y708" s="137"/>
      <c r="Z708" s="137"/>
    </row>
    <row r="709" ht="15.75" customHeight="1">
      <c r="A709" s="1385"/>
      <c r="B709" s="1385"/>
      <c r="C709" s="234"/>
      <c r="D709" s="815"/>
      <c r="E709" s="1537"/>
      <c r="F709" s="763"/>
      <c r="G709" s="763"/>
      <c r="H709" s="763"/>
      <c r="I709" s="763"/>
      <c r="J709" s="763"/>
      <c r="K709" s="781"/>
      <c r="L709" s="781"/>
      <c r="M709" s="781"/>
      <c r="N709" s="781"/>
      <c r="O709" s="781"/>
      <c r="P709" s="781"/>
      <c r="Q709" s="781"/>
      <c r="R709" s="781"/>
      <c r="S709" s="781"/>
      <c r="T709" s="781"/>
      <c r="U709" s="781"/>
      <c r="V709" s="781"/>
      <c r="W709" s="137"/>
      <c r="X709" s="137"/>
      <c r="Y709" s="137"/>
      <c r="Z709" s="137"/>
    </row>
    <row r="710" ht="15.75" customHeight="1">
      <c r="A710" s="1385"/>
      <c r="B710" s="1385"/>
      <c r="C710" s="234"/>
      <c r="D710" s="815"/>
      <c r="E710" s="1537"/>
      <c r="F710" s="763"/>
      <c r="G710" s="763"/>
      <c r="H710" s="763"/>
      <c r="I710" s="763"/>
      <c r="J710" s="763"/>
      <c r="K710" s="781"/>
      <c r="L710" s="781"/>
      <c r="M710" s="781"/>
      <c r="N710" s="781"/>
      <c r="O710" s="781"/>
      <c r="P710" s="781"/>
      <c r="Q710" s="781"/>
      <c r="R710" s="781"/>
      <c r="S710" s="781"/>
      <c r="T710" s="781"/>
      <c r="U710" s="781"/>
      <c r="V710" s="781"/>
      <c r="W710" s="137"/>
      <c r="X710" s="137"/>
      <c r="Y710" s="137"/>
      <c r="Z710" s="137"/>
    </row>
    <row r="711" ht="15.75" customHeight="1">
      <c r="A711" s="1385"/>
      <c r="B711" s="1385"/>
      <c r="C711" s="234"/>
      <c r="D711" s="815"/>
      <c r="E711" s="1537"/>
      <c r="F711" s="763"/>
      <c r="G711" s="763"/>
      <c r="H711" s="763"/>
      <c r="I711" s="763"/>
      <c r="J711" s="763"/>
      <c r="K711" s="781"/>
      <c r="L711" s="781"/>
      <c r="M711" s="781"/>
      <c r="N711" s="781"/>
      <c r="O711" s="781"/>
      <c r="P711" s="781"/>
      <c r="Q711" s="781"/>
      <c r="R711" s="781"/>
      <c r="S711" s="781"/>
      <c r="T711" s="781"/>
      <c r="U711" s="781"/>
      <c r="V711" s="781"/>
      <c r="W711" s="137"/>
      <c r="X711" s="137"/>
      <c r="Y711" s="137"/>
      <c r="Z711" s="137"/>
    </row>
    <row r="712" ht="15.75" customHeight="1">
      <c r="A712" s="1385"/>
      <c r="B712" s="1385"/>
      <c r="C712" s="234"/>
      <c r="D712" s="815"/>
      <c r="E712" s="1537"/>
      <c r="F712" s="763"/>
      <c r="G712" s="763"/>
      <c r="H712" s="763"/>
      <c r="I712" s="763"/>
      <c r="J712" s="763"/>
      <c r="K712" s="781"/>
      <c r="L712" s="781"/>
      <c r="M712" s="781"/>
      <c r="N712" s="781"/>
      <c r="O712" s="781"/>
      <c r="P712" s="781"/>
      <c r="Q712" s="781"/>
      <c r="R712" s="781"/>
      <c r="S712" s="781"/>
      <c r="T712" s="781"/>
      <c r="U712" s="781"/>
      <c r="V712" s="781"/>
      <c r="W712" s="137"/>
      <c r="X712" s="137"/>
      <c r="Y712" s="137"/>
      <c r="Z712" s="137"/>
    </row>
    <row r="713" ht="15.75" customHeight="1">
      <c r="A713" s="1385"/>
      <c r="B713" s="1385"/>
      <c r="C713" s="234"/>
      <c r="D713" s="815"/>
      <c r="E713" s="1537"/>
      <c r="F713" s="763"/>
      <c r="G713" s="763"/>
      <c r="H713" s="763"/>
      <c r="I713" s="763"/>
      <c r="J713" s="763"/>
      <c r="K713" s="781"/>
      <c r="L713" s="781"/>
      <c r="M713" s="781"/>
      <c r="N713" s="781"/>
      <c r="O713" s="781"/>
      <c r="P713" s="781"/>
      <c r="Q713" s="781"/>
      <c r="R713" s="781"/>
      <c r="S713" s="781"/>
      <c r="T713" s="781"/>
      <c r="U713" s="781"/>
      <c r="V713" s="781"/>
      <c r="W713" s="137"/>
      <c r="X713" s="137"/>
      <c r="Y713" s="137"/>
      <c r="Z713" s="137"/>
    </row>
    <row r="714" ht="15.75" customHeight="1">
      <c r="A714" s="1385"/>
      <c r="B714" s="1385"/>
      <c r="C714" s="234"/>
      <c r="D714" s="815"/>
      <c r="E714" s="1537"/>
      <c r="F714" s="763"/>
      <c r="G714" s="763"/>
      <c r="H714" s="763"/>
      <c r="I714" s="763"/>
      <c r="J714" s="763"/>
      <c r="K714" s="781"/>
      <c r="L714" s="781"/>
      <c r="M714" s="781"/>
      <c r="N714" s="781"/>
      <c r="O714" s="781"/>
      <c r="P714" s="781"/>
      <c r="Q714" s="781"/>
      <c r="R714" s="781"/>
      <c r="S714" s="781"/>
      <c r="T714" s="781"/>
      <c r="U714" s="781"/>
      <c r="V714" s="781"/>
      <c r="W714" s="137"/>
      <c r="X714" s="137"/>
      <c r="Y714" s="137"/>
      <c r="Z714" s="137"/>
    </row>
    <row r="715" ht="15.75" customHeight="1">
      <c r="A715" s="1385"/>
      <c r="B715" s="1385"/>
      <c r="C715" s="234"/>
      <c r="D715" s="815"/>
      <c r="E715" s="1537"/>
      <c r="F715" s="763"/>
      <c r="G715" s="763"/>
      <c r="H715" s="763"/>
      <c r="I715" s="763"/>
      <c r="J715" s="763"/>
      <c r="K715" s="781"/>
      <c r="L715" s="781"/>
      <c r="M715" s="781"/>
      <c r="N715" s="781"/>
      <c r="O715" s="781"/>
      <c r="P715" s="781"/>
      <c r="Q715" s="781"/>
      <c r="R715" s="781"/>
      <c r="S715" s="781"/>
      <c r="T715" s="781"/>
      <c r="U715" s="781"/>
      <c r="V715" s="781"/>
      <c r="W715" s="137"/>
      <c r="X715" s="137"/>
      <c r="Y715" s="137"/>
      <c r="Z715" s="137"/>
    </row>
    <row r="716" ht="15.75" customHeight="1">
      <c r="A716" s="1385"/>
      <c r="B716" s="1385"/>
      <c r="C716" s="234"/>
      <c r="D716" s="815"/>
      <c r="E716" s="1537"/>
      <c r="F716" s="763"/>
      <c r="G716" s="763"/>
      <c r="H716" s="763"/>
      <c r="I716" s="763"/>
      <c r="J716" s="763"/>
      <c r="K716" s="781"/>
      <c r="L716" s="781"/>
      <c r="M716" s="781"/>
      <c r="N716" s="781"/>
      <c r="O716" s="781"/>
      <c r="P716" s="781"/>
      <c r="Q716" s="781"/>
      <c r="R716" s="781"/>
      <c r="S716" s="781"/>
      <c r="T716" s="781"/>
      <c r="U716" s="781"/>
      <c r="V716" s="781"/>
      <c r="W716" s="137"/>
      <c r="X716" s="137"/>
      <c r="Y716" s="137"/>
      <c r="Z716" s="137"/>
    </row>
    <row r="717" ht="15.75" customHeight="1">
      <c r="A717" s="1385"/>
      <c r="B717" s="1385"/>
      <c r="C717" s="234"/>
      <c r="D717" s="815"/>
      <c r="E717" s="1537"/>
      <c r="F717" s="763"/>
      <c r="G717" s="763"/>
      <c r="H717" s="763"/>
      <c r="I717" s="763"/>
      <c r="J717" s="763"/>
      <c r="K717" s="781"/>
      <c r="L717" s="781"/>
      <c r="M717" s="781"/>
      <c r="N717" s="781"/>
      <c r="O717" s="781"/>
      <c r="P717" s="781"/>
      <c r="Q717" s="781"/>
      <c r="R717" s="781"/>
      <c r="S717" s="781"/>
      <c r="T717" s="781"/>
      <c r="U717" s="781"/>
      <c r="V717" s="781"/>
      <c r="W717" s="137"/>
      <c r="X717" s="137"/>
      <c r="Y717" s="137"/>
      <c r="Z717" s="137"/>
    </row>
    <row r="718" ht="15.75" customHeight="1">
      <c r="A718" s="1385"/>
      <c r="B718" s="1385"/>
      <c r="C718" s="234"/>
      <c r="D718" s="815"/>
      <c r="E718" s="1537"/>
      <c r="F718" s="763"/>
      <c r="G718" s="763"/>
      <c r="H718" s="763"/>
      <c r="I718" s="763"/>
      <c r="J718" s="763"/>
      <c r="K718" s="781"/>
      <c r="L718" s="781"/>
      <c r="M718" s="781"/>
      <c r="N718" s="781"/>
      <c r="O718" s="781"/>
      <c r="P718" s="781"/>
      <c r="Q718" s="781"/>
      <c r="R718" s="781"/>
      <c r="S718" s="781"/>
      <c r="T718" s="781"/>
      <c r="U718" s="781"/>
      <c r="V718" s="781"/>
      <c r="W718" s="137"/>
      <c r="X718" s="137"/>
      <c r="Y718" s="137"/>
      <c r="Z718" s="137"/>
    </row>
    <row r="719" ht="15.75" customHeight="1">
      <c r="A719" s="1385"/>
      <c r="B719" s="1385"/>
      <c r="C719" s="234"/>
      <c r="D719" s="815"/>
      <c r="E719" s="1537"/>
      <c r="F719" s="763"/>
      <c r="G719" s="763"/>
      <c r="H719" s="763"/>
      <c r="I719" s="763"/>
      <c r="J719" s="763"/>
      <c r="K719" s="781"/>
      <c r="L719" s="781"/>
      <c r="M719" s="781"/>
      <c r="N719" s="781"/>
      <c r="O719" s="781"/>
      <c r="P719" s="781"/>
      <c r="Q719" s="781"/>
      <c r="R719" s="781"/>
      <c r="S719" s="781"/>
      <c r="T719" s="781"/>
      <c r="U719" s="781"/>
      <c r="V719" s="781"/>
      <c r="W719" s="137"/>
      <c r="X719" s="137"/>
      <c r="Y719" s="137"/>
      <c r="Z719" s="137"/>
    </row>
    <row r="720" ht="15.75" customHeight="1">
      <c r="A720" s="1385"/>
      <c r="B720" s="1385"/>
      <c r="C720" s="234"/>
      <c r="D720" s="815"/>
      <c r="E720" s="1537"/>
      <c r="F720" s="763"/>
      <c r="G720" s="763"/>
      <c r="H720" s="763"/>
      <c r="I720" s="763"/>
      <c r="J720" s="763"/>
      <c r="K720" s="781"/>
      <c r="L720" s="781"/>
      <c r="M720" s="781"/>
      <c r="N720" s="781"/>
      <c r="O720" s="781"/>
      <c r="P720" s="781"/>
      <c r="Q720" s="781"/>
      <c r="R720" s="781"/>
      <c r="S720" s="781"/>
      <c r="T720" s="781"/>
      <c r="U720" s="781"/>
      <c r="V720" s="781"/>
      <c r="W720" s="137"/>
      <c r="X720" s="137"/>
      <c r="Y720" s="137"/>
      <c r="Z720" s="137"/>
    </row>
    <row r="721" ht="15.75" customHeight="1">
      <c r="A721" s="1385"/>
      <c r="B721" s="1385"/>
      <c r="C721" s="234"/>
      <c r="D721" s="815"/>
      <c r="E721" s="1537"/>
      <c r="F721" s="763"/>
      <c r="G721" s="763"/>
      <c r="H721" s="763"/>
      <c r="I721" s="763"/>
      <c r="J721" s="763"/>
      <c r="K721" s="781"/>
      <c r="L721" s="781"/>
      <c r="M721" s="781"/>
      <c r="N721" s="781"/>
      <c r="O721" s="781"/>
      <c r="P721" s="781"/>
      <c r="Q721" s="781"/>
      <c r="R721" s="781"/>
      <c r="S721" s="781"/>
      <c r="T721" s="781"/>
      <c r="U721" s="781"/>
      <c r="V721" s="781"/>
      <c r="W721" s="137"/>
      <c r="X721" s="137"/>
      <c r="Y721" s="137"/>
      <c r="Z721" s="137"/>
    </row>
    <row r="722" ht="15.75" customHeight="1">
      <c r="A722" s="1385"/>
      <c r="B722" s="1385"/>
      <c r="C722" s="234"/>
      <c r="D722" s="815"/>
      <c r="E722" s="1537"/>
      <c r="F722" s="763"/>
      <c r="G722" s="763"/>
      <c r="H722" s="763"/>
      <c r="I722" s="763"/>
      <c r="J722" s="763"/>
      <c r="K722" s="781"/>
      <c r="L722" s="781"/>
      <c r="M722" s="781"/>
      <c r="N722" s="781"/>
      <c r="O722" s="781"/>
      <c r="P722" s="781"/>
      <c r="Q722" s="781"/>
      <c r="R722" s="781"/>
      <c r="S722" s="781"/>
      <c r="T722" s="781"/>
      <c r="U722" s="781"/>
      <c r="V722" s="781"/>
      <c r="W722" s="137"/>
      <c r="X722" s="137"/>
      <c r="Y722" s="137"/>
      <c r="Z722" s="137"/>
    </row>
    <row r="723" ht="15.75" customHeight="1">
      <c r="A723" s="1385"/>
      <c r="B723" s="1385"/>
      <c r="C723" s="234"/>
      <c r="D723" s="815"/>
      <c r="E723" s="1537"/>
      <c r="F723" s="763"/>
      <c r="G723" s="763"/>
      <c r="H723" s="763"/>
      <c r="I723" s="763"/>
      <c r="J723" s="763"/>
      <c r="K723" s="781"/>
      <c r="L723" s="781"/>
      <c r="M723" s="781"/>
      <c r="N723" s="781"/>
      <c r="O723" s="781"/>
      <c r="P723" s="781"/>
      <c r="Q723" s="781"/>
      <c r="R723" s="781"/>
      <c r="S723" s="781"/>
      <c r="T723" s="781"/>
      <c r="U723" s="781"/>
      <c r="V723" s="781"/>
      <c r="W723" s="137"/>
      <c r="X723" s="137"/>
      <c r="Y723" s="137"/>
      <c r="Z723" s="137"/>
    </row>
    <row r="724" ht="15.75" customHeight="1">
      <c r="A724" s="1385"/>
      <c r="B724" s="1385"/>
      <c r="C724" s="234"/>
      <c r="D724" s="815"/>
      <c r="E724" s="1537"/>
      <c r="F724" s="763"/>
      <c r="G724" s="763"/>
      <c r="H724" s="763"/>
      <c r="I724" s="763"/>
      <c r="J724" s="763"/>
      <c r="K724" s="781"/>
      <c r="L724" s="781"/>
      <c r="M724" s="781"/>
      <c r="N724" s="781"/>
      <c r="O724" s="781"/>
      <c r="P724" s="781"/>
      <c r="Q724" s="781"/>
      <c r="R724" s="781"/>
      <c r="S724" s="781"/>
      <c r="T724" s="781"/>
      <c r="U724" s="781"/>
      <c r="V724" s="781"/>
      <c r="W724" s="137"/>
      <c r="X724" s="137"/>
      <c r="Y724" s="137"/>
      <c r="Z724" s="137"/>
    </row>
    <row r="725" ht="15.75" customHeight="1">
      <c r="A725" s="1385"/>
      <c r="B725" s="1385"/>
      <c r="C725" s="234"/>
      <c r="D725" s="815"/>
      <c r="E725" s="1537"/>
      <c r="F725" s="763"/>
      <c r="G725" s="763"/>
      <c r="H725" s="763"/>
      <c r="I725" s="763"/>
      <c r="J725" s="763"/>
      <c r="K725" s="781"/>
      <c r="L725" s="781"/>
      <c r="M725" s="781"/>
      <c r="N725" s="781"/>
      <c r="O725" s="781"/>
      <c r="P725" s="781"/>
      <c r="Q725" s="781"/>
      <c r="R725" s="781"/>
      <c r="S725" s="781"/>
      <c r="T725" s="781"/>
      <c r="U725" s="781"/>
      <c r="V725" s="781"/>
      <c r="W725" s="137"/>
      <c r="X725" s="137"/>
      <c r="Y725" s="137"/>
      <c r="Z725" s="137"/>
    </row>
    <row r="726" ht="15.75" customHeight="1">
      <c r="A726" s="1385"/>
      <c r="B726" s="1385"/>
      <c r="C726" s="234"/>
      <c r="D726" s="815"/>
      <c r="E726" s="1537"/>
      <c r="F726" s="763"/>
      <c r="G726" s="763"/>
      <c r="H726" s="763"/>
      <c r="I726" s="763"/>
      <c r="J726" s="763"/>
      <c r="K726" s="781"/>
      <c r="L726" s="781"/>
      <c r="M726" s="781"/>
      <c r="N726" s="781"/>
      <c r="O726" s="781"/>
      <c r="P726" s="781"/>
      <c r="Q726" s="781"/>
      <c r="R726" s="781"/>
      <c r="S726" s="781"/>
      <c r="T726" s="781"/>
      <c r="U726" s="781"/>
      <c r="V726" s="781"/>
      <c r="W726" s="137"/>
      <c r="X726" s="137"/>
      <c r="Y726" s="137"/>
      <c r="Z726" s="137"/>
    </row>
    <row r="727" ht="15.75" customHeight="1">
      <c r="A727" s="1385"/>
      <c r="B727" s="1385"/>
      <c r="C727" s="234"/>
      <c r="D727" s="815"/>
      <c r="E727" s="1537"/>
      <c r="F727" s="763"/>
      <c r="G727" s="763"/>
      <c r="H727" s="763"/>
      <c r="I727" s="763"/>
      <c r="J727" s="763"/>
      <c r="K727" s="781"/>
      <c r="L727" s="781"/>
      <c r="M727" s="781"/>
      <c r="N727" s="781"/>
      <c r="O727" s="781"/>
      <c r="P727" s="781"/>
      <c r="Q727" s="781"/>
      <c r="R727" s="781"/>
      <c r="S727" s="781"/>
      <c r="T727" s="781"/>
      <c r="U727" s="781"/>
      <c r="V727" s="781"/>
      <c r="W727" s="137"/>
      <c r="X727" s="137"/>
      <c r="Y727" s="137"/>
      <c r="Z727" s="137"/>
    </row>
    <row r="728" ht="15.75" customHeight="1">
      <c r="A728" s="1385"/>
      <c r="B728" s="1385"/>
      <c r="C728" s="234"/>
      <c r="D728" s="815"/>
      <c r="E728" s="1537"/>
      <c r="F728" s="763"/>
      <c r="G728" s="763"/>
      <c r="H728" s="763"/>
      <c r="I728" s="763"/>
      <c r="J728" s="763"/>
      <c r="K728" s="781"/>
      <c r="L728" s="781"/>
      <c r="M728" s="781"/>
      <c r="N728" s="781"/>
      <c r="O728" s="781"/>
      <c r="P728" s="781"/>
      <c r="Q728" s="781"/>
      <c r="R728" s="781"/>
      <c r="S728" s="781"/>
      <c r="T728" s="781"/>
      <c r="U728" s="781"/>
      <c r="V728" s="781"/>
      <c r="W728" s="137"/>
      <c r="X728" s="137"/>
      <c r="Y728" s="137"/>
      <c r="Z728" s="137"/>
    </row>
    <row r="729" ht="15.75" customHeight="1">
      <c r="A729" s="1385"/>
      <c r="B729" s="1385"/>
      <c r="C729" s="234"/>
      <c r="D729" s="815"/>
      <c r="E729" s="1537"/>
      <c r="F729" s="763"/>
      <c r="G729" s="763"/>
      <c r="H729" s="763"/>
      <c r="I729" s="763"/>
      <c r="J729" s="763"/>
      <c r="K729" s="781"/>
      <c r="L729" s="781"/>
      <c r="M729" s="781"/>
      <c r="N729" s="781"/>
      <c r="O729" s="781"/>
      <c r="P729" s="781"/>
      <c r="Q729" s="781"/>
      <c r="R729" s="781"/>
      <c r="S729" s="781"/>
      <c r="T729" s="781"/>
      <c r="U729" s="781"/>
      <c r="V729" s="781"/>
      <c r="W729" s="137"/>
      <c r="X729" s="137"/>
      <c r="Y729" s="137"/>
      <c r="Z729" s="137"/>
    </row>
    <row r="730" ht="15.75" customHeight="1">
      <c r="A730" s="1385"/>
      <c r="B730" s="1385"/>
      <c r="C730" s="234"/>
      <c r="D730" s="815"/>
      <c r="E730" s="1537"/>
      <c r="F730" s="763"/>
      <c r="G730" s="763"/>
      <c r="H730" s="763"/>
      <c r="I730" s="763"/>
      <c r="J730" s="763"/>
      <c r="K730" s="781"/>
      <c r="L730" s="781"/>
      <c r="M730" s="781"/>
      <c r="N730" s="781"/>
      <c r="O730" s="781"/>
      <c r="P730" s="781"/>
      <c r="Q730" s="781"/>
      <c r="R730" s="781"/>
      <c r="S730" s="781"/>
      <c r="T730" s="781"/>
      <c r="U730" s="781"/>
      <c r="V730" s="781"/>
      <c r="W730" s="137"/>
      <c r="X730" s="137"/>
      <c r="Y730" s="137"/>
      <c r="Z730" s="137"/>
    </row>
    <row r="731" ht="15.75" customHeight="1">
      <c r="A731" s="1385"/>
      <c r="B731" s="1385"/>
      <c r="C731" s="234"/>
      <c r="D731" s="815"/>
      <c r="E731" s="1537"/>
      <c r="F731" s="763"/>
      <c r="G731" s="763"/>
      <c r="H731" s="763"/>
      <c r="I731" s="763"/>
      <c r="J731" s="763"/>
      <c r="K731" s="781"/>
      <c r="L731" s="781"/>
      <c r="M731" s="781"/>
      <c r="N731" s="781"/>
      <c r="O731" s="781"/>
      <c r="P731" s="781"/>
      <c r="Q731" s="781"/>
      <c r="R731" s="781"/>
      <c r="S731" s="781"/>
      <c r="T731" s="781"/>
      <c r="U731" s="781"/>
      <c r="V731" s="781"/>
      <c r="W731" s="137"/>
      <c r="X731" s="137"/>
      <c r="Y731" s="137"/>
      <c r="Z731" s="137"/>
    </row>
    <row r="732" ht="15.75" customHeight="1">
      <c r="A732" s="1385"/>
      <c r="B732" s="1385"/>
      <c r="C732" s="234"/>
      <c r="D732" s="815"/>
      <c r="E732" s="1537"/>
      <c r="F732" s="763"/>
      <c r="G732" s="763"/>
      <c r="H732" s="763"/>
      <c r="I732" s="763"/>
      <c r="J732" s="763"/>
      <c r="K732" s="781"/>
      <c r="L732" s="781"/>
      <c r="M732" s="781"/>
      <c r="N732" s="781"/>
      <c r="O732" s="781"/>
      <c r="P732" s="781"/>
      <c r="Q732" s="781"/>
      <c r="R732" s="781"/>
      <c r="S732" s="781"/>
      <c r="T732" s="781"/>
      <c r="U732" s="781"/>
      <c r="V732" s="781"/>
      <c r="W732" s="137"/>
      <c r="X732" s="137"/>
      <c r="Y732" s="137"/>
      <c r="Z732" s="137"/>
    </row>
    <row r="733" ht="15.75" customHeight="1">
      <c r="A733" s="1385"/>
      <c r="B733" s="1385"/>
      <c r="C733" s="234"/>
      <c r="D733" s="815"/>
      <c r="E733" s="1537"/>
      <c r="F733" s="763"/>
      <c r="G733" s="763"/>
      <c r="H733" s="763"/>
      <c r="I733" s="763"/>
      <c r="J733" s="763"/>
      <c r="K733" s="781"/>
      <c r="L733" s="781"/>
      <c r="M733" s="781"/>
      <c r="N733" s="781"/>
      <c r="O733" s="781"/>
      <c r="P733" s="781"/>
      <c r="Q733" s="781"/>
      <c r="R733" s="781"/>
      <c r="S733" s="781"/>
      <c r="T733" s="781"/>
      <c r="U733" s="781"/>
      <c r="V733" s="781"/>
      <c r="W733" s="137"/>
      <c r="X733" s="137"/>
      <c r="Y733" s="137"/>
      <c r="Z733" s="137"/>
    </row>
    <row r="734" ht="15.75" customHeight="1">
      <c r="A734" s="1385"/>
      <c r="B734" s="1385"/>
      <c r="C734" s="234"/>
      <c r="D734" s="815"/>
      <c r="E734" s="1537"/>
      <c r="F734" s="763"/>
      <c r="G734" s="763"/>
      <c r="H734" s="763"/>
      <c r="I734" s="763"/>
      <c r="J734" s="763"/>
      <c r="K734" s="781"/>
      <c r="L734" s="781"/>
      <c r="M734" s="781"/>
      <c r="N734" s="781"/>
      <c r="O734" s="781"/>
      <c r="P734" s="781"/>
      <c r="Q734" s="781"/>
      <c r="R734" s="781"/>
      <c r="S734" s="781"/>
      <c r="T734" s="781"/>
      <c r="U734" s="781"/>
      <c r="V734" s="781"/>
      <c r="W734" s="137"/>
      <c r="X734" s="137"/>
      <c r="Y734" s="137"/>
      <c r="Z734" s="137"/>
    </row>
    <row r="735" ht="15.75" customHeight="1">
      <c r="A735" s="1385"/>
      <c r="B735" s="1385"/>
      <c r="C735" s="234"/>
      <c r="D735" s="815"/>
      <c r="E735" s="1537"/>
      <c r="F735" s="763"/>
      <c r="G735" s="763"/>
      <c r="H735" s="763"/>
      <c r="I735" s="763"/>
      <c r="J735" s="763"/>
      <c r="K735" s="781"/>
      <c r="L735" s="781"/>
      <c r="M735" s="781"/>
      <c r="N735" s="781"/>
      <c r="O735" s="781"/>
      <c r="P735" s="781"/>
      <c r="Q735" s="781"/>
      <c r="R735" s="781"/>
      <c r="S735" s="781"/>
      <c r="T735" s="781"/>
      <c r="U735" s="781"/>
      <c r="V735" s="781"/>
      <c r="W735" s="137"/>
      <c r="X735" s="137"/>
      <c r="Y735" s="137"/>
      <c r="Z735" s="137"/>
    </row>
    <row r="736" ht="15.75" customHeight="1">
      <c r="A736" s="1385"/>
      <c r="B736" s="1385"/>
      <c r="C736" s="234"/>
      <c r="D736" s="815"/>
      <c r="E736" s="1537"/>
      <c r="F736" s="763"/>
      <c r="G736" s="763"/>
      <c r="H736" s="763"/>
      <c r="I736" s="763"/>
      <c r="J736" s="763"/>
      <c r="K736" s="781"/>
      <c r="L736" s="781"/>
      <c r="M736" s="781"/>
      <c r="N736" s="781"/>
      <c r="O736" s="781"/>
      <c r="P736" s="781"/>
      <c r="Q736" s="781"/>
      <c r="R736" s="781"/>
      <c r="S736" s="781"/>
      <c r="T736" s="781"/>
      <c r="U736" s="781"/>
      <c r="V736" s="781"/>
      <c r="W736" s="137"/>
      <c r="X736" s="137"/>
      <c r="Y736" s="137"/>
      <c r="Z736" s="137"/>
    </row>
    <row r="737" ht="15.75" customHeight="1">
      <c r="A737" s="1385"/>
      <c r="B737" s="1385"/>
      <c r="C737" s="234"/>
      <c r="D737" s="815"/>
      <c r="E737" s="1537"/>
      <c r="F737" s="763"/>
      <c r="G737" s="763"/>
      <c r="H737" s="763"/>
      <c r="I737" s="763"/>
      <c r="J737" s="763"/>
      <c r="K737" s="781"/>
      <c r="L737" s="781"/>
      <c r="M737" s="781"/>
      <c r="N737" s="781"/>
      <c r="O737" s="781"/>
      <c r="P737" s="781"/>
      <c r="Q737" s="781"/>
      <c r="R737" s="781"/>
      <c r="S737" s="781"/>
      <c r="T737" s="781"/>
      <c r="U737" s="781"/>
      <c r="V737" s="781"/>
      <c r="W737" s="137"/>
      <c r="X737" s="137"/>
      <c r="Y737" s="137"/>
      <c r="Z737" s="137"/>
    </row>
    <row r="738" ht="15.75" customHeight="1">
      <c r="A738" s="1385"/>
      <c r="B738" s="1385"/>
      <c r="C738" s="234"/>
      <c r="D738" s="815"/>
      <c r="E738" s="1537"/>
      <c r="F738" s="763"/>
      <c r="G738" s="763"/>
      <c r="H738" s="763"/>
      <c r="I738" s="763"/>
      <c r="J738" s="763"/>
      <c r="K738" s="781"/>
      <c r="L738" s="781"/>
      <c r="M738" s="781"/>
      <c r="N738" s="781"/>
      <c r="O738" s="781"/>
      <c r="P738" s="781"/>
      <c r="Q738" s="781"/>
      <c r="R738" s="781"/>
      <c r="S738" s="781"/>
      <c r="T738" s="781"/>
      <c r="U738" s="781"/>
      <c r="V738" s="781"/>
      <c r="W738" s="137"/>
      <c r="X738" s="137"/>
      <c r="Y738" s="137"/>
      <c r="Z738" s="137"/>
    </row>
    <row r="739" ht="15.75" customHeight="1">
      <c r="A739" s="1385"/>
      <c r="B739" s="1385"/>
      <c r="C739" s="234"/>
      <c r="D739" s="815"/>
      <c r="E739" s="1537"/>
      <c r="F739" s="763"/>
      <c r="G739" s="763"/>
      <c r="H739" s="763"/>
      <c r="I739" s="763"/>
      <c r="J739" s="763"/>
      <c r="K739" s="781"/>
      <c r="L739" s="781"/>
      <c r="M739" s="781"/>
      <c r="N739" s="781"/>
      <c r="O739" s="781"/>
      <c r="P739" s="781"/>
      <c r="Q739" s="781"/>
      <c r="R739" s="781"/>
      <c r="S739" s="781"/>
      <c r="T739" s="781"/>
      <c r="U739" s="781"/>
      <c r="V739" s="781"/>
      <c r="W739" s="137"/>
      <c r="X739" s="137"/>
      <c r="Y739" s="137"/>
      <c r="Z739" s="137"/>
    </row>
    <row r="740" ht="15.75" customHeight="1">
      <c r="A740" s="1385"/>
      <c r="B740" s="1385"/>
      <c r="C740" s="234"/>
      <c r="D740" s="815"/>
      <c r="E740" s="1537"/>
      <c r="F740" s="763"/>
      <c r="G740" s="763"/>
      <c r="H740" s="763"/>
      <c r="I740" s="763"/>
      <c r="J740" s="763"/>
      <c r="K740" s="781"/>
      <c r="L740" s="781"/>
      <c r="M740" s="781"/>
      <c r="N740" s="781"/>
      <c r="O740" s="781"/>
      <c r="P740" s="781"/>
      <c r="Q740" s="781"/>
      <c r="R740" s="781"/>
      <c r="S740" s="781"/>
      <c r="T740" s="781"/>
      <c r="U740" s="781"/>
      <c r="V740" s="781"/>
      <c r="W740" s="137"/>
      <c r="X740" s="137"/>
      <c r="Y740" s="137"/>
      <c r="Z740" s="137"/>
    </row>
    <row r="741" ht="15.75" customHeight="1">
      <c r="A741" s="1385"/>
      <c r="B741" s="1385"/>
      <c r="C741" s="234"/>
      <c r="D741" s="815"/>
      <c r="E741" s="1537"/>
      <c r="F741" s="763"/>
      <c r="G741" s="763"/>
      <c r="H741" s="763"/>
      <c r="I741" s="763"/>
      <c r="J741" s="763"/>
      <c r="K741" s="781"/>
      <c r="L741" s="781"/>
      <c r="M741" s="781"/>
      <c r="N741" s="781"/>
      <c r="O741" s="781"/>
      <c r="P741" s="781"/>
      <c r="Q741" s="781"/>
      <c r="R741" s="781"/>
      <c r="S741" s="781"/>
      <c r="T741" s="781"/>
      <c r="U741" s="781"/>
      <c r="V741" s="781"/>
      <c r="W741" s="137"/>
      <c r="X741" s="137"/>
      <c r="Y741" s="137"/>
      <c r="Z741" s="137"/>
    </row>
    <row r="742" ht="15.75" customHeight="1">
      <c r="A742" s="1385"/>
      <c r="B742" s="1385"/>
      <c r="C742" s="234"/>
      <c r="D742" s="815"/>
      <c r="E742" s="1537"/>
      <c r="F742" s="763"/>
      <c r="G742" s="763"/>
      <c r="H742" s="763"/>
      <c r="I742" s="763"/>
      <c r="J742" s="763"/>
      <c r="K742" s="781"/>
      <c r="L742" s="781"/>
      <c r="M742" s="781"/>
      <c r="N742" s="781"/>
      <c r="O742" s="781"/>
      <c r="P742" s="781"/>
      <c r="Q742" s="781"/>
      <c r="R742" s="781"/>
      <c r="S742" s="781"/>
      <c r="T742" s="781"/>
      <c r="U742" s="781"/>
      <c r="V742" s="781"/>
      <c r="W742" s="137"/>
      <c r="X742" s="137"/>
      <c r="Y742" s="137"/>
      <c r="Z742" s="137"/>
    </row>
    <row r="743" ht="15.75" customHeight="1">
      <c r="A743" s="1385"/>
      <c r="B743" s="1385"/>
      <c r="C743" s="234"/>
      <c r="D743" s="815"/>
      <c r="E743" s="1537"/>
      <c r="F743" s="763"/>
      <c r="G743" s="763"/>
      <c r="H743" s="763"/>
      <c r="I743" s="763"/>
      <c r="J743" s="763"/>
      <c r="K743" s="781"/>
      <c r="L743" s="781"/>
      <c r="M743" s="781"/>
      <c r="N743" s="781"/>
      <c r="O743" s="781"/>
      <c r="P743" s="781"/>
      <c r="Q743" s="781"/>
      <c r="R743" s="781"/>
      <c r="S743" s="781"/>
      <c r="T743" s="781"/>
      <c r="U743" s="781"/>
      <c r="V743" s="781"/>
      <c r="W743" s="137"/>
      <c r="X743" s="137"/>
      <c r="Y743" s="137"/>
      <c r="Z743" s="137"/>
    </row>
    <row r="744" ht="15.75" customHeight="1">
      <c r="A744" s="1385"/>
      <c r="B744" s="1385"/>
      <c r="C744" s="234"/>
      <c r="D744" s="815"/>
      <c r="E744" s="1537"/>
      <c r="F744" s="763"/>
      <c r="G744" s="763"/>
      <c r="H744" s="763"/>
      <c r="I744" s="763"/>
      <c r="J744" s="763"/>
      <c r="K744" s="781"/>
      <c r="L744" s="781"/>
      <c r="M744" s="781"/>
      <c r="N744" s="781"/>
      <c r="O744" s="781"/>
      <c r="P744" s="781"/>
      <c r="Q744" s="781"/>
      <c r="R744" s="781"/>
      <c r="S744" s="781"/>
      <c r="T744" s="781"/>
      <c r="U744" s="781"/>
      <c r="V744" s="781"/>
      <c r="W744" s="137"/>
      <c r="X744" s="137"/>
      <c r="Y744" s="137"/>
      <c r="Z744" s="137"/>
    </row>
    <row r="745" ht="15.75" customHeight="1">
      <c r="A745" s="1385"/>
      <c r="B745" s="1385"/>
      <c r="C745" s="234"/>
      <c r="D745" s="815"/>
      <c r="E745" s="1537"/>
      <c r="F745" s="763"/>
      <c r="G745" s="763"/>
      <c r="H745" s="763"/>
      <c r="I745" s="763"/>
      <c r="J745" s="763"/>
      <c r="K745" s="781"/>
      <c r="L745" s="781"/>
      <c r="M745" s="781"/>
      <c r="N745" s="781"/>
      <c r="O745" s="781"/>
      <c r="P745" s="781"/>
      <c r="Q745" s="781"/>
      <c r="R745" s="781"/>
      <c r="S745" s="781"/>
      <c r="T745" s="781"/>
      <c r="U745" s="781"/>
      <c r="V745" s="781"/>
      <c r="W745" s="137"/>
      <c r="X745" s="137"/>
      <c r="Y745" s="137"/>
      <c r="Z745" s="137"/>
    </row>
    <row r="746" ht="15.75" customHeight="1">
      <c r="A746" s="1385"/>
      <c r="B746" s="1385"/>
      <c r="C746" s="234"/>
      <c r="D746" s="815"/>
      <c r="E746" s="1537"/>
      <c r="F746" s="763"/>
      <c r="G746" s="763"/>
      <c r="H746" s="763"/>
      <c r="I746" s="763"/>
      <c r="J746" s="763"/>
      <c r="K746" s="781"/>
      <c r="L746" s="781"/>
      <c r="M746" s="781"/>
      <c r="N746" s="781"/>
      <c r="O746" s="781"/>
      <c r="P746" s="781"/>
      <c r="Q746" s="781"/>
      <c r="R746" s="781"/>
      <c r="S746" s="781"/>
      <c r="T746" s="781"/>
      <c r="U746" s="781"/>
      <c r="V746" s="781"/>
      <c r="W746" s="137"/>
      <c r="X746" s="137"/>
      <c r="Y746" s="137"/>
      <c r="Z746" s="137"/>
    </row>
    <row r="747" ht="15.75" customHeight="1">
      <c r="A747" s="1385"/>
      <c r="B747" s="1385"/>
      <c r="C747" s="234"/>
      <c r="D747" s="815"/>
      <c r="E747" s="1537"/>
      <c r="F747" s="763"/>
      <c r="G747" s="763"/>
      <c r="H747" s="763"/>
      <c r="I747" s="763"/>
      <c r="J747" s="763"/>
      <c r="K747" s="781"/>
      <c r="L747" s="781"/>
      <c r="M747" s="781"/>
      <c r="N747" s="781"/>
      <c r="O747" s="781"/>
      <c r="P747" s="781"/>
      <c r="Q747" s="781"/>
      <c r="R747" s="781"/>
      <c r="S747" s="781"/>
      <c r="T747" s="781"/>
      <c r="U747" s="781"/>
      <c r="V747" s="781"/>
      <c r="W747" s="137"/>
      <c r="X747" s="137"/>
      <c r="Y747" s="137"/>
      <c r="Z747" s="137"/>
    </row>
    <row r="748" ht="15.75" customHeight="1">
      <c r="A748" s="1385"/>
      <c r="B748" s="1385"/>
      <c r="C748" s="234"/>
      <c r="D748" s="815"/>
      <c r="E748" s="1537"/>
      <c r="F748" s="763"/>
      <c r="G748" s="763"/>
      <c r="H748" s="763"/>
      <c r="I748" s="763"/>
      <c r="J748" s="763"/>
      <c r="K748" s="781"/>
      <c r="L748" s="781"/>
      <c r="M748" s="781"/>
      <c r="N748" s="781"/>
      <c r="O748" s="781"/>
      <c r="P748" s="781"/>
      <c r="Q748" s="781"/>
      <c r="R748" s="781"/>
      <c r="S748" s="781"/>
      <c r="T748" s="781"/>
      <c r="U748" s="781"/>
      <c r="V748" s="781"/>
      <c r="W748" s="137"/>
      <c r="X748" s="137"/>
      <c r="Y748" s="137"/>
      <c r="Z748" s="137"/>
    </row>
    <row r="749" ht="15.75" customHeight="1">
      <c r="A749" s="1385"/>
      <c r="B749" s="1385"/>
      <c r="C749" s="234"/>
      <c r="D749" s="815"/>
      <c r="E749" s="1537"/>
      <c r="F749" s="763"/>
      <c r="G749" s="763"/>
      <c r="H749" s="763"/>
      <c r="I749" s="763"/>
      <c r="J749" s="763"/>
      <c r="K749" s="781"/>
      <c r="L749" s="781"/>
      <c r="M749" s="781"/>
      <c r="N749" s="781"/>
      <c r="O749" s="781"/>
      <c r="P749" s="781"/>
      <c r="Q749" s="781"/>
      <c r="R749" s="781"/>
      <c r="S749" s="781"/>
      <c r="T749" s="781"/>
      <c r="U749" s="781"/>
      <c r="V749" s="781"/>
      <c r="W749" s="137"/>
      <c r="X749" s="137"/>
      <c r="Y749" s="137"/>
      <c r="Z749" s="137"/>
    </row>
    <row r="750" ht="15.75" customHeight="1">
      <c r="A750" s="1385"/>
      <c r="B750" s="1385"/>
      <c r="C750" s="234"/>
      <c r="D750" s="815"/>
      <c r="E750" s="1537"/>
      <c r="F750" s="763"/>
      <c r="G750" s="763"/>
      <c r="H750" s="763"/>
      <c r="I750" s="763"/>
      <c r="J750" s="763"/>
      <c r="K750" s="781"/>
      <c r="L750" s="781"/>
      <c r="M750" s="781"/>
      <c r="N750" s="781"/>
      <c r="O750" s="781"/>
      <c r="P750" s="781"/>
      <c r="Q750" s="781"/>
      <c r="R750" s="781"/>
      <c r="S750" s="781"/>
      <c r="T750" s="781"/>
      <c r="U750" s="781"/>
      <c r="V750" s="781"/>
      <c r="W750" s="137"/>
      <c r="X750" s="137"/>
      <c r="Y750" s="137"/>
      <c r="Z750" s="137"/>
    </row>
    <row r="751" ht="15.75" customHeight="1">
      <c r="A751" s="1385"/>
      <c r="B751" s="1385"/>
      <c r="C751" s="234"/>
      <c r="D751" s="815"/>
      <c r="E751" s="1537"/>
      <c r="F751" s="763"/>
      <c r="G751" s="763"/>
      <c r="H751" s="763"/>
      <c r="I751" s="763"/>
      <c r="J751" s="763"/>
      <c r="K751" s="781"/>
      <c r="L751" s="781"/>
      <c r="M751" s="781"/>
      <c r="N751" s="781"/>
      <c r="O751" s="781"/>
      <c r="P751" s="781"/>
      <c r="Q751" s="781"/>
      <c r="R751" s="781"/>
      <c r="S751" s="781"/>
      <c r="T751" s="781"/>
      <c r="U751" s="781"/>
      <c r="V751" s="781"/>
      <c r="W751" s="137"/>
      <c r="X751" s="137"/>
      <c r="Y751" s="137"/>
      <c r="Z751" s="137"/>
    </row>
    <row r="752" ht="15.75" customHeight="1">
      <c r="A752" s="1385"/>
      <c r="B752" s="1385"/>
      <c r="C752" s="234"/>
      <c r="D752" s="815"/>
      <c r="E752" s="1537"/>
      <c r="F752" s="763"/>
      <c r="G752" s="763"/>
      <c r="H752" s="763"/>
      <c r="I752" s="763"/>
      <c r="J752" s="763"/>
      <c r="K752" s="781"/>
      <c r="L752" s="781"/>
      <c r="M752" s="781"/>
      <c r="N752" s="781"/>
      <c r="O752" s="781"/>
      <c r="P752" s="781"/>
      <c r="Q752" s="781"/>
      <c r="R752" s="781"/>
      <c r="S752" s="781"/>
      <c r="T752" s="781"/>
      <c r="U752" s="781"/>
      <c r="V752" s="781"/>
      <c r="W752" s="137"/>
      <c r="X752" s="137"/>
      <c r="Y752" s="137"/>
      <c r="Z752" s="137"/>
    </row>
    <row r="753" ht="15.75" customHeight="1">
      <c r="A753" s="1385"/>
      <c r="B753" s="1385"/>
      <c r="C753" s="234"/>
      <c r="D753" s="815"/>
      <c r="E753" s="1537"/>
      <c r="F753" s="763"/>
      <c r="G753" s="763"/>
      <c r="H753" s="763"/>
      <c r="I753" s="763"/>
      <c r="J753" s="763"/>
      <c r="K753" s="781"/>
      <c r="L753" s="781"/>
      <c r="M753" s="781"/>
      <c r="N753" s="781"/>
      <c r="O753" s="781"/>
      <c r="P753" s="781"/>
      <c r="Q753" s="781"/>
      <c r="R753" s="781"/>
      <c r="S753" s="781"/>
      <c r="T753" s="781"/>
      <c r="U753" s="781"/>
      <c r="V753" s="781"/>
      <c r="W753" s="137"/>
      <c r="X753" s="137"/>
      <c r="Y753" s="137"/>
      <c r="Z753" s="137"/>
    </row>
    <row r="754" ht="15.75" customHeight="1">
      <c r="A754" s="1385"/>
      <c r="B754" s="1385"/>
      <c r="C754" s="234"/>
      <c r="D754" s="815"/>
      <c r="E754" s="1537"/>
      <c r="F754" s="763"/>
      <c r="G754" s="763"/>
      <c r="H754" s="763"/>
      <c r="I754" s="763"/>
      <c r="J754" s="763"/>
      <c r="K754" s="781"/>
      <c r="L754" s="781"/>
      <c r="M754" s="781"/>
      <c r="N754" s="781"/>
      <c r="O754" s="781"/>
      <c r="P754" s="781"/>
      <c r="Q754" s="781"/>
      <c r="R754" s="781"/>
      <c r="S754" s="781"/>
      <c r="T754" s="781"/>
      <c r="U754" s="781"/>
      <c r="V754" s="781"/>
      <c r="W754" s="137"/>
      <c r="X754" s="137"/>
      <c r="Y754" s="137"/>
      <c r="Z754" s="137"/>
    </row>
    <row r="755" ht="15.75" customHeight="1">
      <c r="A755" s="1385"/>
      <c r="B755" s="1385"/>
      <c r="C755" s="234"/>
      <c r="D755" s="815"/>
      <c r="E755" s="1537"/>
      <c r="F755" s="763"/>
      <c r="G755" s="763"/>
      <c r="H755" s="763"/>
      <c r="I755" s="763"/>
      <c r="J755" s="763"/>
      <c r="K755" s="781"/>
      <c r="L755" s="781"/>
      <c r="M755" s="781"/>
      <c r="N755" s="781"/>
      <c r="O755" s="781"/>
      <c r="P755" s="781"/>
      <c r="Q755" s="781"/>
      <c r="R755" s="781"/>
      <c r="S755" s="781"/>
      <c r="T755" s="781"/>
      <c r="U755" s="781"/>
      <c r="V755" s="781"/>
      <c r="W755" s="137"/>
      <c r="X755" s="137"/>
      <c r="Y755" s="137"/>
      <c r="Z755" s="137"/>
    </row>
    <row r="756" ht="15.75" customHeight="1">
      <c r="A756" s="1385"/>
      <c r="B756" s="1385"/>
      <c r="C756" s="234"/>
      <c r="D756" s="815"/>
      <c r="E756" s="1537"/>
      <c r="F756" s="763"/>
      <c r="G756" s="763"/>
      <c r="H756" s="763"/>
      <c r="I756" s="763"/>
      <c r="J756" s="763"/>
      <c r="K756" s="781"/>
      <c r="L756" s="781"/>
      <c r="M756" s="781"/>
      <c r="N756" s="781"/>
      <c r="O756" s="781"/>
      <c r="P756" s="781"/>
      <c r="Q756" s="781"/>
      <c r="R756" s="781"/>
      <c r="S756" s="781"/>
      <c r="T756" s="781"/>
      <c r="U756" s="781"/>
      <c r="V756" s="781"/>
      <c r="W756" s="137"/>
      <c r="X756" s="137"/>
      <c r="Y756" s="137"/>
      <c r="Z756" s="137"/>
    </row>
    <row r="757" ht="15.75" customHeight="1">
      <c r="A757" s="1385"/>
      <c r="B757" s="1385"/>
      <c r="C757" s="234"/>
      <c r="D757" s="815"/>
      <c r="E757" s="1537"/>
      <c r="F757" s="763"/>
      <c r="G757" s="763"/>
      <c r="H757" s="763"/>
      <c r="I757" s="763"/>
      <c r="J757" s="763"/>
      <c r="K757" s="781"/>
      <c r="L757" s="781"/>
      <c r="M757" s="781"/>
      <c r="N757" s="781"/>
      <c r="O757" s="781"/>
      <c r="P757" s="781"/>
      <c r="Q757" s="781"/>
      <c r="R757" s="781"/>
      <c r="S757" s="781"/>
      <c r="T757" s="781"/>
      <c r="U757" s="781"/>
      <c r="V757" s="781"/>
      <c r="W757" s="137"/>
      <c r="X757" s="137"/>
      <c r="Y757" s="137"/>
      <c r="Z757" s="137"/>
    </row>
    <row r="758" ht="15.75" customHeight="1">
      <c r="A758" s="1385"/>
      <c r="B758" s="1385"/>
      <c r="C758" s="234"/>
      <c r="D758" s="815"/>
      <c r="E758" s="1537"/>
      <c r="F758" s="763"/>
      <c r="G758" s="763"/>
      <c r="H758" s="763"/>
      <c r="I758" s="763"/>
      <c r="J758" s="763"/>
      <c r="K758" s="781"/>
      <c r="L758" s="781"/>
      <c r="M758" s="781"/>
      <c r="N758" s="781"/>
      <c r="O758" s="781"/>
      <c r="P758" s="781"/>
      <c r="Q758" s="781"/>
      <c r="R758" s="781"/>
      <c r="S758" s="781"/>
      <c r="T758" s="781"/>
      <c r="U758" s="781"/>
      <c r="V758" s="781"/>
      <c r="W758" s="137"/>
      <c r="X758" s="137"/>
      <c r="Y758" s="137"/>
      <c r="Z758" s="137"/>
    </row>
    <row r="759" ht="15.75" customHeight="1">
      <c r="A759" s="1385"/>
      <c r="B759" s="1385"/>
      <c r="C759" s="234"/>
      <c r="D759" s="815"/>
      <c r="E759" s="1537"/>
      <c r="F759" s="763"/>
      <c r="G759" s="763"/>
      <c r="H759" s="763"/>
      <c r="I759" s="763"/>
      <c r="J759" s="763"/>
      <c r="K759" s="781"/>
      <c r="L759" s="781"/>
      <c r="M759" s="781"/>
      <c r="N759" s="781"/>
      <c r="O759" s="781"/>
      <c r="P759" s="781"/>
      <c r="Q759" s="781"/>
      <c r="R759" s="781"/>
      <c r="S759" s="781"/>
      <c r="T759" s="781"/>
      <c r="U759" s="781"/>
      <c r="V759" s="781"/>
      <c r="W759" s="137"/>
      <c r="X759" s="137"/>
      <c r="Y759" s="137"/>
      <c r="Z759" s="137"/>
    </row>
    <row r="760" ht="15.75" customHeight="1">
      <c r="A760" s="1385"/>
      <c r="B760" s="1385"/>
      <c r="C760" s="234"/>
      <c r="D760" s="815"/>
      <c r="E760" s="1537"/>
      <c r="F760" s="763"/>
      <c r="G760" s="763"/>
      <c r="H760" s="763"/>
      <c r="I760" s="763"/>
      <c r="J760" s="763"/>
      <c r="K760" s="781"/>
      <c r="L760" s="781"/>
      <c r="M760" s="781"/>
      <c r="N760" s="781"/>
      <c r="O760" s="781"/>
      <c r="P760" s="781"/>
      <c r="Q760" s="781"/>
      <c r="R760" s="781"/>
      <c r="S760" s="781"/>
      <c r="T760" s="781"/>
      <c r="U760" s="781"/>
      <c r="V760" s="781"/>
      <c r="W760" s="137"/>
      <c r="X760" s="137"/>
      <c r="Y760" s="137"/>
      <c r="Z760" s="137"/>
    </row>
    <row r="761" ht="15.75" customHeight="1">
      <c r="A761" s="1385"/>
      <c r="B761" s="1385"/>
      <c r="C761" s="234"/>
      <c r="D761" s="815"/>
      <c r="E761" s="1537"/>
      <c r="F761" s="763"/>
      <c r="G761" s="763"/>
      <c r="H761" s="763"/>
      <c r="I761" s="763"/>
      <c r="J761" s="763"/>
      <c r="K761" s="781"/>
      <c r="L761" s="781"/>
      <c r="M761" s="781"/>
      <c r="N761" s="781"/>
      <c r="O761" s="781"/>
      <c r="P761" s="781"/>
      <c r="Q761" s="781"/>
      <c r="R761" s="781"/>
      <c r="S761" s="781"/>
      <c r="T761" s="781"/>
      <c r="U761" s="781"/>
      <c r="V761" s="781"/>
      <c r="W761" s="137"/>
      <c r="X761" s="137"/>
      <c r="Y761" s="137"/>
      <c r="Z761" s="137"/>
    </row>
    <row r="762" ht="15.75" customHeight="1">
      <c r="A762" s="1385"/>
      <c r="B762" s="1385"/>
      <c r="C762" s="234"/>
      <c r="D762" s="815"/>
      <c r="E762" s="1537"/>
      <c r="F762" s="763"/>
      <c r="G762" s="763"/>
      <c r="H762" s="763"/>
      <c r="I762" s="763"/>
      <c r="J762" s="763"/>
      <c r="K762" s="781"/>
      <c r="L762" s="781"/>
      <c r="M762" s="781"/>
      <c r="N762" s="781"/>
      <c r="O762" s="781"/>
      <c r="P762" s="781"/>
      <c r="Q762" s="781"/>
      <c r="R762" s="781"/>
      <c r="S762" s="781"/>
      <c r="T762" s="781"/>
      <c r="U762" s="781"/>
      <c r="V762" s="781"/>
      <c r="W762" s="137"/>
      <c r="X762" s="137"/>
      <c r="Y762" s="137"/>
      <c r="Z762" s="137"/>
    </row>
    <row r="763" ht="15.75" customHeight="1">
      <c r="A763" s="1385"/>
      <c r="B763" s="1385"/>
      <c r="C763" s="234"/>
      <c r="D763" s="815"/>
      <c r="E763" s="1537"/>
      <c r="F763" s="763"/>
      <c r="G763" s="763"/>
      <c r="H763" s="763"/>
      <c r="I763" s="763"/>
      <c r="J763" s="763"/>
      <c r="K763" s="781"/>
      <c r="L763" s="781"/>
      <c r="M763" s="781"/>
      <c r="N763" s="781"/>
      <c r="O763" s="781"/>
      <c r="P763" s="781"/>
      <c r="Q763" s="781"/>
      <c r="R763" s="781"/>
      <c r="S763" s="781"/>
      <c r="T763" s="781"/>
      <c r="U763" s="781"/>
      <c r="V763" s="781"/>
      <c r="W763" s="137"/>
      <c r="X763" s="137"/>
      <c r="Y763" s="137"/>
      <c r="Z763" s="137"/>
    </row>
    <row r="764" ht="15.75" customHeight="1">
      <c r="A764" s="1385"/>
      <c r="B764" s="1385"/>
      <c r="C764" s="234"/>
      <c r="D764" s="815"/>
      <c r="E764" s="1537"/>
      <c r="F764" s="763"/>
      <c r="G764" s="763"/>
      <c r="H764" s="763"/>
      <c r="I764" s="763"/>
      <c r="J764" s="763"/>
      <c r="K764" s="781"/>
      <c r="L764" s="781"/>
      <c r="M764" s="781"/>
      <c r="N764" s="781"/>
      <c r="O764" s="781"/>
      <c r="P764" s="781"/>
      <c r="Q764" s="781"/>
      <c r="R764" s="781"/>
      <c r="S764" s="781"/>
      <c r="T764" s="781"/>
      <c r="U764" s="781"/>
      <c r="V764" s="781"/>
      <c r="W764" s="137"/>
      <c r="X764" s="137"/>
      <c r="Y764" s="137"/>
      <c r="Z764" s="137"/>
    </row>
    <row r="765" ht="15.75" customHeight="1">
      <c r="A765" s="1385"/>
      <c r="B765" s="1385"/>
      <c r="C765" s="234"/>
      <c r="D765" s="815"/>
      <c r="E765" s="1537"/>
      <c r="F765" s="763"/>
      <c r="G765" s="763"/>
      <c r="H765" s="763"/>
      <c r="I765" s="763"/>
      <c r="J765" s="763"/>
      <c r="K765" s="781"/>
      <c r="L765" s="781"/>
      <c r="M765" s="781"/>
      <c r="N765" s="781"/>
      <c r="O765" s="781"/>
      <c r="P765" s="781"/>
      <c r="Q765" s="781"/>
      <c r="R765" s="781"/>
      <c r="S765" s="781"/>
      <c r="T765" s="781"/>
      <c r="U765" s="781"/>
      <c r="V765" s="781"/>
      <c r="W765" s="137"/>
      <c r="X765" s="137"/>
      <c r="Y765" s="137"/>
      <c r="Z765" s="137"/>
    </row>
    <row r="766" ht="15.75" customHeight="1">
      <c r="A766" s="1385"/>
      <c r="B766" s="1385"/>
      <c r="C766" s="234"/>
      <c r="D766" s="815"/>
      <c r="E766" s="1537"/>
      <c r="F766" s="763"/>
      <c r="G766" s="763"/>
      <c r="H766" s="763"/>
      <c r="I766" s="763"/>
      <c r="J766" s="763"/>
      <c r="K766" s="781"/>
      <c r="L766" s="781"/>
      <c r="M766" s="781"/>
      <c r="N766" s="781"/>
      <c r="O766" s="781"/>
      <c r="P766" s="781"/>
      <c r="Q766" s="781"/>
      <c r="R766" s="781"/>
      <c r="S766" s="781"/>
      <c r="T766" s="781"/>
      <c r="U766" s="781"/>
      <c r="V766" s="781"/>
      <c r="W766" s="137"/>
      <c r="X766" s="137"/>
      <c r="Y766" s="137"/>
      <c r="Z766" s="137"/>
    </row>
    <row r="767" ht="15.75" customHeight="1">
      <c r="A767" s="1385"/>
      <c r="B767" s="1385"/>
      <c r="C767" s="234"/>
      <c r="D767" s="815"/>
      <c r="E767" s="1537"/>
      <c r="F767" s="763"/>
      <c r="G767" s="763"/>
      <c r="H767" s="763"/>
      <c r="I767" s="763"/>
      <c r="J767" s="763"/>
      <c r="K767" s="781"/>
      <c r="L767" s="781"/>
      <c r="M767" s="781"/>
      <c r="N767" s="781"/>
      <c r="O767" s="781"/>
      <c r="P767" s="781"/>
      <c r="Q767" s="781"/>
      <c r="R767" s="781"/>
      <c r="S767" s="781"/>
      <c r="T767" s="781"/>
      <c r="U767" s="781"/>
      <c r="V767" s="781"/>
      <c r="W767" s="137"/>
      <c r="X767" s="137"/>
      <c r="Y767" s="137"/>
      <c r="Z767" s="137"/>
    </row>
    <row r="768" ht="15.75" customHeight="1">
      <c r="A768" s="1385"/>
      <c r="B768" s="1385"/>
      <c r="C768" s="234"/>
      <c r="D768" s="815"/>
      <c r="E768" s="1537"/>
      <c r="F768" s="763"/>
      <c r="G768" s="763"/>
      <c r="H768" s="763"/>
      <c r="I768" s="763"/>
      <c r="J768" s="763"/>
      <c r="K768" s="781"/>
      <c r="L768" s="781"/>
      <c r="M768" s="781"/>
      <c r="N768" s="781"/>
      <c r="O768" s="781"/>
      <c r="P768" s="781"/>
      <c r="Q768" s="781"/>
      <c r="R768" s="781"/>
      <c r="S768" s="781"/>
      <c r="T768" s="781"/>
      <c r="U768" s="781"/>
      <c r="V768" s="781"/>
      <c r="W768" s="137"/>
      <c r="X768" s="137"/>
      <c r="Y768" s="137"/>
      <c r="Z768" s="137"/>
    </row>
    <row r="769" ht="15.75" customHeight="1">
      <c r="A769" s="1385"/>
      <c r="B769" s="1385"/>
      <c r="C769" s="234"/>
      <c r="D769" s="815"/>
      <c r="E769" s="1537"/>
      <c r="F769" s="763"/>
      <c r="G769" s="763"/>
      <c r="H769" s="763"/>
      <c r="I769" s="763"/>
      <c r="J769" s="763"/>
      <c r="K769" s="781"/>
      <c r="L769" s="781"/>
      <c r="M769" s="781"/>
      <c r="N769" s="781"/>
      <c r="O769" s="781"/>
      <c r="P769" s="781"/>
      <c r="Q769" s="781"/>
      <c r="R769" s="781"/>
      <c r="S769" s="781"/>
      <c r="T769" s="781"/>
      <c r="U769" s="781"/>
      <c r="V769" s="781"/>
      <c r="W769" s="137"/>
      <c r="X769" s="137"/>
      <c r="Y769" s="137"/>
      <c r="Z769" s="137"/>
    </row>
    <row r="770" ht="15.75" customHeight="1">
      <c r="A770" s="1385"/>
      <c r="B770" s="1385"/>
      <c r="C770" s="234"/>
      <c r="D770" s="815"/>
      <c r="E770" s="1537"/>
      <c r="F770" s="763"/>
      <c r="G770" s="763"/>
      <c r="H770" s="763"/>
      <c r="I770" s="763"/>
      <c r="J770" s="763"/>
      <c r="K770" s="781"/>
      <c r="L770" s="781"/>
      <c r="M770" s="781"/>
      <c r="N770" s="781"/>
      <c r="O770" s="781"/>
      <c r="P770" s="781"/>
      <c r="Q770" s="781"/>
      <c r="R770" s="781"/>
      <c r="S770" s="781"/>
      <c r="T770" s="781"/>
      <c r="U770" s="781"/>
      <c r="V770" s="781"/>
      <c r="W770" s="137"/>
      <c r="X770" s="137"/>
      <c r="Y770" s="137"/>
      <c r="Z770" s="137"/>
    </row>
    <row r="771" ht="15.75" customHeight="1">
      <c r="A771" s="1385"/>
      <c r="B771" s="1385"/>
      <c r="C771" s="234"/>
      <c r="D771" s="815"/>
      <c r="E771" s="1537"/>
      <c r="F771" s="763"/>
      <c r="G771" s="763"/>
      <c r="H771" s="763"/>
      <c r="I771" s="763"/>
      <c r="J771" s="763"/>
      <c r="K771" s="781"/>
      <c r="L771" s="781"/>
      <c r="M771" s="781"/>
      <c r="N771" s="781"/>
      <c r="O771" s="781"/>
      <c r="P771" s="781"/>
      <c r="Q771" s="781"/>
      <c r="R771" s="781"/>
      <c r="S771" s="781"/>
      <c r="T771" s="781"/>
      <c r="U771" s="781"/>
      <c r="V771" s="781"/>
      <c r="W771" s="137"/>
      <c r="X771" s="137"/>
      <c r="Y771" s="137"/>
      <c r="Z771" s="137"/>
    </row>
    <row r="772" ht="15.75" customHeight="1">
      <c r="A772" s="1385"/>
      <c r="B772" s="1385"/>
      <c r="C772" s="234"/>
      <c r="D772" s="815"/>
      <c r="E772" s="1537"/>
      <c r="F772" s="763"/>
      <c r="G772" s="763"/>
      <c r="H772" s="763"/>
      <c r="I772" s="763"/>
      <c r="J772" s="763"/>
      <c r="K772" s="781"/>
      <c r="L772" s="781"/>
      <c r="M772" s="781"/>
      <c r="N772" s="781"/>
      <c r="O772" s="781"/>
      <c r="P772" s="781"/>
      <c r="Q772" s="781"/>
      <c r="R772" s="781"/>
      <c r="S772" s="781"/>
      <c r="T772" s="781"/>
      <c r="U772" s="781"/>
      <c r="V772" s="781"/>
      <c r="W772" s="137"/>
      <c r="X772" s="137"/>
      <c r="Y772" s="137"/>
      <c r="Z772" s="137"/>
    </row>
    <row r="773" ht="15.75" customHeight="1">
      <c r="A773" s="1385"/>
      <c r="B773" s="1385"/>
      <c r="C773" s="234"/>
      <c r="D773" s="815"/>
      <c r="E773" s="1537"/>
      <c r="F773" s="763"/>
      <c r="G773" s="763"/>
      <c r="H773" s="763"/>
      <c r="I773" s="763"/>
      <c r="J773" s="763"/>
      <c r="K773" s="781"/>
      <c r="L773" s="781"/>
      <c r="M773" s="781"/>
      <c r="N773" s="781"/>
      <c r="O773" s="781"/>
      <c r="P773" s="781"/>
      <c r="Q773" s="781"/>
      <c r="R773" s="781"/>
      <c r="S773" s="781"/>
      <c r="T773" s="781"/>
      <c r="U773" s="781"/>
      <c r="V773" s="781"/>
      <c r="W773" s="137"/>
      <c r="X773" s="137"/>
      <c r="Y773" s="137"/>
      <c r="Z773" s="137"/>
    </row>
    <row r="774" ht="15.75" customHeight="1">
      <c r="A774" s="1385"/>
      <c r="B774" s="1385"/>
      <c r="C774" s="234"/>
      <c r="D774" s="815"/>
      <c r="E774" s="1537"/>
      <c r="F774" s="763"/>
      <c r="G774" s="763"/>
      <c r="H774" s="763"/>
      <c r="I774" s="763"/>
      <c r="J774" s="763"/>
      <c r="K774" s="781"/>
      <c r="L774" s="781"/>
      <c r="M774" s="781"/>
      <c r="N774" s="781"/>
      <c r="O774" s="781"/>
      <c r="P774" s="781"/>
      <c r="Q774" s="781"/>
      <c r="R774" s="781"/>
      <c r="S774" s="781"/>
      <c r="T774" s="781"/>
      <c r="U774" s="781"/>
      <c r="V774" s="781"/>
      <c r="W774" s="137"/>
      <c r="X774" s="137"/>
      <c r="Y774" s="137"/>
      <c r="Z774" s="137"/>
    </row>
    <row r="775" ht="15.75" customHeight="1">
      <c r="A775" s="1385"/>
      <c r="B775" s="1385"/>
      <c r="C775" s="234"/>
      <c r="D775" s="815"/>
      <c r="E775" s="1537"/>
      <c r="F775" s="763"/>
      <c r="G775" s="763"/>
      <c r="H775" s="763"/>
      <c r="I775" s="763"/>
      <c r="J775" s="763"/>
      <c r="K775" s="781"/>
      <c r="L775" s="781"/>
      <c r="M775" s="781"/>
      <c r="N775" s="781"/>
      <c r="O775" s="781"/>
      <c r="P775" s="781"/>
      <c r="Q775" s="781"/>
      <c r="R775" s="781"/>
      <c r="S775" s="781"/>
      <c r="T775" s="781"/>
      <c r="U775" s="781"/>
      <c r="V775" s="781"/>
      <c r="W775" s="137"/>
      <c r="X775" s="137"/>
      <c r="Y775" s="137"/>
      <c r="Z775" s="137"/>
    </row>
    <row r="776" ht="15.75" customHeight="1">
      <c r="A776" s="1385"/>
      <c r="B776" s="1385"/>
      <c r="C776" s="234"/>
      <c r="D776" s="815"/>
      <c r="E776" s="1537"/>
      <c r="F776" s="763"/>
      <c r="G776" s="763"/>
      <c r="H776" s="763"/>
      <c r="I776" s="763"/>
      <c r="J776" s="763"/>
      <c r="K776" s="781"/>
      <c r="L776" s="781"/>
      <c r="M776" s="781"/>
      <c r="N776" s="781"/>
      <c r="O776" s="781"/>
      <c r="P776" s="781"/>
      <c r="Q776" s="781"/>
      <c r="R776" s="781"/>
      <c r="S776" s="781"/>
      <c r="T776" s="781"/>
      <c r="U776" s="781"/>
      <c r="V776" s="781"/>
      <c r="W776" s="137"/>
      <c r="X776" s="137"/>
      <c r="Y776" s="137"/>
      <c r="Z776" s="137"/>
    </row>
    <row r="777" ht="15.75" customHeight="1">
      <c r="A777" s="1385"/>
      <c r="B777" s="1385"/>
      <c r="C777" s="234"/>
      <c r="D777" s="815"/>
      <c r="E777" s="1537"/>
      <c r="F777" s="763"/>
      <c r="G777" s="763"/>
      <c r="H777" s="763"/>
      <c r="I777" s="763"/>
      <c r="J777" s="763"/>
      <c r="K777" s="781"/>
      <c r="L777" s="781"/>
      <c r="M777" s="781"/>
      <c r="N777" s="781"/>
      <c r="O777" s="781"/>
      <c r="P777" s="781"/>
      <c r="Q777" s="781"/>
      <c r="R777" s="781"/>
      <c r="S777" s="781"/>
      <c r="T777" s="781"/>
      <c r="U777" s="781"/>
      <c r="V777" s="781"/>
      <c r="W777" s="137"/>
      <c r="X777" s="137"/>
      <c r="Y777" s="137"/>
      <c r="Z777" s="137"/>
    </row>
    <row r="778" ht="15.75" customHeight="1">
      <c r="A778" s="1385"/>
      <c r="B778" s="1385"/>
      <c r="C778" s="234"/>
      <c r="D778" s="815"/>
      <c r="E778" s="1537"/>
      <c r="F778" s="763"/>
      <c r="G778" s="763"/>
      <c r="H778" s="763"/>
      <c r="I778" s="763"/>
      <c r="J778" s="763"/>
      <c r="K778" s="781"/>
      <c r="L778" s="781"/>
      <c r="M778" s="781"/>
      <c r="N778" s="781"/>
      <c r="O778" s="781"/>
      <c r="P778" s="781"/>
      <c r="Q778" s="781"/>
      <c r="R778" s="781"/>
      <c r="S778" s="781"/>
      <c r="T778" s="781"/>
      <c r="U778" s="781"/>
      <c r="V778" s="781"/>
      <c r="W778" s="137"/>
      <c r="X778" s="137"/>
      <c r="Y778" s="137"/>
      <c r="Z778" s="137"/>
    </row>
    <row r="779" ht="15.75" customHeight="1">
      <c r="A779" s="1385"/>
      <c r="B779" s="1385"/>
      <c r="C779" s="234"/>
      <c r="D779" s="815"/>
      <c r="E779" s="1537"/>
      <c r="F779" s="763"/>
      <c r="G779" s="763"/>
      <c r="H779" s="763"/>
      <c r="I779" s="763"/>
      <c r="J779" s="763"/>
      <c r="K779" s="781"/>
      <c r="L779" s="781"/>
      <c r="M779" s="781"/>
      <c r="N779" s="781"/>
      <c r="O779" s="781"/>
      <c r="P779" s="781"/>
      <c r="Q779" s="781"/>
      <c r="R779" s="781"/>
      <c r="S779" s="781"/>
      <c r="T779" s="781"/>
      <c r="U779" s="781"/>
      <c r="V779" s="781"/>
      <c r="W779" s="137"/>
      <c r="X779" s="137"/>
      <c r="Y779" s="137"/>
      <c r="Z779" s="137"/>
    </row>
    <row r="780" ht="15.75" customHeight="1">
      <c r="A780" s="1385"/>
      <c r="B780" s="1385"/>
      <c r="C780" s="234"/>
      <c r="D780" s="815"/>
      <c r="E780" s="1537"/>
      <c r="F780" s="763"/>
      <c r="G780" s="763"/>
      <c r="H780" s="763"/>
      <c r="I780" s="763"/>
      <c r="J780" s="763"/>
      <c r="K780" s="781"/>
      <c r="L780" s="781"/>
      <c r="M780" s="781"/>
      <c r="N780" s="781"/>
      <c r="O780" s="781"/>
      <c r="P780" s="781"/>
      <c r="Q780" s="781"/>
      <c r="R780" s="781"/>
      <c r="S780" s="781"/>
      <c r="T780" s="781"/>
      <c r="U780" s="781"/>
      <c r="V780" s="781"/>
      <c r="W780" s="137"/>
      <c r="X780" s="137"/>
      <c r="Y780" s="137"/>
      <c r="Z780" s="137"/>
    </row>
    <row r="781" ht="15.75" customHeight="1">
      <c r="A781" s="1385"/>
      <c r="B781" s="1385"/>
      <c r="C781" s="234"/>
      <c r="D781" s="815"/>
      <c r="E781" s="1537"/>
      <c r="F781" s="763"/>
      <c r="G781" s="763"/>
      <c r="H781" s="763"/>
      <c r="I781" s="763"/>
      <c r="J781" s="763"/>
      <c r="K781" s="781"/>
      <c r="L781" s="781"/>
      <c r="M781" s="781"/>
      <c r="N781" s="781"/>
      <c r="O781" s="781"/>
      <c r="P781" s="781"/>
      <c r="Q781" s="781"/>
      <c r="R781" s="781"/>
      <c r="S781" s="781"/>
      <c r="T781" s="781"/>
      <c r="U781" s="781"/>
      <c r="V781" s="781"/>
      <c r="W781" s="137"/>
      <c r="X781" s="137"/>
      <c r="Y781" s="137"/>
      <c r="Z781" s="137"/>
    </row>
    <row r="782" ht="15.75" customHeight="1">
      <c r="A782" s="1385"/>
      <c r="B782" s="1385"/>
      <c r="C782" s="234"/>
      <c r="D782" s="815"/>
      <c r="E782" s="1537"/>
      <c r="F782" s="763"/>
      <c r="G782" s="763"/>
      <c r="H782" s="763"/>
      <c r="I782" s="763"/>
      <c r="J782" s="763"/>
      <c r="K782" s="781"/>
      <c r="L782" s="781"/>
      <c r="M782" s="781"/>
      <c r="N782" s="781"/>
      <c r="O782" s="781"/>
      <c r="P782" s="781"/>
      <c r="Q782" s="781"/>
      <c r="R782" s="781"/>
      <c r="S782" s="781"/>
      <c r="T782" s="781"/>
      <c r="U782" s="781"/>
      <c r="V782" s="781"/>
      <c r="W782" s="137"/>
      <c r="X782" s="137"/>
      <c r="Y782" s="137"/>
      <c r="Z782" s="137"/>
    </row>
    <row r="783" ht="15.75" customHeight="1">
      <c r="A783" s="1385"/>
      <c r="B783" s="1385"/>
      <c r="C783" s="234"/>
      <c r="D783" s="815"/>
      <c r="E783" s="1537"/>
      <c r="F783" s="763"/>
      <c r="G783" s="763"/>
      <c r="H783" s="763"/>
      <c r="I783" s="763"/>
      <c r="J783" s="763"/>
      <c r="K783" s="781"/>
      <c r="L783" s="781"/>
      <c r="M783" s="781"/>
      <c r="N783" s="781"/>
      <c r="O783" s="781"/>
      <c r="P783" s="781"/>
      <c r="Q783" s="781"/>
      <c r="R783" s="781"/>
      <c r="S783" s="781"/>
      <c r="T783" s="781"/>
      <c r="U783" s="781"/>
      <c r="V783" s="781"/>
      <c r="W783" s="137"/>
      <c r="X783" s="137"/>
      <c r="Y783" s="137"/>
      <c r="Z783" s="137"/>
    </row>
    <row r="784" ht="15.75" customHeight="1">
      <c r="A784" s="1385"/>
      <c r="B784" s="1385"/>
      <c r="C784" s="234"/>
      <c r="D784" s="815"/>
      <c r="E784" s="1537"/>
      <c r="F784" s="763"/>
      <c r="G784" s="763"/>
      <c r="H784" s="763"/>
      <c r="I784" s="763"/>
      <c r="J784" s="763"/>
      <c r="K784" s="781"/>
      <c r="L784" s="781"/>
      <c r="M784" s="781"/>
      <c r="N784" s="781"/>
      <c r="O784" s="781"/>
      <c r="P784" s="781"/>
      <c r="Q784" s="781"/>
      <c r="R784" s="781"/>
      <c r="S784" s="781"/>
      <c r="T784" s="781"/>
      <c r="U784" s="781"/>
      <c r="V784" s="781"/>
      <c r="W784" s="137"/>
      <c r="X784" s="137"/>
      <c r="Y784" s="137"/>
      <c r="Z784" s="137"/>
    </row>
    <row r="785" ht="15.75" customHeight="1">
      <c r="A785" s="1385"/>
      <c r="B785" s="1385"/>
      <c r="C785" s="234"/>
      <c r="D785" s="815"/>
      <c r="E785" s="1537"/>
      <c r="F785" s="763"/>
      <c r="G785" s="763"/>
      <c r="H785" s="763"/>
      <c r="I785" s="763"/>
      <c r="J785" s="763"/>
      <c r="K785" s="781"/>
      <c r="L785" s="781"/>
      <c r="M785" s="781"/>
      <c r="N785" s="781"/>
      <c r="O785" s="781"/>
      <c r="P785" s="781"/>
      <c r="Q785" s="781"/>
      <c r="R785" s="781"/>
      <c r="S785" s="781"/>
      <c r="T785" s="781"/>
      <c r="U785" s="781"/>
      <c r="V785" s="781"/>
      <c r="W785" s="137"/>
      <c r="X785" s="137"/>
      <c r="Y785" s="137"/>
      <c r="Z785" s="137"/>
    </row>
    <row r="786" ht="15.75" customHeight="1">
      <c r="A786" s="1385"/>
      <c r="B786" s="1385"/>
      <c r="C786" s="234"/>
      <c r="D786" s="815"/>
      <c r="E786" s="1537"/>
      <c r="F786" s="763"/>
      <c r="G786" s="763"/>
      <c r="H786" s="763"/>
      <c r="I786" s="763"/>
      <c r="J786" s="763"/>
      <c r="K786" s="781"/>
      <c r="L786" s="781"/>
      <c r="M786" s="781"/>
      <c r="N786" s="781"/>
      <c r="O786" s="781"/>
      <c r="P786" s="781"/>
      <c r="Q786" s="781"/>
      <c r="R786" s="781"/>
      <c r="S786" s="781"/>
      <c r="T786" s="781"/>
      <c r="U786" s="781"/>
      <c r="V786" s="781"/>
      <c r="W786" s="137"/>
      <c r="X786" s="137"/>
      <c r="Y786" s="137"/>
      <c r="Z786" s="137"/>
    </row>
    <row r="787" ht="15.75" customHeight="1">
      <c r="A787" s="1385"/>
      <c r="B787" s="1385"/>
      <c r="C787" s="234"/>
      <c r="D787" s="815"/>
      <c r="E787" s="1537"/>
      <c r="F787" s="763"/>
      <c r="G787" s="763"/>
      <c r="H787" s="763"/>
      <c r="I787" s="763"/>
      <c r="J787" s="763"/>
      <c r="K787" s="781"/>
      <c r="L787" s="781"/>
      <c r="M787" s="781"/>
      <c r="N787" s="781"/>
      <c r="O787" s="781"/>
      <c r="P787" s="781"/>
      <c r="Q787" s="781"/>
      <c r="R787" s="781"/>
      <c r="S787" s="781"/>
      <c r="T787" s="781"/>
      <c r="U787" s="781"/>
      <c r="V787" s="781"/>
      <c r="W787" s="137"/>
      <c r="X787" s="137"/>
      <c r="Y787" s="137"/>
      <c r="Z787" s="137"/>
    </row>
    <row r="788" ht="15.75" customHeight="1">
      <c r="A788" s="1385"/>
      <c r="B788" s="1385"/>
      <c r="C788" s="234"/>
      <c r="D788" s="815"/>
      <c r="E788" s="1537"/>
      <c r="F788" s="763"/>
      <c r="G788" s="763"/>
      <c r="H788" s="763"/>
      <c r="I788" s="763"/>
      <c r="J788" s="763"/>
      <c r="K788" s="781"/>
      <c r="L788" s="781"/>
      <c r="M788" s="781"/>
      <c r="N788" s="781"/>
      <c r="O788" s="781"/>
      <c r="P788" s="781"/>
      <c r="Q788" s="781"/>
      <c r="R788" s="781"/>
      <c r="S788" s="781"/>
      <c r="T788" s="781"/>
      <c r="U788" s="781"/>
      <c r="V788" s="781"/>
      <c r="W788" s="137"/>
      <c r="X788" s="137"/>
      <c r="Y788" s="137"/>
      <c r="Z788" s="137"/>
    </row>
    <row r="789" ht="15.75" customHeight="1">
      <c r="A789" s="1385"/>
      <c r="B789" s="1385"/>
      <c r="C789" s="234"/>
      <c r="D789" s="815"/>
      <c r="E789" s="1537"/>
      <c r="F789" s="763"/>
      <c r="G789" s="763"/>
      <c r="H789" s="763"/>
      <c r="I789" s="763"/>
      <c r="J789" s="763"/>
      <c r="K789" s="781"/>
      <c r="L789" s="781"/>
      <c r="M789" s="781"/>
      <c r="N789" s="781"/>
      <c r="O789" s="781"/>
      <c r="P789" s="781"/>
      <c r="Q789" s="781"/>
      <c r="R789" s="781"/>
      <c r="S789" s="781"/>
      <c r="T789" s="781"/>
      <c r="U789" s="781"/>
      <c r="V789" s="781"/>
      <c r="W789" s="137"/>
      <c r="X789" s="137"/>
      <c r="Y789" s="137"/>
      <c r="Z789" s="137"/>
    </row>
    <row r="790" ht="15.75" customHeight="1">
      <c r="A790" s="1385"/>
      <c r="B790" s="1385"/>
      <c r="C790" s="234"/>
      <c r="D790" s="815"/>
      <c r="E790" s="1537"/>
      <c r="F790" s="763"/>
      <c r="G790" s="763"/>
      <c r="H790" s="763"/>
      <c r="I790" s="763"/>
      <c r="J790" s="763"/>
      <c r="K790" s="781"/>
      <c r="L790" s="781"/>
      <c r="M790" s="781"/>
      <c r="N790" s="781"/>
      <c r="O790" s="781"/>
      <c r="P790" s="781"/>
      <c r="Q790" s="781"/>
      <c r="R790" s="781"/>
      <c r="S790" s="781"/>
      <c r="T790" s="781"/>
      <c r="U790" s="781"/>
      <c r="V790" s="781"/>
      <c r="W790" s="137"/>
      <c r="X790" s="137"/>
      <c r="Y790" s="137"/>
      <c r="Z790" s="137"/>
    </row>
    <row r="791" ht="15.75" customHeight="1">
      <c r="A791" s="1385"/>
      <c r="B791" s="1385"/>
      <c r="C791" s="234"/>
      <c r="D791" s="815"/>
      <c r="E791" s="1537"/>
      <c r="F791" s="763"/>
      <c r="G791" s="763"/>
      <c r="H791" s="763"/>
      <c r="I791" s="763"/>
      <c r="J791" s="763"/>
      <c r="K791" s="781"/>
      <c r="L791" s="781"/>
      <c r="M791" s="781"/>
      <c r="N791" s="781"/>
      <c r="O791" s="781"/>
      <c r="P791" s="781"/>
      <c r="Q791" s="781"/>
      <c r="R791" s="781"/>
      <c r="S791" s="781"/>
      <c r="T791" s="781"/>
      <c r="U791" s="781"/>
      <c r="V791" s="781"/>
      <c r="W791" s="137"/>
      <c r="X791" s="137"/>
      <c r="Y791" s="137"/>
      <c r="Z791" s="137"/>
    </row>
    <row r="792" ht="15.75" customHeight="1">
      <c r="A792" s="1385"/>
      <c r="B792" s="1385"/>
      <c r="C792" s="234"/>
      <c r="D792" s="815"/>
      <c r="E792" s="1537"/>
      <c r="F792" s="763"/>
      <c r="G792" s="763"/>
      <c r="H792" s="763"/>
      <c r="I792" s="763"/>
      <c r="J792" s="763"/>
      <c r="K792" s="781"/>
      <c r="L792" s="781"/>
      <c r="M792" s="781"/>
      <c r="N792" s="781"/>
      <c r="O792" s="781"/>
      <c r="P792" s="781"/>
      <c r="Q792" s="781"/>
      <c r="R792" s="781"/>
      <c r="S792" s="781"/>
      <c r="T792" s="781"/>
      <c r="U792" s="781"/>
      <c r="V792" s="781"/>
      <c r="W792" s="137"/>
      <c r="X792" s="137"/>
      <c r="Y792" s="137"/>
      <c r="Z792" s="137"/>
    </row>
    <row r="793" ht="15.75" customHeight="1">
      <c r="A793" s="1385"/>
      <c r="B793" s="1385"/>
      <c r="C793" s="234"/>
      <c r="D793" s="815"/>
      <c r="E793" s="1537"/>
      <c r="F793" s="763"/>
      <c r="G793" s="763"/>
      <c r="H793" s="763"/>
      <c r="I793" s="763"/>
      <c r="J793" s="763"/>
      <c r="K793" s="781"/>
      <c r="L793" s="781"/>
      <c r="M793" s="781"/>
      <c r="N793" s="781"/>
      <c r="O793" s="781"/>
      <c r="P793" s="781"/>
      <c r="Q793" s="781"/>
      <c r="R793" s="781"/>
      <c r="S793" s="781"/>
      <c r="T793" s="781"/>
      <c r="U793" s="781"/>
      <c r="V793" s="781"/>
      <c r="W793" s="137"/>
      <c r="X793" s="137"/>
      <c r="Y793" s="137"/>
      <c r="Z793" s="137"/>
    </row>
    <row r="794" ht="15.75" customHeight="1">
      <c r="A794" s="1385"/>
      <c r="B794" s="1385"/>
      <c r="C794" s="234"/>
      <c r="D794" s="815"/>
      <c r="E794" s="1537"/>
      <c r="F794" s="763"/>
      <c r="G794" s="763"/>
      <c r="H794" s="763"/>
      <c r="I794" s="763"/>
      <c r="J794" s="763"/>
      <c r="K794" s="781"/>
      <c r="L794" s="781"/>
      <c r="M794" s="781"/>
      <c r="N794" s="781"/>
      <c r="O794" s="781"/>
      <c r="P794" s="781"/>
      <c r="Q794" s="781"/>
      <c r="R794" s="781"/>
      <c r="S794" s="781"/>
      <c r="T794" s="781"/>
      <c r="U794" s="781"/>
      <c r="V794" s="781"/>
      <c r="W794" s="137"/>
      <c r="X794" s="137"/>
      <c r="Y794" s="137"/>
      <c r="Z794" s="137"/>
    </row>
    <row r="795" ht="15.75" customHeight="1">
      <c r="A795" s="1385"/>
      <c r="B795" s="1385"/>
      <c r="C795" s="234"/>
      <c r="D795" s="815"/>
      <c r="E795" s="1537"/>
      <c r="F795" s="763"/>
      <c r="G795" s="763"/>
      <c r="H795" s="763"/>
      <c r="I795" s="763"/>
      <c r="J795" s="763"/>
      <c r="K795" s="781"/>
      <c r="L795" s="781"/>
      <c r="M795" s="781"/>
      <c r="N795" s="781"/>
      <c r="O795" s="781"/>
      <c r="P795" s="781"/>
      <c r="Q795" s="781"/>
      <c r="R795" s="781"/>
      <c r="S795" s="781"/>
      <c r="T795" s="781"/>
      <c r="U795" s="781"/>
      <c r="V795" s="781"/>
      <c r="W795" s="137"/>
      <c r="X795" s="137"/>
      <c r="Y795" s="137"/>
      <c r="Z795" s="137"/>
    </row>
    <row r="796" ht="15.75" customHeight="1">
      <c r="A796" s="1385"/>
      <c r="B796" s="1385"/>
      <c r="C796" s="234"/>
      <c r="D796" s="815"/>
      <c r="E796" s="1537"/>
      <c r="F796" s="763"/>
      <c r="G796" s="763"/>
      <c r="H796" s="763"/>
      <c r="I796" s="763"/>
      <c r="J796" s="763"/>
      <c r="K796" s="781"/>
      <c r="L796" s="781"/>
      <c r="M796" s="781"/>
      <c r="N796" s="781"/>
      <c r="O796" s="781"/>
      <c r="P796" s="781"/>
      <c r="Q796" s="781"/>
      <c r="R796" s="781"/>
      <c r="S796" s="781"/>
      <c r="T796" s="781"/>
      <c r="U796" s="781"/>
      <c r="V796" s="781"/>
      <c r="W796" s="137"/>
      <c r="X796" s="137"/>
      <c r="Y796" s="137"/>
      <c r="Z796" s="137"/>
    </row>
    <row r="797" ht="15.75" customHeight="1">
      <c r="A797" s="1385"/>
      <c r="B797" s="1385"/>
      <c r="C797" s="234"/>
      <c r="D797" s="815"/>
      <c r="E797" s="1537"/>
      <c r="F797" s="763"/>
      <c r="G797" s="763"/>
      <c r="H797" s="763"/>
      <c r="I797" s="763"/>
      <c r="J797" s="763"/>
      <c r="K797" s="781"/>
      <c r="L797" s="781"/>
      <c r="M797" s="781"/>
      <c r="N797" s="781"/>
      <c r="O797" s="781"/>
      <c r="P797" s="781"/>
      <c r="Q797" s="781"/>
      <c r="R797" s="781"/>
      <c r="S797" s="781"/>
      <c r="T797" s="781"/>
      <c r="U797" s="781"/>
      <c r="V797" s="781"/>
      <c r="W797" s="137"/>
      <c r="X797" s="137"/>
      <c r="Y797" s="137"/>
      <c r="Z797" s="137"/>
    </row>
    <row r="798" ht="15.75" customHeight="1">
      <c r="A798" s="1385"/>
      <c r="B798" s="1385"/>
      <c r="C798" s="234"/>
      <c r="D798" s="815"/>
      <c r="E798" s="1537"/>
      <c r="F798" s="763"/>
      <c r="G798" s="763"/>
      <c r="H798" s="763"/>
      <c r="I798" s="763"/>
      <c r="J798" s="763"/>
      <c r="K798" s="781"/>
      <c r="L798" s="781"/>
      <c r="M798" s="781"/>
      <c r="N798" s="781"/>
      <c r="O798" s="781"/>
      <c r="P798" s="781"/>
      <c r="Q798" s="781"/>
      <c r="R798" s="781"/>
      <c r="S798" s="781"/>
      <c r="T798" s="781"/>
      <c r="U798" s="781"/>
      <c r="V798" s="781"/>
      <c r="W798" s="137"/>
      <c r="X798" s="137"/>
      <c r="Y798" s="137"/>
      <c r="Z798" s="137"/>
    </row>
    <row r="799" ht="15.75" customHeight="1">
      <c r="A799" s="1385"/>
      <c r="B799" s="1385"/>
      <c r="C799" s="234"/>
      <c r="D799" s="815"/>
      <c r="E799" s="1537"/>
      <c r="F799" s="763"/>
      <c r="G799" s="763"/>
      <c r="H799" s="763"/>
      <c r="I799" s="763"/>
      <c r="J799" s="763"/>
      <c r="K799" s="781"/>
      <c r="L799" s="781"/>
      <c r="M799" s="781"/>
      <c r="N799" s="781"/>
      <c r="O799" s="781"/>
      <c r="P799" s="781"/>
      <c r="Q799" s="781"/>
      <c r="R799" s="781"/>
      <c r="S799" s="781"/>
      <c r="T799" s="781"/>
      <c r="U799" s="781"/>
      <c r="V799" s="781"/>
      <c r="W799" s="137"/>
      <c r="X799" s="137"/>
      <c r="Y799" s="137"/>
      <c r="Z799" s="137"/>
    </row>
    <row r="800" ht="15.75" customHeight="1">
      <c r="A800" s="1385"/>
      <c r="B800" s="1385"/>
      <c r="C800" s="234"/>
      <c r="D800" s="815"/>
      <c r="E800" s="1537"/>
      <c r="F800" s="763"/>
      <c r="G800" s="763"/>
      <c r="H800" s="763"/>
      <c r="I800" s="763"/>
      <c r="J800" s="763"/>
      <c r="K800" s="781"/>
      <c r="L800" s="781"/>
      <c r="M800" s="781"/>
      <c r="N800" s="781"/>
      <c r="O800" s="781"/>
      <c r="P800" s="781"/>
      <c r="Q800" s="781"/>
      <c r="R800" s="781"/>
      <c r="S800" s="781"/>
      <c r="T800" s="781"/>
      <c r="U800" s="781"/>
      <c r="V800" s="781"/>
      <c r="W800" s="137"/>
      <c r="X800" s="137"/>
      <c r="Y800" s="137"/>
      <c r="Z800" s="137"/>
    </row>
    <row r="801" ht="15.75" customHeight="1">
      <c r="A801" s="1385"/>
      <c r="B801" s="1385"/>
      <c r="C801" s="234"/>
      <c r="D801" s="815"/>
      <c r="E801" s="1537"/>
      <c r="F801" s="763"/>
      <c r="G801" s="763"/>
      <c r="H801" s="763"/>
      <c r="I801" s="763"/>
      <c r="J801" s="763"/>
      <c r="K801" s="781"/>
      <c r="L801" s="781"/>
      <c r="M801" s="781"/>
      <c r="N801" s="781"/>
      <c r="O801" s="781"/>
      <c r="P801" s="781"/>
      <c r="Q801" s="781"/>
      <c r="R801" s="781"/>
      <c r="S801" s="781"/>
      <c r="T801" s="781"/>
      <c r="U801" s="781"/>
      <c r="V801" s="781"/>
      <c r="W801" s="137"/>
      <c r="X801" s="137"/>
      <c r="Y801" s="137"/>
      <c r="Z801" s="137"/>
    </row>
    <row r="802" ht="15.75" customHeight="1">
      <c r="A802" s="1385"/>
      <c r="B802" s="1385"/>
      <c r="C802" s="234"/>
      <c r="D802" s="815"/>
      <c r="E802" s="1537"/>
      <c r="F802" s="763"/>
      <c r="G802" s="763"/>
      <c r="H802" s="763"/>
      <c r="I802" s="763"/>
      <c r="J802" s="763"/>
      <c r="K802" s="781"/>
      <c r="L802" s="781"/>
      <c r="M802" s="781"/>
      <c r="N802" s="781"/>
      <c r="O802" s="781"/>
      <c r="P802" s="781"/>
      <c r="Q802" s="781"/>
      <c r="R802" s="781"/>
      <c r="S802" s="781"/>
      <c r="T802" s="781"/>
      <c r="U802" s="781"/>
      <c r="V802" s="781"/>
      <c r="W802" s="137"/>
      <c r="X802" s="137"/>
      <c r="Y802" s="137"/>
      <c r="Z802" s="137"/>
    </row>
    <row r="803" ht="15.75" customHeight="1">
      <c r="A803" s="1385"/>
      <c r="B803" s="1385"/>
      <c r="C803" s="234"/>
      <c r="D803" s="815"/>
      <c r="E803" s="1537"/>
      <c r="F803" s="763"/>
      <c r="G803" s="763"/>
      <c r="H803" s="763"/>
      <c r="I803" s="763"/>
      <c r="J803" s="763"/>
      <c r="K803" s="781"/>
      <c r="L803" s="781"/>
      <c r="M803" s="781"/>
      <c r="N803" s="781"/>
      <c r="O803" s="781"/>
      <c r="P803" s="781"/>
      <c r="Q803" s="781"/>
      <c r="R803" s="781"/>
      <c r="S803" s="781"/>
      <c r="T803" s="781"/>
      <c r="U803" s="781"/>
      <c r="V803" s="781"/>
      <c r="W803" s="137"/>
      <c r="X803" s="137"/>
      <c r="Y803" s="137"/>
      <c r="Z803" s="137"/>
    </row>
    <row r="804" ht="15.75" customHeight="1">
      <c r="A804" s="1385"/>
      <c r="B804" s="1385"/>
      <c r="C804" s="234"/>
      <c r="D804" s="815"/>
      <c r="E804" s="1537"/>
      <c r="F804" s="763"/>
      <c r="G804" s="763"/>
      <c r="H804" s="763"/>
      <c r="I804" s="763"/>
      <c r="J804" s="763"/>
      <c r="K804" s="781"/>
      <c r="L804" s="781"/>
      <c r="M804" s="781"/>
      <c r="N804" s="781"/>
      <c r="O804" s="781"/>
      <c r="P804" s="781"/>
      <c r="Q804" s="781"/>
      <c r="R804" s="781"/>
      <c r="S804" s="781"/>
      <c r="T804" s="781"/>
      <c r="U804" s="781"/>
      <c r="V804" s="781"/>
      <c r="W804" s="137"/>
      <c r="X804" s="137"/>
      <c r="Y804" s="137"/>
      <c r="Z804" s="137"/>
    </row>
    <row r="805" ht="15.75" customHeight="1">
      <c r="A805" s="1385"/>
      <c r="B805" s="1385"/>
      <c r="C805" s="234"/>
      <c r="D805" s="815"/>
      <c r="E805" s="1537"/>
      <c r="F805" s="763"/>
      <c r="G805" s="763"/>
      <c r="H805" s="763"/>
      <c r="I805" s="763"/>
      <c r="J805" s="763"/>
      <c r="K805" s="781"/>
      <c r="L805" s="781"/>
      <c r="M805" s="781"/>
      <c r="N805" s="781"/>
      <c r="O805" s="781"/>
      <c r="P805" s="781"/>
      <c r="Q805" s="781"/>
      <c r="R805" s="781"/>
      <c r="S805" s="781"/>
      <c r="T805" s="781"/>
      <c r="U805" s="781"/>
      <c r="V805" s="781"/>
      <c r="W805" s="137"/>
      <c r="X805" s="137"/>
      <c r="Y805" s="137"/>
      <c r="Z805" s="137"/>
    </row>
    <row r="806" ht="15.75" customHeight="1">
      <c r="A806" s="1385"/>
      <c r="B806" s="1385"/>
      <c r="C806" s="234"/>
      <c r="D806" s="815"/>
      <c r="E806" s="1537"/>
      <c r="F806" s="763"/>
      <c r="G806" s="763"/>
      <c r="H806" s="763"/>
      <c r="I806" s="763"/>
      <c r="J806" s="763"/>
      <c r="K806" s="781"/>
      <c r="L806" s="781"/>
      <c r="M806" s="781"/>
      <c r="N806" s="781"/>
      <c r="O806" s="781"/>
      <c r="P806" s="781"/>
      <c r="Q806" s="781"/>
      <c r="R806" s="781"/>
      <c r="S806" s="781"/>
      <c r="T806" s="781"/>
      <c r="U806" s="781"/>
      <c r="V806" s="781"/>
      <c r="W806" s="137"/>
      <c r="X806" s="137"/>
      <c r="Y806" s="137"/>
      <c r="Z806" s="137"/>
    </row>
    <row r="807" ht="15.75" customHeight="1">
      <c r="A807" s="1385"/>
      <c r="B807" s="1385"/>
      <c r="C807" s="234"/>
      <c r="D807" s="815"/>
      <c r="E807" s="1537"/>
      <c r="F807" s="763"/>
      <c r="G807" s="763"/>
      <c r="H807" s="763"/>
      <c r="I807" s="763"/>
      <c r="J807" s="763"/>
      <c r="K807" s="781"/>
      <c r="L807" s="781"/>
      <c r="M807" s="781"/>
      <c r="N807" s="781"/>
      <c r="O807" s="781"/>
      <c r="P807" s="781"/>
      <c r="Q807" s="781"/>
      <c r="R807" s="781"/>
      <c r="S807" s="781"/>
      <c r="T807" s="781"/>
      <c r="U807" s="781"/>
      <c r="V807" s="781"/>
      <c r="W807" s="137"/>
      <c r="X807" s="137"/>
      <c r="Y807" s="137"/>
      <c r="Z807" s="137"/>
    </row>
    <row r="808" ht="15.75" customHeight="1">
      <c r="A808" s="1385"/>
      <c r="B808" s="1385"/>
      <c r="C808" s="234"/>
      <c r="D808" s="815"/>
      <c r="E808" s="1537"/>
      <c r="F808" s="763"/>
      <c r="G808" s="763"/>
      <c r="H808" s="763"/>
      <c r="I808" s="763"/>
      <c r="J808" s="763"/>
      <c r="K808" s="781"/>
      <c r="L808" s="781"/>
      <c r="M808" s="781"/>
      <c r="N808" s="781"/>
      <c r="O808" s="781"/>
      <c r="P808" s="781"/>
      <c r="Q808" s="781"/>
      <c r="R808" s="781"/>
      <c r="S808" s="781"/>
      <c r="T808" s="781"/>
      <c r="U808" s="781"/>
      <c r="V808" s="781"/>
      <c r="W808" s="137"/>
      <c r="X808" s="137"/>
      <c r="Y808" s="137"/>
      <c r="Z808" s="137"/>
    </row>
    <row r="809" ht="15.75" customHeight="1">
      <c r="A809" s="1385"/>
      <c r="B809" s="1385"/>
      <c r="C809" s="234"/>
      <c r="D809" s="815"/>
      <c r="E809" s="1537"/>
      <c r="F809" s="763"/>
      <c r="G809" s="763"/>
      <c r="H809" s="763"/>
      <c r="I809" s="763"/>
      <c r="J809" s="763"/>
      <c r="K809" s="781"/>
      <c r="L809" s="781"/>
      <c r="M809" s="781"/>
      <c r="N809" s="781"/>
      <c r="O809" s="781"/>
      <c r="P809" s="781"/>
      <c r="Q809" s="781"/>
      <c r="R809" s="781"/>
      <c r="S809" s="781"/>
      <c r="T809" s="781"/>
      <c r="U809" s="781"/>
      <c r="V809" s="781"/>
      <c r="W809" s="137"/>
      <c r="X809" s="137"/>
      <c r="Y809" s="137"/>
      <c r="Z809" s="137"/>
    </row>
    <row r="810" ht="15.75" customHeight="1">
      <c r="A810" s="1385"/>
      <c r="B810" s="1385"/>
      <c r="C810" s="234"/>
      <c r="D810" s="815"/>
      <c r="E810" s="1537"/>
      <c r="F810" s="763"/>
      <c r="G810" s="763"/>
      <c r="H810" s="763"/>
      <c r="I810" s="763"/>
      <c r="J810" s="763"/>
      <c r="K810" s="781"/>
      <c r="L810" s="781"/>
      <c r="M810" s="781"/>
      <c r="N810" s="781"/>
      <c r="O810" s="781"/>
      <c r="P810" s="781"/>
      <c r="Q810" s="781"/>
      <c r="R810" s="781"/>
      <c r="S810" s="781"/>
      <c r="T810" s="781"/>
      <c r="U810" s="781"/>
      <c r="V810" s="781"/>
      <c r="W810" s="137"/>
      <c r="X810" s="137"/>
      <c r="Y810" s="137"/>
      <c r="Z810" s="137"/>
    </row>
    <row r="811" ht="15.75" customHeight="1">
      <c r="A811" s="1385"/>
      <c r="B811" s="1385"/>
      <c r="C811" s="234"/>
      <c r="D811" s="815"/>
      <c r="E811" s="1537"/>
      <c r="F811" s="763"/>
      <c r="G811" s="763"/>
      <c r="H811" s="763"/>
      <c r="I811" s="763"/>
      <c r="J811" s="763"/>
      <c r="K811" s="781"/>
      <c r="L811" s="781"/>
      <c r="M811" s="781"/>
      <c r="N811" s="781"/>
      <c r="O811" s="781"/>
      <c r="P811" s="781"/>
      <c r="Q811" s="781"/>
      <c r="R811" s="781"/>
      <c r="S811" s="781"/>
      <c r="T811" s="781"/>
      <c r="U811" s="781"/>
      <c r="V811" s="781"/>
      <c r="W811" s="137"/>
      <c r="X811" s="137"/>
      <c r="Y811" s="137"/>
      <c r="Z811" s="137"/>
    </row>
    <row r="812" ht="15.75" customHeight="1">
      <c r="A812" s="1385"/>
      <c r="B812" s="1385"/>
      <c r="C812" s="234"/>
      <c r="D812" s="815"/>
      <c r="E812" s="1537"/>
      <c r="F812" s="763"/>
      <c r="G812" s="763"/>
      <c r="H812" s="763"/>
      <c r="I812" s="763"/>
      <c r="J812" s="763"/>
      <c r="K812" s="781"/>
      <c r="L812" s="781"/>
      <c r="M812" s="781"/>
      <c r="N812" s="781"/>
      <c r="O812" s="781"/>
      <c r="P812" s="781"/>
      <c r="Q812" s="781"/>
      <c r="R812" s="781"/>
      <c r="S812" s="781"/>
      <c r="T812" s="781"/>
      <c r="U812" s="781"/>
      <c r="V812" s="781"/>
      <c r="W812" s="137"/>
      <c r="X812" s="137"/>
      <c r="Y812" s="137"/>
      <c r="Z812" s="137"/>
    </row>
    <row r="813" ht="15.75" customHeight="1">
      <c r="A813" s="1385"/>
      <c r="B813" s="1385"/>
      <c r="C813" s="234"/>
      <c r="D813" s="815"/>
      <c r="E813" s="1537"/>
      <c r="F813" s="763"/>
      <c r="G813" s="763"/>
      <c r="H813" s="763"/>
      <c r="I813" s="763"/>
      <c r="J813" s="763"/>
      <c r="K813" s="781"/>
      <c r="L813" s="781"/>
      <c r="M813" s="781"/>
      <c r="N813" s="781"/>
      <c r="O813" s="781"/>
      <c r="P813" s="781"/>
      <c r="Q813" s="781"/>
      <c r="R813" s="781"/>
      <c r="S813" s="781"/>
      <c r="T813" s="781"/>
      <c r="U813" s="781"/>
      <c r="V813" s="781"/>
      <c r="W813" s="137"/>
      <c r="X813" s="137"/>
      <c r="Y813" s="137"/>
      <c r="Z813" s="137"/>
    </row>
    <row r="814" ht="15.75" customHeight="1">
      <c r="A814" s="1385"/>
      <c r="B814" s="1385"/>
      <c r="C814" s="234"/>
      <c r="D814" s="815"/>
      <c r="E814" s="1537"/>
      <c r="F814" s="763"/>
      <c r="G814" s="763"/>
      <c r="H814" s="763"/>
      <c r="I814" s="763"/>
      <c r="J814" s="763"/>
      <c r="K814" s="781"/>
      <c r="L814" s="781"/>
      <c r="M814" s="781"/>
      <c r="N814" s="781"/>
      <c r="O814" s="781"/>
      <c r="P814" s="781"/>
      <c r="Q814" s="781"/>
      <c r="R814" s="781"/>
      <c r="S814" s="781"/>
      <c r="T814" s="781"/>
      <c r="U814" s="781"/>
      <c r="V814" s="781"/>
      <c r="W814" s="137"/>
      <c r="X814" s="137"/>
      <c r="Y814" s="137"/>
      <c r="Z814" s="137"/>
    </row>
    <row r="815" ht="15.75" customHeight="1">
      <c r="A815" s="1385"/>
      <c r="B815" s="1385"/>
      <c r="C815" s="234"/>
      <c r="D815" s="815"/>
      <c r="E815" s="1537"/>
      <c r="F815" s="763"/>
      <c r="G815" s="763"/>
      <c r="H815" s="763"/>
      <c r="I815" s="763"/>
      <c r="J815" s="763"/>
      <c r="K815" s="781"/>
      <c r="L815" s="781"/>
      <c r="M815" s="781"/>
      <c r="N815" s="781"/>
      <c r="O815" s="781"/>
      <c r="P815" s="781"/>
      <c r="Q815" s="781"/>
      <c r="R815" s="781"/>
      <c r="S815" s="781"/>
      <c r="T815" s="781"/>
      <c r="U815" s="781"/>
      <c r="V815" s="781"/>
      <c r="W815" s="137"/>
      <c r="X815" s="137"/>
      <c r="Y815" s="137"/>
      <c r="Z815" s="137"/>
    </row>
    <row r="816" ht="15.75" customHeight="1">
      <c r="A816" s="1385"/>
      <c r="B816" s="1385"/>
      <c r="C816" s="234"/>
      <c r="D816" s="815"/>
      <c r="E816" s="1537"/>
      <c r="F816" s="763"/>
      <c r="G816" s="763"/>
      <c r="H816" s="763"/>
      <c r="I816" s="763"/>
      <c r="J816" s="763"/>
      <c r="K816" s="781"/>
      <c r="L816" s="781"/>
      <c r="M816" s="781"/>
      <c r="N816" s="781"/>
      <c r="O816" s="781"/>
      <c r="P816" s="781"/>
      <c r="Q816" s="781"/>
      <c r="R816" s="781"/>
      <c r="S816" s="781"/>
      <c r="T816" s="781"/>
      <c r="U816" s="781"/>
      <c r="V816" s="781"/>
      <c r="W816" s="137"/>
      <c r="X816" s="137"/>
      <c r="Y816" s="137"/>
      <c r="Z816" s="137"/>
    </row>
    <row r="817" ht="15.75" customHeight="1">
      <c r="A817" s="1385"/>
      <c r="B817" s="1385"/>
      <c r="C817" s="234"/>
      <c r="D817" s="815"/>
      <c r="E817" s="1537"/>
      <c r="F817" s="763"/>
      <c r="G817" s="763"/>
      <c r="H817" s="763"/>
      <c r="I817" s="763"/>
      <c r="J817" s="763"/>
      <c r="K817" s="781"/>
      <c r="L817" s="781"/>
      <c r="M817" s="781"/>
      <c r="N817" s="781"/>
      <c r="O817" s="781"/>
      <c r="P817" s="781"/>
      <c r="Q817" s="781"/>
      <c r="R817" s="781"/>
      <c r="S817" s="781"/>
      <c r="T817" s="781"/>
      <c r="U817" s="781"/>
      <c r="V817" s="781"/>
      <c r="W817" s="137"/>
      <c r="X817" s="137"/>
      <c r="Y817" s="137"/>
      <c r="Z817" s="137"/>
    </row>
    <row r="818" ht="15.75" customHeight="1">
      <c r="A818" s="1385"/>
      <c r="B818" s="1385"/>
      <c r="C818" s="234"/>
      <c r="D818" s="815"/>
      <c r="E818" s="1537"/>
      <c r="F818" s="763"/>
      <c r="G818" s="763"/>
      <c r="H818" s="763"/>
      <c r="I818" s="763"/>
      <c r="J818" s="763"/>
      <c r="K818" s="781"/>
      <c r="L818" s="781"/>
      <c r="M818" s="781"/>
      <c r="N818" s="781"/>
      <c r="O818" s="781"/>
      <c r="P818" s="781"/>
      <c r="Q818" s="781"/>
      <c r="R818" s="781"/>
      <c r="S818" s="781"/>
      <c r="T818" s="781"/>
      <c r="U818" s="781"/>
      <c r="V818" s="781"/>
      <c r="W818" s="137"/>
      <c r="X818" s="137"/>
      <c r="Y818" s="137"/>
      <c r="Z818" s="137"/>
    </row>
    <row r="819" ht="15.75" customHeight="1">
      <c r="A819" s="1385"/>
      <c r="B819" s="1385"/>
      <c r="C819" s="234"/>
      <c r="D819" s="815"/>
      <c r="E819" s="1537"/>
      <c r="F819" s="763"/>
      <c r="G819" s="763"/>
      <c r="H819" s="763"/>
      <c r="I819" s="763"/>
      <c r="J819" s="763"/>
      <c r="K819" s="781"/>
      <c r="L819" s="781"/>
      <c r="M819" s="781"/>
      <c r="N819" s="781"/>
      <c r="O819" s="781"/>
      <c r="P819" s="781"/>
      <c r="Q819" s="781"/>
      <c r="R819" s="781"/>
      <c r="S819" s="781"/>
      <c r="T819" s="781"/>
      <c r="U819" s="781"/>
      <c r="V819" s="781"/>
      <c r="W819" s="137"/>
      <c r="X819" s="137"/>
      <c r="Y819" s="137"/>
      <c r="Z819" s="137"/>
    </row>
    <row r="820" ht="15.75" customHeight="1">
      <c r="A820" s="1385"/>
      <c r="B820" s="1385"/>
      <c r="C820" s="234"/>
      <c r="D820" s="815"/>
      <c r="E820" s="1537"/>
      <c r="F820" s="763"/>
      <c r="G820" s="763"/>
      <c r="H820" s="763"/>
      <c r="I820" s="763"/>
      <c r="J820" s="763"/>
      <c r="K820" s="781"/>
      <c r="L820" s="781"/>
      <c r="M820" s="781"/>
      <c r="N820" s="781"/>
      <c r="O820" s="781"/>
      <c r="P820" s="781"/>
      <c r="Q820" s="781"/>
      <c r="R820" s="781"/>
      <c r="S820" s="781"/>
      <c r="T820" s="781"/>
      <c r="U820" s="781"/>
      <c r="V820" s="781"/>
      <c r="W820" s="137"/>
      <c r="X820" s="137"/>
      <c r="Y820" s="137"/>
      <c r="Z820" s="137"/>
    </row>
    <row r="821" ht="15.75" customHeight="1">
      <c r="A821" s="1385"/>
      <c r="B821" s="1385"/>
      <c r="C821" s="234"/>
      <c r="D821" s="815"/>
      <c r="E821" s="1537"/>
      <c r="F821" s="763"/>
      <c r="G821" s="763"/>
      <c r="H821" s="763"/>
      <c r="I821" s="763"/>
      <c r="J821" s="763"/>
      <c r="K821" s="781"/>
      <c r="L821" s="781"/>
      <c r="M821" s="781"/>
      <c r="N821" s="781"/>
      <c r="O821" s="781"/>
      <c r="P821" s="781"/>
      <c r="Q821" s="781"/>
      <c r="R821" s="781"/>
      <c r="S821" s="781"/>
      <c r="T821" s="781"/>
      <c r="U821" s="781"/>
      <c r="V821" s="781"/>
      <c r="W821" s="137"/>
      <c r="X821" s="137"/>
      <c r="Y821" s="137"/>
      <c r="Z821" s="137"/>
    </row>
    <row r="822" ht="15.75" customHeight="1">
      <c r="A822" s="1385"/>
      <c r="B822" s="1385"/>
      <c r="C822" s="234"/>
      <c r="D822" s="815"/>
      <c r="E822" s="1537"/>
      <c r="F822" s="763"/>
      <c r="G822" s="763"/>
      <c r="H822" s="763"/>
      <c r="I822" s="763"/>
      <c r="J822" s="763"/>
      <c r="K822" s="781"/>
      <c r="L822" s="781"/>
      <c r="M822" s="781"/>
      <c r="N822" s="781"/>
      <c r="O822" s="781"/>
      <c r="P822" s="781"/>
      <c r="Q822" s="781"/>
      <c r="R822" s="781"/>
      <c r="S822" s="781"/>
      <c r="T822" s="781"/>
      <c r="U822" s="781"/>
      <c r="V822" s="781"/>
      <c r="W822" s="137"/>
      <c r="X822" s="137"/>
      <c r="Y822" s="137"/>
      <c r="Z822" s="137"/>
    </row>
    <row r="823" ht="15.75" customHeight="1">
      <c r="A823" s="1385"/>
      <c r="B823" s="1385"/>
      <c r="C823" s="234"/>
      <c r="D823" s="815"/>
      <c r="E823" s="1537"/>
      <c r="F823" s="763"/>
      <c r="G823" s="763"/>
      <c r="H823" s="763"/>
      <c r="I823" s="763"/>
      <c r="J823" s="763"/>
      <c r="K823" s="781"/>
      <c r="L823" s="781"/>
      <c r="M823" s="781"/>
      <c r="N823" s="781"/>
      <c r="O823" s="781"/>
      <c r="P823" s="781"/>
      <c r="Q823" s="781"/>
      <c r="R823" s="781"/>
      <c r="S823" s="781"/>
      <c r="T823" s="781"/>
      <c r="U823" s="781"/>
      <c r="V823" s="781"/>
      <c r="W823" s="137"/>
      <c r="X823" s="137"/>
      <c r="Y823" s="137"/>
      <c r="Z823" s="137"/>
    </row>
    <row r="824" ht="15.75" customHeight="1">
      <c r="A824" s="1385"/>
      <c r="B824" s="1385"/>
      <c r="C824" s="234"/>
      <c r="D824" s="815"/>
      <c r="E824" s="1537"/>
      <c r="F824" s="763"/>
      <c r="G824" s="763"/>
      <c r="H824" s="763"/>
      <c r="I824" s="763"/>
      <c r="J824" s="763"/>
      <c r="K824" s="781"/>
      <c r="L824" s="781"/>
      <c r="M824" s="781"/>
      <c r="N824" s="781"/>
      <c r="O824" s="781"/>
      <c r="P824" s="781"/>
      <c r="Q824" s="781"/>
      <c r="R824" s="781"/>
      <c r="S824" s="781"/>
      <c r="T824" s="781"/>
      <c r="U824" s="781"/>
      <c r="V824" s="781"/>
      <c r="W824" s="137"/>
      <c r="X824" s="137"/>
      <c r="Y824" s="137"/>
      <c r="Z824" s="137"/>
    </row>
    <row r="825" ht="15.75" customHeight="1">
      <c r="A825" s="1385"/>
      <c r="B825" s="1385"/>
      <c r="C825" s="234"/>
      <c r="D825" s="815"/>
      <c r="E825" s="1537"/>
      <c r="F825" s="763"/>
      <c r="G825" s="763"/>
      <c r="H825" s="763"/>
      <c r="I825" s="763"/>
      <c r="J825" s="763"/>
      <c r="K825" s="781"/>
      <c r="L825" s="781"/>
      <c r="M825" s="781"/>
      <c r="N825" s="781"/>
      <c r="O825" s="781"/>
      <c r="P825" s="781"/>
      <c r="Q825" s="781"/>
      <c r="R825" s="781"/>
      <c r="S825" s="781"/>
      <c r="T825" s="781"/>
      <c r="U825" s="781"/>
      <c r="V825" s="781"/>
      <c r="W825" s="137"/>
      <c r="X825" s="137"/>
      <c r="Y825" s="137"/>
      <c r="Z825" s="137"/>
    </row>
    <row r="826" ht="15.75" customHeight="1">
      <c r="A826" s="1385"/>
      <c r="B826" s="1385"/>
      <c r="C826" s="234"/>
      <c r="D826" s="815"/>
      <c r="E826" s="1537"/>
      <c r="F826" s="763"/>
      <c r="G826" s="763"/>
      <c r="H826" s="763"/>
      <c r="I826" s="763"/>
      <c r="J826" s="763"/>
      <c r="K826" s="781"/>
      <c r="L826" s="781"/>
      <c r="M826" s="781"/>
      <c r="N826" s="781"/>
      <c r="O826" s="781"/>
      <c r="P826" s="781"/>
      <c r="Q826" s="781"/>
      <c r="R826" s="781"/>
      <c r="S826" s="781"/>
      <c r="T826" s="781"/>
      <c r="U826" s="781"/>
      <c r="V826" s="781"/>
      <c r="W826" s="137"/>
      <c r="X826" s="137"/>
      <c r="Y826" s="137"/>
      <c r="Z826" s="137"/>
    </row>
    <row r="827" ht="15.75" customHeight="1">
      <c r="A827" s="1385"/>
      <c r="B827" s="1385"/>
      <c r="C827" s="234"/>
      <c r="D827" s="815"/>
      <c r="E827" s="1537"/>
      <c r="F827" s="763"/>
      <c r="G827" s="763"/>
      <c r="H827" s="763"/>
      <c r="I827" s="763"/>
      <c r="J827" s="763"/>
      <c r="K827" s="781"/>
      <c r="L827" s="781"/>
      <c r="M827" s="781"/>
      <c r="N827" s="781"/>
      <c r="O827" s="781"/>
      <c r="P827" s="781"/>
      <c r="Q827" s="781"/>
      <c r="R827" s="781"/>
      <c r="S827" s="781"/>
      <c r="T827" s="781"/>
      <c r="U827" s="781"/>
      <c r="V827" s="781"/>
      <c r="W827" s="137"/>
      <c r="X827" s="137"/>
      <c r="Y827" s="137"/>
      <c r="Z827" s="137"/>
    </row>
    <row r="828" ht="15.75" customHeight="1">
      <c r="A828" s="1385"/>
      <c r="B828" s="1385"/>
      <c r="C828" s="234"/>
      <c r="D828" s="815"/>
      <c r="E828" s="1537"/>
      <c r="F828" s="763"/>
      <c r="G828" s="763"/>
      <c r="H828" s="763"/>
      <c r="I828" s="763"/>
      <c r="J828" s="763"/>
      <c r="K828" s="781"/>
      <c r="L828" s="781"/>
      <c r="M828" s="781"/>
      <c r="N828" s="781"/>
      <c r="O828" s="781"/>
      <c r="P828" s="781"/>
      <c r="Q828" s="781"/>
      <c r="R828" s="781"/>
      <c r="S828" s="781"/>
      <c r="T828" s="781"/>
      <c r="U828" s="781"/>
      <c r="V828" s="781"/>
      <c r="W828" s="137"/>
      <c r="X828" s="137"/>
      <c r="Y828" s="137"/>
      <c r="Z828" s="137"/>
    </row>
    <row r="829" ht="15.75" customHeight="1">
      <c r="A829" s="1385"/>
      <c r="B829" s="1385"/>
      <c r="C829" s="234"/>
      <c r="D829" s="815"/>
      <c r="E829" s="1537"/>
      <c r="F829" s="763"/>
      <c r="G829" s="763"/>
      <c r="H829" s="763"/>
      <c r="I829" s="763"/>
      <c r="J829" s="763"/>
      <c r="K829" s="781"/>
      <c r="L829" s="781"/>
      <c r="M829" s="781"/>
      <c r="N829" s="781"/>
      <c r="O829" s="781"/>
      <c r="P829" s="781"/>
      <c r="Q829" s="781"/>
      <c r="R829" s="781"/>
      <c r="S829" s="781"/>
      <c r="T829" s="781"/>
      <c r="U829" s="781"/>
      <c r="V829" s="781"/>
      <c r="W829" s="137"/>
      <c r="X829" s="137"/>
      <c r="Y829" s="137"/>
      <c r="Z829" s="137"/>
    </row>
    <row r="830" ht="15.75" customHeight="1">
      <c r="A830" s="1385"/>
      <c r="B830" s="1385"/>
      <c r="C830" s="234"/>
      <c r="D830" s="815"/>
      <c r="E830" s="1537"/>
      <c r="F830" s="763"/>
      <c r="G830" s="763"/>
      <c r="H830" s="763"/>
      <c r="I830" s="763"/>
      <c r="J830" s="763"/>
      <c r="K830" s="781"/>
      <c r="L830" s="781"/>
      <c r="M830" s="781"/>
      <c r="N830" s="781"/>
      <c r="O830" s="781"/>
      <c r="P830" s="781"/>
      <c r="Q830" s="781"/>
      <c r="R830" s="781"/>
      <c r="S830" s="781"/>
      <c r="T830" s="781"/>
      <c r="U830" s="781"/>
      <c r="V830" s="781"/>
      <c r="W830" s="137"/>
      <c r="X830" s="137"/>
      <c r="Y830" s="137"/>
      <c r="Z830" s="137"/>
    </row>
    <row r="831" ht="15.75" customHeight="1">
      <c r="A831" s="1385"/>
      <c r="B831" s="1385"/>
      <c r="C831" s="234"/>
      <c r="D831" s="815"/>
      <c r="E831" s="1537"/>
      <c r="F831" s="763"/>
      <c r="G831" s="763"/>
      <c r="H831" s="763"/>
      <c r="I831" s="763"/>
      <c r="J831" s="763"/>
      <c r="K831" s="781"/>
      <c r="L831" s="781"/>
      <c r="M831" s="781"/>
      <c r="N831" s="781"/>
      <c r="O831" s="781"/>
      <c r="P831" s="781"/>
      <c r="Q831" s="781"/>
      <c r="R831" s="781"/>
      <c r="S831" s="781"/>
      <c r="T831" s="781"/>
      <c r="U831" s="781"/>
      <c r="V831" s="781"/>
      <c r="W831" s="137"/>
      <c r="X831" s="137"/>
      <c r="Y831" s="137"/>
      <c r="Z831" s="137"/>
    </row>
    <row r="832" ht="15.75" customHeight="1">
      <c r="A832" s="1385"/>
      <c r="B832" s="1385"/>
      <c r="C832" s="234"/>
      <c r="D832" s="815"/>
      <c r="E832" s="1537"/>
      <c r="F832" s="763"/>
      <c r="G832" s="763"/>
      <c r="H832" s="763"/>
      <c r="I832" s="763"/>
      <c r="J832" s="763"/>
      <c r="K832" s="781"/>
      <c r="L832" s="781"/>
      <c r="M832" s="781"/>
      <c r="N832" s="781"/>
      <c r="O832" s="781"/>
      <c r="P832" s="781"/>
      <c r="Q832" s="781"/>
      <c r="R832" s="781"/>
      <c r="S832" s="781"/>
      <c r="T832" s="781"/>
      <c r="U832" s="781"/>
      <c r="V832" s="781"/>
      <c r="W832" s="137"/>
      <c r="X832" s="137"/>
      <c r="Y832" s="137"/>
      <c r="Z832" s="137"/>
    </row>
    <row r="833" ht="15.75" customHeight="1">
      <c r="A833" s="1385"/>
      <c r="B833" s="1385"/>
      <c r="C833" s="234"/>
      <c r="D833" s="815"/>
      <c r="E833" s="1537"/>
      <c r="F833" s="763"/>
      <c r="G833" s="763"/>
      <c r="H833" s="763"/>
      <c r="I833" s="763"/>
      <c r="J833" s="763"/>
      <c r="K833" s="781"/>
      <c r="L833" s="781"/>
      <c r="M833" s="781"/>
      <c r="N833" s="781"/>
      <c r="O833" s="781"/>
      <c r="P833" s="781"/>
      <c r="Q833" s="781"/>
      <c r="R833" s="781"/>
      <c r="S833" s="781"/>
      <c r="T833" s="781"/>
      <c r="U833" s="781"/>
      <c r="V833" s="781"/>
      <c r="W833" s="137"/>
      <c r="X833" s="137"/>
      <c r="Y833" s="137"/>
      <c r="Z833" s="137"/>
    </row>
    <row r="834" ht="15.75" customHeight="1">
      <c r="A834" s="1385"/>
      <c r="B834" s="1385"/>
      <c r="C834" s="234"/>
      <c r="D834" s="815"/>
      <c r="E834" s="1537"/>
      <c r="F834" s="763"/>
      <c r="G834" s="763"/>
      <c r="H834" s="763"/>
      <c r="I834" s="763"/>
      <c r="J834" s="763"/>
      <c r="K834" s="781"/>
      <c r="L834" s="781"/>
      <c r="M834" s="781"/>
      <c r="N834" s="781"/>
      <c r="O834" s="781"/>
      <c r="P834" s="781"/>
      <c r="Q834" s="781"/>
      <c r="R834" s="781"/>
      <c r="S834" s="781"/>
      <c r="T834" s="781"/>
      <c r="U834" s="781"/>
      <c r="V834" s="781"/>
      <c r="W834" s="137"/>
      <c r="X834" s="137"/>
      <c r="Y834" s="137"/>
      <c r="Z834" s="137"/>
    </row>
    <row r="835" ht="15.75" customHeight="1">
      <c r="A835" s="1385"/>
      <c r="B835" s="1385"/>
      <c r="C835" s="234"/>
      <c r="D835" s="815"/>
      <c r="E835" s="1537"/>
      <c r="F835" s="763"/>
      <c r="G835" s="763"/>
      <c r="H835" s="763"/>
      <c r="I835" s="763"/>
      <c r="J835" s="763"/>
      <c r="K835" s="781"/>
      <c r="L835" s="781"/>
      <c r="M835" s="781"/>
      <c r="N835" s="781"/>
      <c r="O835" s="781"/>
      <c r="P835" s="781"/>
      <c r="Q835" s="781"/>
      <c r="R835" s="781"/>
      <c r="S835" s="781"/>
      <c r="T835" s="781"/>
      <c r="U835" s="781"/>
      <c r="V835" s="781"/>
      <c r="W835" s="137"/>
      <c r="X835" s="137"/>
      <c r="Y835" s="137"/>
      <c r="Z835" s="137"/>
    </row>
    <row r="836" ht="15.75" customHeight="1">
      <c r="A836" s="1385"/>
      <c r="B836" s="1385"/>
      <c r="C836" s="234"/>
      <c r="D836" s="815"/>
      <c r="E836" s="1537"/>
      <c r="F836" s="763"/>
      <c r="G836" s="763"/>
      <c r="H836" s="763"/>
      <c r="I836" s="763"/>
      <c r="J836" s="763"/>
      <c r="K836" s="781"/>
      <c r="L836" s="781"/>
      <c r="M836" s="781"/>
      <c r="N836" s="781"/>
      <c r="O836" s="781"/>
      <c r="P836" s="781"/>
      <c r="Q836" s="781"/>
      <c r="R836" s="781"/>
      <c r="S836" s="781"/>
      <c r="T836" s="781"/>
      <c r="U836" s="781"/>
      <c r="V836" s="781"/>
      <c r="W836" s="137"/>
      <c r="X836" s="137"/>
      <c r="Y836" s="137"/>
      <c r="Z836" s="137"/>
    </row>
    <row r="837" ht="15.75" customHeight="1">
      <c r="A837" s="1385"/>
      <c r="B837" s="1385"/>
      <c r="C837" s="234"/>
      <c r="D837" s="815"/>
      <c r="E837" s="1537"/>
      <c r="F837" s="763"/>
      <c r="G837" s="763"/>
      <c r="H837" s="763"/>
      <c r="I837" s="763"/>
      <c r="J837" s="763"/>
      <c r="K837" s="781"/>
      <c r="L837" s="781"/>
      <c r="M837" s="781"/>
      <c r="N837" s="781"/>
      <c r="O837" s="781"/>
      <c r="P837" s="781"/>
      <c r="Q837" s="781"/>
      <c r="R837" s="781"/>
      <c r="S837" s="781"/>
      <c r="T837" s="781"/>
      <c r="U837" s="781"/>
      <c r="V837" s="781"/>
      <c r="W837" s="137"/>
      <c r="X837" s="137"/>
      <c r="Y837" s="137"/>
      <c r="Z837" s="137"/>
    </row>
    <row r="838" ht="15.75" customHeight="1">
      <c r="A838" s="1385"/>
      <c r="B838" s="1385"/>
      <c r="C838" s="234"/>
      <c r="D838" s="815"/>
      <c r="E838" s="1537"/>
      <c r="F838" s="763"/>
      <c r="G838" s="763"/>
      <c r="H838" s="763"/>
      <c r="I838" s="763"/>
      <c r="J838" s="763"/>
      <c r="K838" s="781"/>
      <c r="L838" s="781"/>
      <c r="M838" s="781"/>
      <c r="N838" s="781"/>
      <c r="O838" s="781"/>
      <c r="P838" s="781"/>
      <c r="Q838" s="781"/>
      <c r="R838" s="781"/>
      <c r="S838" s="781"/>
      <c r="T838" s="781"/>
      <c r="U838" s="781"/>
      <c r="V838" s="781"/>
      <c r="W838" s="137"/>
      <c r="X838" s="137"/>
      <c r="Y838" s="137"/>
      <c r="Z838" s="137"/>
    </row>
    <row r="839" ht="15.75" customHeight="1">
      <c r="A839" s="1385"/>
      <c r="B839" s="1385"/>
      <c r="C839" s="234"/>
      <c r="D839" s="815"/>
      <c r="E839" s="1537"/>
      <c r="F839" s="763"/>
      <c r="G839" s="763"/>
      <c r="H839" s="763"/>
      <c r="I839" s="763"/>
      <c r="J839" s="763"/>
      <c r="K839" s="781"/>
      <c r="L839" s="781"/>
      <c r="M839" s="781"/>
      <c r="N839" s="781"/>
      <c r="O839" s="781"/>
      <c r="P839" s="781"/>
      <c r="Q839" s="781"/>
      <c r="R839" s="781"/>
      <c r="S839" s="781"/>
      <c r="T839" s="781"/>
      <c r="U839" s="781"/>
      <c r="V839" s="781"/>
      <c r="W839" s="137"/>
      <c r="X839" s="137"/>
      <c r="Y839" s="137"/>
      <c r="Z839" s="137"/>
    </row>
    <row r="840" ht="15.75" customHeight="1">
      <c r="A840" s="1385"/>
      <c r="B840" s="1385"/>
      <c r="C840" s="234"/>
      <c r="D840" s="815"/>
      <c r="E840" s="1537"/>
      <c r="F840" s="763"/>
      <c r="G840" s="763"/>
      <c r="H840" s="763"/>
      <c r="I840" s="763"/>
      <c r="J840" s="763"/>
      <c r="K840" s="781"/>
      <c r="L840" s="781"/>
      <c r="M840" s="781"/>
      <c r="N840" s="781"/>
      <c r="O840" s="781"/>
      <c r="P840" s="781"/>
      <c r="Q840" s="781"/>
      <c r="R840" s="781"/>
      <c r="S840" s="781"/>
      <c r="T840" s="781"/>
      <c r="U840" s="781"/>
      <c r="V840" s="781"/>
      <c r="W840" s="137"/>
      <c r="X840" s="137"/>
      <c r="Y840" s="137"/>
      <c r="Z840" s="137"/>
    </row>
    <row r="841" ht="15.75" customHeight="1">
      <c r="A841" s="1385"/>
      <c r="B841" s="1385"/>
      <c r="C841" s="234"/>
      <c r="D841" s="815"/>
      <c r="E841" s="1537"/>
      <c r="F841" s="763"/>
      <c r="G841" s="763"/>
      <c r="H841" s="763"/>
      <c r="I841" s="763"/>
      <c r="J841" s="763"/>
      <c r="K841" s="781"/>
      <c r="L841" s="781"/>
      <c r="M841" s="781"/>
      <c r="N841" s="781"/>
      <c r="O841" s="781"/>
      <c r="P841" s="781"/>
      <c r="Q841" s="781"/>
      <c r="R841" s="781"/>
      <c r="S841" s="781"/>
      <c r="T841" s="781"/>
      <c r="U841" s="781"/>
      <c r="V841" s="781"/>
      <c r="W841" s="137"/>
      <c r="X841" s="137"/>
      <c r="Y841" s="137"/>
      <c r="Z841" s="137"/>
    </row>
    <row r="842" ht="15.75" customHeight="1">
      <c r="A842" s="1385"/>
      <c r="B842" s="1385"/>
      <c r="C842" s="234"/>
      <c r="D842" s="815"/>
      <c r="E842" s="1537"/>
      <c r="F842" s="763"/>
      <c r="G842" s="763"/>
      <c r="H842" s="763"/>
      <c r="I842" s="763"/>
      <c r="J842" s="763"/>
      <c r="K842" s="781"/>
      <c r="L842" s="781"/>
      <c r="M842" s="781"/>
      <c r="N842" s="781"/>
      <c r="O842" s="781"/>
      <c r="P842" s="781"/>
      <c r="Q842" s="781"/>
      <c r="R842" s="781"/>
      <c r="S842" s="781"/>
      <c r="T842" s="781"/>
      <c r="U842" s="781"/>
      <c r="V842" s="781"/>
      <c r="W842" s="137"/>
      <c r="X842" s="137"/>
      <c r="Y842" s="137"/>
      <c r="Z842" s="137"/>
    </row>
    <row r="843" ht="15.75" customHeight="1">
      <c r="A843" s="1385"/>
      <c r="B843" s="1385"/>
      <c r="C843" s="234"/>
      <c r="D843" s="815"/>
      <c r="E843" s="1537"/>
      <c r="F843" s="763"/>
      <c r="G843" s="763"/>
      <c r="H843" s="763"/>
      <c r="I843" s="763"/>
      <c r="J843" s="763"/>
      <c r="K843" s="781"/>
      <c r="L843" s="781"/>
      <c r="M843" s="781"/>
      <c r="N843" s="781"/>
      <c r="O843" s="781"/>
      <c r="P843" s="781"/>
      <c r="Q843" s="781"/>
      <c r="R843" s="781"/>
      <c r="S843" s="781"/>
      <c r="T843" s="781"/>
      <c r="U843" s="781"/>
      <c r="V843" s="781"/>
      <c r="W843" s="137"/>
      <c r="X843" s="137"/>
      <c r="Y843" s="137"/>
      <c r="Z843" s="137"/>
    </row>
    <row r="844" ht="15.75" customHeight="1">
      <c r="A844" s="1385"/>
      <c r="B844" s="1385"/>
      <c r="C844" s="234"/>
      <c r="D844" s="815"/>
      <c r="E844" s="1537"/>
      <c r="F844" s="763"/>
      <c r="G844" s="763"/>
      <c r="H844" s="763"/>
      <c r="I844" s="763"/>
      <c r="J844" s="763"/>
      <c r="K844" s="781"/>
      <c r="L844" s="781"/>
      <c r="M844" s="781"/>
      <c r="N844" s="781"/>
      <c r="O844" s="781"/>
      <c r="P844" s="781"/>
      <c r="Q844" s="781"/>
      <c r="R844" s="781"/>
      <c r="S844" s="781"/>
      <c r="T844" s="781"/>
      <c r="U844" s="781"/>
      <c r="V844" s="781"/>
      <c r="W844" s="137"/>
      <c r="X844" s="137"/>
      <c r="Y844" s="137"/>
      <c r="Z844" s="137"/>
    </row>
    <row r="845" ht="15.75" customHeight="1">
      <c r="A845" s="1385"/>
      <c r="B845" s="1385"/>
      <c r="C845" s="234"/>
      <c r="D845" s="815"/>
      <c r="E845" s="1537"/>
      <c r="F845" s="763"/>
      <c r="G845" s="763"/>
      <c r="H845" s="763"/>
      <c r="I845" s="763"/>
      <c r="J845" s="763"/>
      <c r="K845" s="781"/>
      <c r="L845" s="781"/>
      <c r="M845" s="781"/>
      <c r="N845" s="781"/>
      <c r="O845" s="781"/>
      <c r="P845" s="781"/>
      <c r="Q845" s="781"/>
      <c r="R845" s="781"/>
      <c r="S845" s="781"/>
      <c r="T845" s="781"/>
      <c r="U845" s="781"/>
      <c r="V845" s="781"/>
      <c r="W845" s="137"/>
      <c r="X845" s="137"/>
      <c r="Y845" s="137"/>
      <c r="Z845" s="137"/>
    </row>
    <row r="846" ht="15.75" customHeight="1">
      <c r="A846" s="1385"/>
      <c r="B846" s="1385"/>
      <c r="C846" s="234"/>
      <c r="D846" s="815"/>
      <c r="E846" s="1537"/>
      <c r="F846" s="763"/>
      <c r="G846" s="763"/>
      <c r="H846" s="763"/>
      <c r="I846" s="763"/>
      <c r="J846" s="763"/>
      <c r="K846" s="781"/>
      <c r="L846" s="781"/>
      <c r="M846" s="781"/>
      <c r="N846" s="781"/>
      <c r="O846" s="781"/>
      <c r="P846" s="781"/>
      <c r="Q846" s="781"/>
      <c r="R846" s="781"/>
      <c r="S846" s="781"/>
      <c r="T846" s="781"/>
      <c r="U846" s="781"/>
      <c r="V846" s="781"/>
      <c r="W846" s="137"/>
      <c r="X846" s="137"/>
      <c r="Y846" s="137"/>
      <c r="Z846" s="137"/>
    </row>
    <row r="847" ht="15.75" customHeight="1">
      <c r="A847" s="1385"/>
      <c r="B847" s="1385"/>
      <c r="C847" s="234"/>
      <c r="D847" s="815"/>
      <c r="E847" s="1537"/>
      <c r="F847" s="763"/>
      <c r="G847" s="763"/>
      <c r="H847" s="763"/>
      <c r="I847" s="763"/>
      <c r="J847" s="763"/>
      <c r="K847" s="781"/>
      <c r="L847" s="781"/>
      <c r="M847" s="781"/>
      <c r="N847" s="781"/>
      <c r="O847" s="781"/>
      <c r="P847" s="781"/>
      <c r="Q847" s="781"/>
      <c r="R847" s="781"/>
      <c r="S847" s="781"/>
      <c r="T847" s="781"/>
      <c r="U847" s="781"/>
      <c r="V847" s="781"/>
      <c r="W847" s="137"/>
      <c r="X847" s="137"/>
      <c r="Y847" s="137"/>
      <c r="Z847" s="137"/>
    </row>
    <row r="848" ht="15.75" customHeight="1">
      <c r="A848" s="1385"/>
      <c r="B848" s="1385"/>
      <c r="C848" s="234"/>
      <c r="D848" s="815"/>
      <c r="E848" s="1537"/>
      <c r="F848" s="763"/>
      <c r="G848" s="763"/>
      <c r="H848" s="763"/>
      <c r="I848" s="763"/>
      <c r="J848" s="763"/>
      <c r="K848" s="781"/>
      <c r="L848" s="781"/>
      <c r="M848" s="781"/>
      <c r="N848" s="781"/>
      <c r="O848" s="781"/>
      <c r="P848" s="781"/>
      <c r="Q848" s="781"/>
      <c r="R848" s="781"/>
      <c r="S848" s="781"/>
      <c r="T848" s="781"/>
      <c r="U848" s="781"/>
      <c r="V848" s="781"/>
      <c r="W848" s="137"/>
      <c r="X848" s="137"/>
      <c r="Y848" s="137"/>
      <c r="Z848" s="137"/>
    </row>
    <row r="849" ht="15.75" customHeight="1">
      <c r="A849" s="1385"/>
      <c r="B849" s="1385"/>
      <c r="C849" s="234"/>
      <c r="D849" s="815"/>
      <c r="E849" s="1537"/>
      <c r="F849" s="763"/>
      <c r="G849" s="763"/>
      <c r="H849" s="763"/>
      <c r="I849" s="763"/>
      <c r="J849" s="763"/>
      <c r="K849" s="781"/>
      <c r="L849" s="781"/>
      <c r="M849" s="781"/>
      <c r="N849" s="781"/>
      <c r="O849" s="781"/>
      <c r="P849" s="781"/>
      <c r="Q849" s="781"/>
      <c r="R849" s="781"/>
      <c r="S849" s="781"/>
      <c r="T849" s="781"/>
      <c r="U849" s="781"/>
      <c r="V849" s="781"/>
      <c r="W849" s="137"/>
      <c r="X849" s="137"/>
      <c r="Y849" s="137"/>
      <c r="Z849" s="137"/>
    </row>
    <row r="850" ht="15.75" customHeight="1">
      <c r="A850" s="1385"/>
      <c r="B850" s="1385"/>
      <c r="C850" s="234"/>
      <c r="D850" s="815"/>
      <c r="E850" s="1537"/>
      <c r="F850" s="763"/>
      <c r="G850" s="763"/>
      <c r="H850" s="763"/>
      <c r="I850" s="763"/>
      <c r="J850" s="763"/>
      <c r="K850" s="781"/>
      <c r="L850" s="781"/>
      <c r="M850" s="781"/>
      <c r="N850" s="781"/>
      <c r="O850" s="781"/>
      <c r="P850" s="781"/>
      <c r="Q850" s="781"/>
      <c r="R850" s="781"/>
      <c r="S850" s="781"/>
      <c r="T850" s="781"/>
      <c r="U850" s="781"/>
      <c r="V850" s="781"/>
      <c r="W850" s="137"/>
      <c r="X850" s="137"/>
      <c r="Y850" s="137"/>
      <c r="Z850" s="137"/>
    </row>
    <row r="851" ht="15.75" customHeight="1">
      <c r="A851" s="1385"/>
      <c r="B851" s="1385"/>
      <c r="C851" s="234"/>
      <c r="D851" s="815"/>
      <c r="E851" s="1537"/>
      <c r="F851" s="763"/>
      <c r="G851" s="763"/>
      <c r="H851" s="763"/>
      <c r="I851" s="763"/>
      <c r="J851" s="763"/>
      <c r="K851" s="781"/>
      <c r="L851" s="781"/>
      <c r="M851" s="781"/>
      <c r="N851" s="781"/>
      <c r="O851" s="781"/>
      <c r="P851" s="781"/>
      <c r="Q851" s="781"/>
      <c r="R851" s="781"/>
      <c r="S851" s="781"/>
      <c r="T851" s="781"/>
      <c r="U851" s="781"/>
      <c r="V851" s="781"/>
      <c r="W851" s="137"/>
      <c r="X851" s="137"/>
      <c r="Y851" s="137"/>
      <c r="Z851" s="137"/>
    </row>
    <row r="852" ht="15.75" customHeight="1">
      <c r="A852" s="1385"/>
      <c r="B852" s="1385"/>
      <c r="C852" s="234"/>
      <c r="D852" s="815"/>
      <c r="E852" s="1537"/>
      <c r="F852" s="763"/>
      <c r="G852" s="763"/>
      <c r="H852" s="763"/>
      <c r="I852" s="763"/>
      <c r="J852" s="763"/>
      <c r="K852" s="781"/>
      <c r="L852" s="781"/>
      <c r="M852" s="781"/>
      <c r="N852" s="781"/>
      <c r="O852" s="781"/>
      <c r="P852" s="781"/>
      <c r="Q852" s="781"/>
      <c r="R852" s="781"/>
      <c r="S852" s="781"/>
      <c r="T852" s="781"/>
      <c r="U852" s="781"/>
      <c r="V852" s="781"/>
      <c r="W852" s="137"/>
      <c r="X852" s="137"/>
      <c r="Y852" s="137"/>
      <c r="Z852" s="137"/>
    </row>
    <row r="853" ht="15.75" customHeight="1">
      <c r="A853" s="1385"/>
      <c r="B853" s="1385"/>
      <c r="C853" s="234"/>
      <c r="D853" s="815"/>
      <c r="E853" s="1537"/>
      <c r="F853" s="763"/>
      <c r="G853" s="763"/>
      <c r="H853" s="763"/>
      <c r="I853" s="763"/>
      <c r="J853" s="763"/>
      <c r="K853" s="781"/>
      <c r="L853" s="781"/>
      <c r="M853" s="781"/>
      <c r="N853" s="781"/>
      <c r="O853" s="781"/>
      <c r="P853" s="781"/>
      <c r="Q853" s="781"/>
      <c r="R853" s="781"/>
      <c r="S853" s="781"/>
      <c r="T853" s="781"/>
      <c r="U853" s="781"/>
      <c r="V853" s="781"/>
      <c r="W853" s="137"/>
      <c r="X853" s="137"/>
      <c r="Y853" s="137"/>
      <c r="Z853" s="137"/>
    </row>
    <row r="854" ht="15.75" customHeight="1">
      <c r="A854" s="1385"/>
      <c r="B854" s="1385"/>
      <c r="C854" s="234"/>
      <c r="D854" s="815"/>
      <c r="E854" s="1537"/>
      <c r="F854" s="763"/>
      <c r="G854" s="763"/>
      <c r="H854" s="763"/>
      <c r="I854" s="763"/>
      <c r="J854" s="763"/>
      <c r="K854" s="781"/>
      <c r="L854" s="781"/>
      <c r="M854" s="781"/>
      <c r="N854" s="781"/>
      <c r="O854" s="781"/>
      <c r="P854" s="781"/>
      <c r="Q854" s="781"/>
      <c r="R854" s="781"/>
      <c r="S854" s="781"/>
      <c r="T854" s="781"/>
      <c r="U854" s="781"/>
      <c r="V854" s="781"/>
      <c r="W854" s="137"/>
      <c r="X854" s="137"/>
      <c r="Y854" s="137"/>
      <c r="Z854" s="137"/>
    </row>
    <row r="855" ht="15.75" customHeight="1">
      <c r="A855" s="1385"/>
      <c r="B855" s="1385"/>
      <c r="C855" s="234"/>
      <c r="D855" s="815"/>
      <c r="E855" s="1537"/>
      <c r="F855" s="763"/>
      <c r="G855" s="763"/>
      <c r="H855" s="763"/>
      <c r="I855" s="763"/>
      <c r="J855" s="763"/>
      <c r="K855" s="781"/>
      <c r="L855" s="781"/>
      <c r="M855" s="781"/>
      <c r="N855" s="781"/>
      <c r="O855" s="781"/>
      <c r="P855" s="781"/>
      <c r="Q855" s="781"/>
      <c r="R855" s="781"/>
      <c r="S855" s="781"/>
      <c r="T855" s="781"/>
      <c r="U855" s="781"/>
      <c r="V855" s="781"/>
      <c r="W855" s="137"/>
      <c r="X855" s="137"/>
      <c r="Y855" s="137"/>
      <c r="Z855" s="137"/>
    </row>
    <row r="856" ht="15.75" customHeight="1">
      <c r="A856" s="1385"/>
      <c r="B856" s="1385"/>
      <c r="C856" s="234"/>
      <c r="D856" s="815"/>
      <c r="E856" s="1537"/>
      <c r="F856" s="763"/>
      <c r="G856" s="763"/>
      <c r="H856" s="763"/>
      <c r="I856" s="763"/>
      <c r="J856" s="763"/>
      <c r="K856" s="781"/>
      <c r="L856" s="781"/>
      <c r="M856" s="781"/>
      <c r="N856" s="781"/>
      <c r="O856" s="781"/>
      <c r="P856" s="781"/>
      <c r="Q856" s="781"/>
      <c r="R856" s="781"/>
      <c r="S856" s="781"/>
      <c r="T856" s="781"/>
      <c r="U856" s="781"/>
      <c r="V856" s="781"/>
      <c r="W856" s="137"/>
      <c r="X856" s="137"/>
      <c r="Y856" s="137"/>
      <c r="Z856" s="137"/>
    </row>
    <row r="857" ht="15.75" customHeight="1">
      <c r="A857" s="1385"/>
      <c r="B857" s="1385"/>
      <c r="C857" s="234"/>
      <c r="D857" s="815"/>
      <c r="E857" s="1537"/>
      <c r="F857" s="763"/>
      <c r="G857" s="763"/>
      <c r="H857" s="763"/>
      <c r="I857" s="763"/>
      <c r="J857" s="763"/>
      <c r="K857" s="781"/>
      <c r="L857" s="781"/>
      <c r="M857" s="781"/>
      <c r="N857" s="781"/>
      <c r="O857" s="781"/>
      <c r="P857" s="781"/>
      <c r="Q857" s="781"/>
      <c r="R857" s="781"/>
      <c r="S857" s="781"/>
      <c r="T857" s="781"/>
      <c r="U857" s="781"/>
      <c r="V857" s="781"/>
      <c r="W857" s="137"/>
      <c r="X857" s="137"/>
      <c r="Y857" s="137"/>
      <c r="Z857" s="137"/>
    </row>
    <row r="858" ht="15.75" customHeight="1">
      <c r="A858" s="1385"/>
      <c r="B858" s="1385"/>
      <c r="C858" s="234"/>
      <c r="D858" s="815"/>
      <c r="E858" s="1537"/>
      <c r="F858" s="763"/>
      <c r="G858" s="763"/>
      <c r="H858" s="763"/>
      <c r="I858" s="763"/>
      <c r="J858" s="763"/>
      <c r="K858" s="781"/>
      <c r="L858" s="781"/>
      <c r="M858" s="781"/>
      <c r="N858" s="781"/>
      <c r="O858" s="781"/>
      <c r="P858" s="781"/>
      <c r="Q858" s="781"/>
      <c r="R858" s="781"/>
      <c r="S858" s="781"/>
      <c r="T858" s="781"/>
      <c r="U858" s="781"/>
      <c r="V858" s="781"/>
      <c r="W858" s="137"/>
      <c r="X858" s="137"/>
      <c r="Y858" s="137"/>
      <c r="Z858" s="137"/>
    </row>
    <row r="859" ht="15.75" customHeight="1">
      <c r="A859" s="1385"/>
      <c r="B859" s="1385"/>
      <c r="C859" s="234"/>
      <c r="D859" s="815"/>
      <c r="E859" s="1537"/>
      <c r="F859" s="763"/>
      <c r="G859" s="763"/>
      <c r="H859" s="763"/>
      <c r="I859" s="763"/>
      <c r="J859" s="763"/>
      <c r="K859" s="781"/>
      <c r="L859" s="781"/>
      <c r="M859" s="781"/>
      <c r="N859" s="781"/>
      <c r="O859" s="781"/>
      <c r="P859" s="781"/>
      <c r="Q859" s="781"/>
      <c r="R859" s="781"/>
      <c r="S859" s="781"/>
      <c r="T859" s="781"/>
      <c r="U859" s="781"/>
      <c r="V859" s="781"/>
      <c r="W859" s="137"/>
      <c r="X859" s="137"/>
      <c r="Y859" s="137"/>
      <c r="Z859" s="137"/>
    </row>
    <row r="860" ht="15.75" customHeight="1">
      <c r="A860" s="1385"/>
      <c r="B860" s="1385"/>
      <c r="C860" s="234"/>
      <c r="D860" s="815"/>
      <c r="E860" s="1537"/>
      <c r="F860" s="763"/>
      <c r="G860" s="763"/>
      <c r="H860" s="763"/>
      <c r="I860" s="763"/>
      <c r="J860" s="763"/>
      <c r="K860" s="781"/>
      <c r="L860" s="781"/>
      <c r="M860" s="781"/>
      <c r="N860" s="781"/>
      <c r="O860" s="781"/>
      <c r="P860" s="781"/>
      <c r="Q860" s="781"/>
      <c r="R860" s="781"/>
      <c r="S860" s="781"/>
      <c r="T860" s="781"/>
      <c r="U860" s="781"/>
      <c r="V860" s="781"/>
      <c r="W860" s="137"/>
      <c r="X860" s="137"/>
      <c r="Y860" s="137"/>
      <c r="Z860" s="137"/>
    </row>
    <row r="861" ht="15.75" customHeight="1">
      <c r="A861" s="1385"/>
      <c r="B861" s="1385"/>
      <c r="C861" s="234"/>
      <c r="D861" s="815"/>
      <c r="E861" s="1537"/>
      <c r="F861" s="763"/>
      <c r="G861" s="763"/>
      <c r="H861" s="763"/>
      <c r="I861" s="763"/>
      <c r="J861" s="763"/>
      <c r="K861" s="781"/>
      <c r="L861" s="781"/>
      <c r="M861" s="781"/>
      <c r="N861" s="781"/>
      <c r="O861" s="781"/>
      <c r="P861" s="781"/>
      <c r="Q861" s="781"/>
      <c r="R861" s="781"/>
      <c r="S861" s="781"/>
      <c r="T861" s="781"/>
      <c r="U861" s="781"/>
      <c r="V861" s="781"/>
      <c r="W861" s="137"/>
      <c r="X861" s="137"/>
      <c r="Y861" s="137"/>
      <c r="Z861" s="137"/>
    </row>
    <row r="862" ht="15.75" customHeight="1">
      <c r="A862" s="1385"/>
      <c r="B862" s="1385"/>
      <c r="C862" s="234"/>
      <c r="D862" s="815"/>
      <c r="E862" s="1537"/>
      <c r="F862" s="763"/>
      <c r="G862" s="763"/>
      <c r="H862" s="763"/>
      <c r="I862" s="763"/>
      <c r="J862" s="763"/>
      <c r="K862" s="781"/>
      <c r="L862" s="781"/>
      <c r="M862" s="781"/>
      <c r="N862" s="781"/>
      <c r="O862" s="781"/>
      <c r="P862" s="781"/>
      <c r="Q862" s="781"/>
      <c r="R862" s="781"/>
      <c r="S862" s="781"/>
      <c r="T862" s="781"/>
      <c r="U862" s="781"/>
      <c r="V862" s="781"/>
      <c r="W862" s="137"/>
      <c r="X862" s="137"/>
      <c r="Y862" s="137"/>
      <c r="Z862" s="137"/>
    </row>
    <row r="863" ht="15.75" customHeight="1">
      <c r="A863" s="1385"/>
      <c r="B863" s="1385"/>
      <c r="C863" s="234"/>
      <c r="D863" s="815"/>
      <c r="E863" s="1537"/>
      <c r="F863" s="763"/>
      <c r="G863" s="763"/>
      <c r="H863" s="763"/>
      <c r="I863" s="763"/>
      <c r="J863" s="763"/>
      <c r="K863" s="781"/>
      <c r="L863" s="781"/>
      <c r="M863" s="781"/>
      <c r="N863" s="781"/>
      <c r="O863" s="781"/>
      <c r="P863" s="781"/>
      <c r="Q863" s="781"/>
      <c r="R863" s="781"/>
      <c r="S863" s="781"/>
      <c r="T863" s="781"/>
      <c r="U863" s="781"/>
      <c r="V863" s="781"/>
      <c r="W863" s="137"/>
      <c r="X863" s="137"/>
      <c r="Y863" s="137"/>
      <c r="Z863" s="137"/>
    </row>
    <row r="864" ht="15.75" customHeight="1">
      <c r="A864" s="1385"/>
      <c r="B864" s="1385"/>
      <c r="C864" s="234"/>
      <c r="D864" s="815"/>
      <c r="E864" s="1537"/>
      <c r="F864" s="763"/>
      <c r="G864" s="763"/>
      <c r="H864" s="763"/>
      <c r="I864" s="763"/>
      <c r="J864" s="763"/>
      <c r="K864" s="781"/>
      <c r="L864" s="781"/>
      <c r="M864" s="781"/>
      <c r="N864" s="781"/>
      <c r="O864" s="781"/>
      <c r="P864" s="781"/>
      <c r="Q864" s="781"/>
      <c r="R864" s="781"/>
      <c r="S864" s="781"/>
      <c r="T864" s="781"/>
      <c r="U864" s="781"/>
      <c r="V864" s="781"/>
      <c r="W864" s="137"/>
      <c r="X864" s="137"/>
      <c r="Y864" s="137"/>
      <c r="Z864" s="137"/>
    </row>
    <row r="865" ht="15.75" customHeight="1">
      <c r="A865" s="1385"/>
      <c r="B865" s="1385"/>
      <c r="C865" s="234"/>
      <c r="D865" s="815"/>
      <c r="E865" s="1537"/>
      <c r="F865" s="763"/>
      <c r="G865" s="763"/>
      <c r="H865" s="763"/>
      <c r="I865" s="763"/>
      <c r="J865" s="763"/>
      <c r="K865" s="781"/>
      <c r="L865" s="781"/>
      <c r="M865" s="781"/>
      <c r="N865" s="781"/>
      <c r="O865" s="781"/>
      <c r="P865" s="781"/>
      <c r="Q865" s="781"/>
      <c r="R865" s="781"/>
      <c r="S865" s="781"/>
      <c r="T865" s="781"/>
      <c r="U865" s="781"/>
      <c r="V865" s="781"/>
      <c r="W865" s="137"/>
      <c r="X865" s="137"/>
      <c r="Y865" s="137"/>
      <c r="Z865" s="137"/>
    </row>
    <row r="866" ht="15.75" customHeight="1">
      <c r="A866" s="1385"/>
      <c r="B866" s="1385"/>
      <c r="C866" s="234"/>
      <c r="D866" s="815"/>
      <c r="E866" s="1537"/>
      <c r="F866" s="763"/>
      <c r="G866" s="763"/>
      <c r="H866" s="763"/>
      <c r="I866" s="763"/>
      <c r="J866" s="763"/>
      <c r="K866" s="781"/>
      <c r="L866" s="781"/>
      <c r="M866" s="781"/>
      <c r="N866" s="781"/>
      <c r="O866" s="781"/>
      <c r="P866" s="781"/>
      <c r="Q866" s="781"/>
      <c r="R866" s="781"/>
      <c r="S866" s="781"/>
      <c r="T866" s="781"/>
      <c r="U866" s="781"/>
      <c r="V866" s="781"/>
      <c r="W866" s="137"/>
      <c r="X866" s="137"/>
      <c r="Y866" s="137"/>
      <c r="Z866" s="137"/>
    </row>
    <row r="867" ht="15.75" customHeight="1">
      <c r="A867" s="1385"/>
      <c r="B867" s="1385"/>
      <c r="C867" s="234"/>
      <c r="D867" s="815"/>
      <c r="E867" s="1537"/>
      <c r="F867" s="763"/>
      <c r="G867" s="763"/>
      <c r="H867" s="763"/>
      <c r="I867" s="763"/>
      <c r="J867" s="763"/>
      <c r="K867" s="781"/>
      <c r="L867" s="781"/>
      <c r="M867" s="781"/>
      <c r="N867" s="781"/>
      <c r="O867" s="781"/>
      <c r="P867" s="781"/>
      <c r="Q867" s="781"/>
      <c r="R867" s="781"/>
      <c r="S867" s="781"/>
      <c r="T867" s="781"/>
      <c r="U867" s="781"/>
      <c r="V867" s="781"/>
      <c r="W867" s="137"/>
      <c r="X867" s="137"/>
      <c r="Y867" s="137"/>
      <c r="Z867" s="137"/>
    </row>
    <row r="868" ht="15.75" customHeight="1">
      <c r="A868" s="1385"/>
      <c r="B868" s="1385"/>
      <c r="C868" s="234"/>
      <c r="D868" s="815"/>
      <c r="E868" s="1537"/>
      <c r="F868" s="763"/>
      <c r="G868" s="763"/>
      <c r="H868" s="763"/>
      <c r="I868" s="763"/>
      <c r="J868" s="763"/>
      <c r="K868" s="781"/>
      <c r="L868" s="781"/>
      <c r="M868" s="781"/>
      <c r="N868" s="781"/>
      <c r="O868" s="781"/>
      <c r="P868" s="781"/>
      <c r="Q868" s="781"/>
      <c r="R868" s="781"/>
      <c r="S868" s="781"/>
      <c r="T868" s="781"/>
      <c r="U868" s="781"/>
      <c r="V868" s="781"/>
      <c r="W868" s="137"/>
      <c r="X868" s="137"/>
      <c r="Y868" s="137"/>
      <c r="Z868" s="137"/>
    </row>
    <row r="869" ht="15.75" customHeight="1">
      <c r="A869" s="1385"/>
      <c r="B869" s="1385"/>
      <c r="C869" s="234"/>
      <c r="D869" s="815"/>
      <c r="E869" s="1537"/>
      <c r="F869" s="763"/>
      <c r="G869" s="763"/>
      <c r="H869" s="763"/>
      <c r="I869" s="763"/>
      <c r="J869" s="763"/>
      <c r="K869" s="781"/>
      <c r="L869" s="781"/>
      <c r="M869" s="781"/>
      <c r="N869" s="781"/>
      <c r="O869" s="781"/>
      <c r="P869" s="781"/>
      <c r="Q869" s="781"/>
      <c r="R869" s="781"/>
      <c r="S869" s="781"/>
      <c r="T869" s="781"/>
      <c r="U869" s="781"/>
      <c r="V869" s="781"/>
      <c r="W869" s="137"/>
      <c r="X869" s="137"/>
      <c r="Y869" s="137"/>
      <c r="Z869" s="137"/>
    </row>
    <row r="870" ht="15.75" customHeight="1">
      <c r="A870" s="1385"/>
      <c r="B870" s="1385"/>
      <c r="C870" s="234"/>
      <c r="D870" s="815"/>
      <c r="E870" s="1537"/>
      <c r="F870" s="763"/>
      <c r="G870" s="763"/>
      <c r="H870" s="763"/>
      <c r="I870" s="763"/>
      <c r="J870" s="763"/>
      <c r="K870" s="781"/>
      <c r="L870" s="781"/>
      <c r="M870" s="781"/>
      <c r="N870" s="781"/>
      <c r="O870" s="781"/>
      <c r="P870" s="781"/>
      <c r="Q870" s="781"/>
      <c r="R870" s="781"/>
      <c r="S870" s="781"/>
      <c r="T870" s="781"/>
      <c r="U870" s="781"/>
      <c r="V870" s="781"/>
      <c r="W870" s="137"/>
      <c r="X870" s="137"/>
      <c r="Y870" s="137"/>
      <c r="Z870" s="137"/>
    </row>
    <row r="871" ht="15.75" customHeight="1">
      <c r="A871" s="1385"/>
      <c r="B871" s="1385"/>
      <c r="C871" s="234"/>
      <c r="D871" s="815"/>
      <c r="E871" s="1537"/>
      <c r="F871" s="763"/>
      <c r="G871" s="763"/>
      <c r="H871" s="763"/>
      <c r="I871" s="763"/>
      <c r="J871" s="763"/>
      <c r="K871" s="781"/>
      <c r="L871" s="781"/>
      <c r="M871" s="781"/>
      <c r="N871" s="781"/>
      <c r="O871" s="781"/>
      <c r="P871" s="781"/>
      <c r="Q871" s="781"/>
      <c r="R871" s="781"/>
      <c r="S871" s="781"/>
      <c r="T871" s="781"/>
      <c r="U871" s="781"/>
      <c r="V871" s="781"/>
      <c r="W871" s="137"/>
      <c r="X871" s="137"/>
      <c r="Y871" s="137"/>
      <c r="Z871" s="137"/>
    </row>
    <row r="872" ht="15.75" customHeight="1">
      <c r="A872" s="1385"/>
      <c r="B872" s="1385"/>
      <c r="C872" s="234"/>
      <c r="D872" s="815"/>
      <c r="E872" s="1537"/>
      <c r="F872" s="763"/>
      <c r="G872" s="763"/>
      <c r="H872" s="763"/>
      <c r="I872" s="763"/>
      <c r="J872" s="763"/>
      <c r="K872" s="781"/>
      <c r="L872" s="781"/>
      <c r="M872" s="781"/>
      <c r="N872" s="781"/>
      <c r="O872" s="781"/>
      <c r="P872" s="781"/>
      <c r="Q872" s="781"/>
      <c r="R872" s="781"/>
      <c r="S872" s="781"/>
      <c r="T872" s="781"/>
      <c r="U872" s="781"/>
      <c r="V872" s="781"/>
      <c r="W872" s="137"/>
      <c r="X872" s="137"/>
      <c r="Y872" s="137"/>
      <c r="Z872" s="137"/>
    </row>
    <row r="873" ht="15.75" customHeight="1">
      <c r="A873" s="1385"/>
      <c r="B873" s="1385"/>
      <c r="C873" s="234"/>
      <c r="D873" s="815"/>
      <c r="E873" s="1537"/>
      <c r="F873" s="763"/>
      <c r="G873" s="763"/>
      <c r="H873" s="763"/>
      <c r="I873" s="763"/>
      <c r="J873" s="763"/>
      <c r="K873" s="781"/>
      <c r="L873" s="781"/>
      <c r="M873" s="781"/>
      <c r="N873" s="781"/>
      <c r="O873" s="781"/>
      <c r="P873" s="781"/>
      <c r="Q873" s="781"/>
      <c r="R873" s="781"/>
      <c r="S873" s="781"/>
      <c r="T873" s="781"/>
      <c r="U873" s="781"/>
      <c r="V873" s="781"/>
      <c r="W873" s="137"/>
      <c r="X873" s="137"/>
      <c r="Y873" s="137"/>
      <c r="Z873" s="137"/>
    </row>
    <row r="874" ht="15.75" customHeight="1">
      <c r="A874" s="1385"/>
      <c r="B874" s="1385"/>
      <c r="C874" s="234"/>
      <c r="D874" s="815"/>
      <c r="E874" s="1537"/>
      <c r="F874" s="763"/>
      <c r="G874" s="763"/>
      <c r="H874" s="763"/>
      <c r="I874" s="763"/>
      <c r="J874" s="763"/>
      <c r="K874" s="781"/>
      <c r="L874" s="781"/>
      <c r="M874" s="781"/>
      <c r="N874" s="781"/>
      <c r="O874" s="781"/>
      <c r="P874" s="781"/>
      <c r="Q874" s="781"/>
      <c r="R874" s="781"/>
      <c r="S874" s="781"/>
      <c r="T874" s="781"/>
      <c r="U874" s="781"/>
      <c r="V874" s="781"/>
      <c r="W874" s="137"/>
      <c r="X874" s="137"/>
      <c r="Y874" s="137"/>
      <c r="Z874" s="137"/>
    </row>
    <row r="875" ht="15.75" customHeight="1">
      <c r="A875" s="1385"/>
      <c r="B875" s="1385"/>
      <c r="C875" s="234"/>
      <c r="D875" s="815"/>
      <c r="E875" s="1537"/>
      <c r="F875" s="763"/>
      <c r="G875" s="763"/>
      <c r="H875" s="763"/>
      <c r="I875" s="763"/>
      <c r="J875" s="763"/>
      <c r="K875" s="781"/>
      <c r="L875" s="781"/>
      <c r="M875" s="781"/>
      <c r="N875" s="781"/>
      <c r="O875" s="781"/>
      <c r="P875" s="781"/>
      <c r="Q875" s="781"/>
      <c r="R875" s="781"/>
      <c r="S875" s="781"/>
      <c r="T875" s="781"/>
      <c r="U875" s="781"/>
      <c r="V875" s="781"/>
      <c r="W875" s="137"/>
      <c r="X875" s="137"/>
      <c r="Y875" s="137"/>
      <c r="Z875" s="137"/>
    </row>
    <row r="876" ht="15.75" customHeight="1">
      <c r="A876" s="1385"/>
      <c r="B876" s="1385"/>
      <c r="C876" s="234"/>
      <c r="D876" s="815"/>
      <c r="E876" s="1537"/>
      <c r="F876" s="763"/>
      <c r="G876" s="763"/>
      <c r="H876" s="763"/>
      <c r="I876" s="763"/>
      <c r="J876" s="763"/>
      <c r="K876" s="781"/>
      <c r="L876" s="781"/>
      <c r="M876" s="781"/>
      <c r="N876" s="781"/>
      <c r="O876" s="781"/>
      <c r="P876" s="781"/>
      <c r="Q876" s="781"/>
      <c r="R876" s="781"/>
      <c r="S876" s="781"/>
      <c r="T876" s="781"/>
      <c r="U876" s="781"/>
      <c r="V876" s="781"/>
      <c r="W876" s="137"/>
      <c r="X876" s="137"/>
      <c r="Y876" s="137"/>
      <c r="Z876" s="137"/>
    </row>
    <row r="877" ht="15.75" customHeight="1">
      <c r="A877" s="1385"/>
      <c r="B877" s="1385"/>
      <c r="C877" s="234"/>
      <c r="D877" s="815"/>
      <c r="E877" s="1537"/>
      <c r="F877" s="763"/>
      <c r="G877" s="763"/>
      <c r="H877" s="763"/>
      <c r="I877" s="763"/>
      <c r="J877" s="763"/>
      <c r="K877" s="781"/>
      <c r="L877" s="781"/>
      <c r="M877" s="781"/>
      <c r="N877" s="781"/>
      <c r="O877" s="781"/>
      <c r="P877" s="781"/>
      <c r="Q877" s="781"/>
      <c r="R877" s="781"/>
      <c r="S877" s="781"/>
      <c r="T877" s="781"/>
      <c r="U877" s="781"/>
      <c r="V877" s="781"/>
      <c r="W877" s="137"/>
      <c r="X877" s="137"/>
      <c r="Y877" s="137"/>
      <c r="Z877" s="137"/>
    </row>
    <row r="878" ht="15.75" customHeight="1">
      <c r="A878" s="1385"/>
      <c r="B878" s="1385"/>
      <c r="C878" s="234"/>
      <c r="D878" s="815"/>
      <c r="E878" s="1537"/>
      <c r="F878" s="763"/>
      <c r="G878" s="763"/>
      <c r="H878" s="763"/>
      <c r="I878" s="763"/>
      <c r="J878" s="763"/>
      <c r="K878" s="781"/>
      <c r="L878" s="781"/>
      <c r="M878" s="781"/>
      <c r="N878" s="781"/>
      <c r="O878" s="781"/>
      <c r="P878" s="781"/>
      <c r="Q878" s="781"/>
      <c r="R878" s="781"/>
      <c r="S878" s="781"/>
      <c r="T878" s="781"/>
      <c r="U878" s="781"/>
      <c r="V878" s="781"/>
      <c r="W878" s="137"/>
      <c r="X878" s="137"/>
      <c r="Y878" s="137"/>
      <c r="Z878" s="137"/>
    </row>
    <row r="879" ht="15.75" customHeight="1">
      <c r="A879" s="1385"/>
      <c r="B879" s="1385"/>
      <c r="C879" s="234"/>
      <c r="D879" s="815"/>
      <c r="E879" s="1537"/>
      <c r="F879" s="763"/>
      <c r="G879" s="763"/>
      <c r="H879" s="763"/>
      <c r="I879" s="763"/>
      <c r="J879" s="763"/>
      <c r="K879" s="781"/>
      <c r="L879" s="781"/>
      <c r="M879" s="781"/>
      <c r="N879" s="781"/>
      <c r="O879" s="781"/>
      <c r="P879" s="781"/>
      <c r="Q879" s="781"/>
      <c r="R879" s="781"/>
      <c r="S879" s="781"/>
      <c r="T879" s="781"/>
      <c r="U879" s="781"/>
      <c r="V879" s="781"/>
      <c r="W879" s="137"/>
      <c r="X879" s="137"/>
      <c r="Y879" s="137"/>
      <c r="Z879" s="137"/>
    </row>
    <row r="880" ht="15.75" customHeight="1">
      <c r="A880" s="1385"/>
      <c r="B880" s="1385"/>
      <c r="C880" s="234"/>
      <c r="D880" s="815"/>
      <c r="E880" s="1537"/>
      <c r="F880" s="763"/>
      <c r="G880" s="763"/>
      <c r="H880" s="763"/>
      <c r="I880" s="763"/>
      <c r="J880" s="763"/>
      <c r="K880" s="781"/>
      <c r="L880" s="781"/>
      <c r="M880" s="781"/>
      <c r="N880" s="781"/>
      <c r="O880" s="781"/>
      <c r="P880" s="781"/>
      <c r="Q880" s="781"/>
      <c r="R880" s="781"/>
      <c r="S880" s="781"/>
      <c r="T880" s="781"/>
      <c r="U880" s="781"/>
      <c r="V880" s="781"/>
      <c r="W880" s="137"/>
      <c r="X880" s="137"/>
      <c r="Y880" s="137"/>
      <c r="Z880" s="137"/>
    </row>
    <row r="881" ht="15.75" customHeight="1">
      <c r="A881" s="1385"/>
      <c r="B881" s="1385"/>
      <c r="C881" s="234"/>
      <c r="D881" s="815"/>
      <c r="E881" s="1537"/>
      <c r="F881" s="763"/>
      <c r="G881" s="763"/>
      <c r="H881" s="763"/>
      <c r="I881" s="763"/>
      <c r="J881" s="763"/>
      <c r="K881" s="781"/>
      <c r="L881" s="781"/>
      <c r="M881" s="781"/>
      <c r="N881" s="781"/>
      <c r="O881" s="781"/>
      <c r="P881" s="781"/>
      <c r="Q881" s="781"/>
      <c r="R881" s="781"/>
      <c r="S881" s="781"/>
      <c r="T881" s="781"/>
      <c r="U881" s="781"/>
      <c r="V881" s="781"/>
      <c r="W881" s="137"/>
      <c r="X881" s="137"/>
      <c r="Y881" s="137"/>
      <c r="Z881" s="137"/>
    </row>
    <row r="882" ht="15.75" customHeight="1">
      <c r="A882" s="1385"/>
      <c r="B882" s="1385"/>
      <c r="C882" s="234"/>
      <c r="D882" s="815"/>
      <c r="E882" s="1537"/>
      <c r="F882" s="763"/>
      <c r="G882" s="763"/>
      <c r="H882" s="763"/>
      <c r="I882" s="763"/>
      <c r="J882" s="763"/>
      <c r="K882" s="781"/>
      <c r="L882" s="781"/>
      <c r="M882" s="781"/>
      <c r="N882" s="781"/>
      <c r="O882" s="781"/>
      <c r="P882" s="781"/>
      <c r="Q882" s="781"/>
      <c r="R882" s="781"/>
      <c r="S882" s="781"/>
      <c r="T882" s="781"/>
      <c r="U882" s="781"/>
      <c r="V882" s="781"/>
      <c r="W882" s="137"/>
      <c r="X882" s="137"/>
      <c r="Y882" s="137"/>
      <c r="Z882" s="137"/>
    </row>
    <row r="883" ht="15.75" customHeight="1">
      <c r="A883" s="1385"/>
      <c r="B883" s="1385"/>
      <c r="C883" s="234"/>
      <c r="D883" s="815"/>
      <c r="E883" s="1537"/>
      <c r="F883" s="763"/>
      <c r="G883" s="763"/>
      <c r="H883" s="763"/>
      <c r="I883" s="763"/>
      <c r="J883" s="763"/>
      <c r="K883" s="781"/>
      <c r="L883" s="781"/>
      <c r="M883" s="781"/>
      <c r="N883" s="781"/>
      <c r="O883" s="781"/>
      <c r="P883" s="781"/>
      <c r="Q883" s="781"/>
      <c r="R883" s="781"/>
      <c r="S883" s="781"/>
      <c r="T883" s="781"/>
      <c r="U883" s="781"/>
      <c r="V883" s="781"/>
      <c r="W883" s="137"/>
      <c r="X883" s="137"/>
      <c r="Y883" s="137"/>
      <c r="Z883" s="137"/>
    </row>
    <row r="884" ht="15.75" customHeight="1">
      <c r="A884" s="1385"/>
      <c r="B884" s="1385"/>
      <c r="C884" s="234"/>
      <c r="D884" s="815"/>
      <c r="E884" s="1537"/>
      <c r="F884" s="763"/>
      <c r="G884" s="763"/>
      <c r="H884" s="763"/>
      <c r="I884" s="763"/>
      <c r="J884" s="763"/>
      <c r="K884" s="781"/>
      <c r="L884" s="781"/>
      <c r="M884" s="781"/>
      <c r="N884" s="781"/>
      <c r="O884" s="781"/>
      <c r="P884" s="781"/>
      <c r="Q884" s="781"/>
      <c r="R884" s="781"/>
      <c r="S884" s="781"/>
      <c r="T884" s="781"/>
      <c r="U884" s="781"/>
      <c r="V884" s="781"/>
      <c r="W884" s="137"/>
      <c r="X884" s="137"/>
      <c r="Y884" s="137"/>
      <c r="Z884" s="137"/>
    </row>
    <row r="885" ht="15.75" customHeight="1">
      <c r="A885" s="1385"/>
      <c r="B885" s="1385"/>
      <c r="C885" s="234"/>
      <c r="D885" s="815"/>
      <c r="E885" s="1537"/>
      <c r="F885" s="763"/>
      <c r="G885" s="763"/>
      <c r="H885" s="763"/>
      <c r="I885" s="763"/>
      <c r="J885" s="763"/>
      <c r="K885" s="781"/>
      <c r="L885" s="781"/>
      <c r="M885" s="781"/>
      <c r="N885" s="781"/>
      <c r="O885" s="781"/>
      <c r="P885" s="781"/>
      <c r="Q885" s="781"/>
      <c r="R885" s="781"/>
      <c r="S885" s="781"/>
      <c r="T885" s="781"/>
      <c r="U885" s="781"/>
      <c r="V885" s="781"/>
      <c r="W885" s="137"/>
      <c r="X885" s="137"/>
      <c r="Y885" s="137"/>
      <c r="Z885" s="137"/>
    </row>
    <row r="886" ht="15.75" customHeight="1">
      <c r="A886" s="1385"/>
      <c r="B886" s="1385"/>
      <c r="C886" s="234"/>
      <c r="D886" s="815"/>
      <c r="E886" s="1537"/>
      <c r="F886" s="763"/>
      <c r="G886" s="763"/>
      <c r="H886" s="763"/>
      <c r="I886" s="763"/>
      <c r="J886" s="763"/>
      <c r="K886" s="781"/>
      <c r="L886" s="781"/>
      <c r="M886" s="781"/>
      <c r="N886" s="781"/>
      <c r="O886" s="781"/>
      <c r="P886" s="781"/>
      <c r="Q886" s="781"/>
      <c r="R886" s="781"/>
      <c r="S886" s="781"/>
      <c r="T886" s="781"/>
      <c r="U886" s="781"/>
      <c r="V886" s="781"/>
      <c r="W886" s="137"/>
      <c r="X886" s="137"/>
      <c r="Y886" s="137"/>
      <c r="Z886" s="137"/>
    </row>
    <row r="887" ht="15.75" customHeight="1">
      <c r="A887" s="1385"/>
      <c r="B887" s="1385"/>
      <c r="C887" s="234"/>
      <c r="D887" s="815"/>
      <c r="E887" s="1537"/>
      <c r="F887" s="763"/>
      <c r="G887" s="763"/>
      <c r="H887" s="763"/>
      <c r="I887" s="763"/>
      <c r="J887" s="763"/>
      <c r="K887" s="781"/>
      <c r="L887" s="781"/>
      <c r="M887" s="781"/>
      <c r="N887" s="781"/>
      <c r="O887" s="781"/>
      <c r="P887" s="781"/>
      <c r="Q887" s="781"/>
      <c r="R887" s="781"/>
      <c r="S887" s="781"/>
      <c r="T887" s="781"/>
      <c r="U887" s="781"/>
      <c r="V887" s="781"/>
      <c r="W887" s="137"/>
      <c r="X887" s="137"/>
      <c r="Y887" s="137"/>
      <c r="Z887" s="137"/>
    </row>
    <row r="888" ht="15.75" customHeight="1">
      <c r="A888" s="1385"/>
      <c r="B888" s="1385"/>
      <c r="C888" s="234"/>
      <c r="D888" s="815"/>
      <c r="E888" s="1537"/>
      <c r="F888" s="763"/>
      <c r="G888" s="763"/>
      <c r="H888" s="763"/>
      <c r="I888" s="763"/>
      <c r="J888" s="763"/>
      <c r="K888" s="781"/>
      <c r="L888" s="781"/>
      <c r="M888" s="781"/>
      <c r="N888" s="781"/>
      <c r="O888" s="781"/>
      <c r="P888" s="781"/>
      <c r="Q888" s="781"/>
      <c r="R888" s="781"/>
      <c r="S888" s="781"/>
      <c r="T888" s="781"/>
      <c r="U888" s="781"/>
      <c r="V888" s="781"/>
      <c r="W888" s="137"/>
      <c r="X888" s="137"/>
      <c r="Y888" s="137"/>
      <c r="Z888" s="137"/>
    </row>
    <row r="889" ht="15.75" customHeight="1">
      <c r="A889" s="1385"/>
      <c r="B889" s="1385"/>
      <c r="C889" s="234"/>
      <c r="D889" s="815"/>
      <c r="E889" s="1537"/>
      <c r="F889" s="763"/>
      <c r="G889" s="763"/>
      <c r="H889" s="763"/>
      <c r="I889" s="763"/>
      <c r="J889" s="763"/>
      <c r="K889" s="781"/>
      <c r="L889" s="781"/>
      <c r="M889" s="781"/>
      <c r="N889" s="781"/>
      <c r="O889" s="781"/>
      <c r="P889" s="781"/>
      <c r="Q889" s="781"/>
      <c r="R889" s="781"/>
      <c r="S889" s="781"/>
      <c r="T889" s="781"/>
      <c r="U889" s="781"/>
      <c r="V889" s="781"/>
      <c r="W889" s="137"/>
      <c r="X889" s="137"/>
      <c r="Y889" s="137"/>
      <c r="Z889" s="137"/>
    </row>
    <row r="890" ht="15.75" customHeight="1">
      <c r="A890" s="1385"/>
      <c r="B890" s="1385"/>
      <c r="C890" s="234"/>
      <c r="D890" s="815"/>
      <c r="E890" s="1537"/>
      <c r="F890" s="763"/>
      <c r="G890" s="763"/>
      <c r="H890" s="763"/>
      <c r="I890" s="763"/>
      <c r="J890" s="763"/>
      <c r="K890" s="781"/>
      <c r="L890" s="781"/>
      <c r="M890" s="781"/>
      <c r="N890" s="781"/>
      <c r="O890" s="781"/>
      <c r="P890" s="781"/>
      <c r="Q890" s="781"/>
      <c r="R890" s="781"/>
      <c r="S890" s="781"/>
      <c r="T890" s="781"/>
      <c r="U890" s="781"/>
      <c r="V890" s="781"/>
      <c r="W890" s="137"/>
      <c r="X890" s="137"/>
      <c r="Y890" s="137"/>
      <c r="Z890" s="137"/>
    </row>
    <row r="891" ht="15.75" customHeight="1">
      <c r="A891" s="1385"/>
      <c r="B891" s="1385"/>
      <c r="C891" s="234"/>
      <c r="D891" s="815"/>
      <c r="E891" s="1537"/>
      <c r="F891" s="763"/>
      <c r="G891" s="763"/>
      <c r="H891" s="763"/>
      <c r="I891" s="763"/>
      <c r="J891" s="763"/>
      <c r="K891" s="781"/>
      <c r="L891" s="781"/>
      <c r="M891" s="781"/>
      <c r="N891" s="781"/>
      <c r="O891" s="781"/>
      <c r="P891" s="781"/>
      <c r="Q891" s="781"/>
      <c r="R891" s="781"/>
      <c r="S891" s="781"/>
      <c r="T891" s="781"/>
      <c r="U891" s="781"/>
      <c r="V891" s="781"/>
      <c r="W891" s="137"/>
      <c r="X891" s="137"/>
      <c r="Y891" s="137"/>
      <c r="Z891" s="137"/>
    </row>
    <row r="892" ht="15.75" customHeight="1">
      <c r="A892" s="1385"/>
      <c r="B892" s="1385"/>
      <c r="C892" s="234"/>
      <c r="D892" s="815"/>
      <c r="E892" s="1537"/>
      <c r="F892" s="763"/>
      <c r="G892" s="763"/>
      <c r="H892" s="763"/>
      <c r="I892" s="763"/>
      <c r="J892" s="763"/>
      <c r="K892" s="781"/>
      <c r="L892" s="781"/>
      <c r="M892" s="781"/>
      <c r="N892" s="781"/>
      <c r="O892" s="781"/>
      <c r="P892" s="781"/>
      <c r="Q892" s="781"/>
      <c r="R892" s="781"/>
      <c r="S892" s="781"/>
      <c r="T892" s="781"/>
      <c r="U892" s="781"/>
      <c r="V892" s="781"/>
      <c r="W892" s="137"/>
      <c r="X892" s="137"/>
      <c r="Y892" s="137"/>
      <c r="Z892" s="137"/>
    </row>
    <row r="893" ht="15.75" customHeight="1">
      <c r="A893" s="1385"/>
      <c r="B893" s="1385"/>
      <c r="C893" s="234"/>
      <c r="D893" s="815"/>
      <c r="E893" s="1537"/>
      <c r="F893" s="763"/>
      <c r="G893" s="763"/>
      <c r="H893" s="763"/>
      <c r="I893" s="763"/>
      <c r="J893" s="763"/>
      <c r="K893" s="781"/>
      <c r="L893" s="781"/>
      <c r="M893" s="781"/>
      <c r="N893" s="781"/>
      <c r="O893" s="781"/>
      <c r="P893" s="781"/>
      <c r="Q893" s="781"/>
      <c r="R893" s="781"/>
      <c r="S893" s="781"/>
      <c r="T893" s="781"/>
      <c r="U893" s="781"/>
      <c r="V893" s="781"/>
      <c r="W893" s="137"/>
      <c r="X893" s="137"/>
      <c r="Y893" s="137"/>
      <c r="Z893" s="137"/>
    </row>
    <row r="894" ht="15.75" customHeight="1">
      <c r="A894" s="1385"/>
      <c r="B894" s="1385"/>
      <c r="C894" s="234"/>
      <c r="D894" s="815"/>
      <c r="E894" s="1537"/>
      <c r="F894" s="763"/>
      <c r="G894" s="763"/>
      <c r="H894" s="763"/>
      <c r="I894" s="763"/>
      <c r="J894" s="763"/>
      <c r="K894" s="781"/>
      <c r="L894" s="781"/>
      <c r="M894" s="781"/>
      <c r="N894" s="781"/>
      <c r="O894" s="781"/>
      <c r="P894" s="781"/>
      <c r="Q894" s="781"/>
      <c r="R894" s="781"/>
      <c r="S894" s="781"/>
      <c r="T894" s="781"/>
      <c r="U894" s="781"/>
      <c r="V894" s="781"/>
      <c r="W894" s="137"/>
      <c r="X894" s="137"/>
      <c r="Y894" s="137"/>
      <c r="Z894" s="137"/>
    </row>
    <row r="895" ht="15.75" customHeight="1">
      <c r="A895" s="1385"/>
      <c r="B895" s="1385"/>
      <c r="C895" s="234"/>
      <c r="D895" s="815"/>
      <c r="E895" s="1537"/>
      <c r="F895" s="763"/>
      <c r="G895" s="763"/>
      <c r="H895" s="763"/>
      <c r="I895" s="763"/>
      <c r="J895" s="763"/>
      <c r="K895" s="781"/>
      <c r="L895" s="781"/>
      <c r="M895" s="781"/>
      <c r="N895" s="781"/>
      <c r="O895" s="781"/>
      <c r="P895" s="781"/>
      <c r="Q895" s="781"/>
      <c r="R895" s="781"/>
      <c r="S895" s="781"/>
      <c r="T895" s="781"/>
      <c r="U895" s="781"/>
      <c r="V895" s="781"/>
      <c r="W895" s="137"/>
      <c r="X895" s="137"/>
      <c r="Y895" s="137"/>
      <c r="Z895" s="137"/>
    </row>
    <row r="896" ht="15.75" customHeight="1">
      <c r="A896" s="1385"/>
      <c r="B896" s="1385"/>
      <c r="C896" s="234"/>
      <c r="D896" s="815"/>
      <c r="E896" s="1537"/>
      <c r="F896" s="763"/>
      <c r="G896" s="763"/>
      <c r="H896" s="763"/>
      <c r="I896" s="763"/>
      <c r="J896" s="763"/>
      <c r="K896" s="781"/>
      <c r="L896" s="781"/>
      <c r="M896" s="781"/>
      <c r="N896" s="781"/>
      <c r="O896" s="781"/>
      <c r="P896" s="781"/>
      <c r="Q896" s="781"/>
      <c r="R896" s="781"/>
      <c r="S896" s="781"/>
      <c r="T896" s="781"/>
      <c r="U896" s="781"/>
      <c r="V896" s="781"/>
      <c r="W896" s="137"/>
      <c r="X896" s="137"/>
      <c r="Y896" s="137"/>
      <c r="Z896" s="137"/>
    </row>
    <row r="897" ht="15.75" customHeight="1">
      <c r="A897" s="1385"/>
      <c r="B897" s="1385"/>
      <c r="C897" s="234"/>
      <c r="D897" s="815"/>
      <c r="E897" s="1537"/>
      <c r="F897" s="763"/>
      <c r="G897" s="763"/>
      <c r="H897" s="763"/>
      <c r="I897" s="763"/>
      <c r="J897" s="763"/>
      <c r="K897" s="781"/>
      <c r="L897" s="781"/>
      <c r="M897" s="781"/>
      <c r="N897" s="781"/>
      <c r="O897" s="781"/>
      <c r="P897" s="781"/>
      <c r="Q897" s="781"/>
      <c r="R897" s="781"/>
      <c r="S897" s="781"/>
      <c r="T897" s="781"/>
      <c r="U897" s="781"/>
      <c r="V897" s="781"/>
      <c r="W897" s="137"/>
      <c r="X897" s="137"/>
      <c r="Y897" s="137"/>
      <c r="Z897" s="137"/>
    </row>
    <row r="898" ht="15.75" customHeight="1">
      <c r="A898" s="1385"/>
      <c r="B898" s="1385"/>
      <c r="C898" s="234"/>
      <c r="D898" s="815"/>
      <c r="E898" s="1537"/>
      <c r="F898" s="763"/>
      <c r="G898" s="763"/>
      <c r="H898" s="763"/>
      <c r="I898" s="763"/>
      <c r="J898" s="763"/>
      <c r="K898" s="781"/>
      <c r="L898" s="781"/>
      <c r="M898" s="781"/>
      <c r="N898" s="781"/>
      <c r="O898" s="781"/>
      <c r="P898" s="781"/>
      <c r="Q898" s="781"/>
      <c r="R898" s="781"/>
      <c r="S898" s="781"/>
      <c r="T898" s="781"/>
      <c r="U898" s="781"/>
      <c r="V898" s="781"/>
      <c r="W898" s="137"/>
      <c r="X898" s="137"/>
      <c r="Y898" s="137"/>
      <c r="Z898" s="137"/>
    </row>
    <row r="899" ht="15.75" customHeight="1">
      <c r="A899" s="1385"/>
      <c r="B899" s="1385"/>
      <c r="C899" s="234"/>
      <c r="D899" s="815"/>
      <c r="E899" s="1537"/>
      <c r="F899" s="763"/>
      <c r="G899" s="763"/>
      <c r="H899" s="763"/>
      <c r="I899" s="763"/>
      <c r="J899" s="763"/>
      <c r="K899" s="781"/>
      <c r="L899" s="781"/>
      <c r="M899" s="781"/>
      <c r="N899" s="781"/>
      <c r="O899" s="781"/>
      <c r="P899" s="781"/>
      <c r="Q899" s="781"/>
      <c r="R899" s="781"/>
      <c r="S899" s="781"/>
      <c r="T899" s="781"/>
      <c r="U899" s="781"/>
      <c r="V899" s="781"/>
      <c r="W899" s="137"/>
      <c r="X899" s="137"/>
      <c r="Y899" s="137"/>
      <c r="Z899" s="137"/>
    </row>
    <row r="900" ht="15.75" customHeight="1">
      <c r="A900" s="1385"/>
      <c r="B900" s="1385"/>
      <c r="C900" s="234"/>
      <c r="D900" s="815"/>
      <c r="E900" s="1537"/>
      <c r="F900" s="763"/>
      <c r="G900" s="763"/>
      <c r="H900" s="763"/>
      <c r="I900" s="763"/>
      <c r="J900" s="763"/>
      <c r="K900" s="781"/>
      <c r="L900" s="781"/>
      <c r="M900" s="781"/>
      <c r="N900" s="781"/>
      <c r="O900" s="781"/>
      <c r="P900" s="781"/>
      <c r="Q900" s="781"/>
      <c r="R900" s="781"/>
      <c r="S900" s="781"/>
      <c r="T900" s="781"/>
      <c r="U900" s="781"/>
      <c r="V900" s="781"/>
      <c r="W900" s="137"/>
      <c r="X900" s="137"/>
      <c r="Y900" s="137"/>
      <c r="Z900" s="137"/>
    </row>
    <row r="901" ht="15.75" customHeight="1">
      <c r="A901" s="1385"/>
      <c r="B901" s="1385"/>
      <c r="C901" s="234"/>
      <c r="D901" s="815"/>
      <c r="E901" s="1537"/>
      <c r="F901" s="763"/>
      <c r="G901" s="763"/>
      <c r="H901" s="763"/>
      <c r="I901" s="763"/>
      <c r="J901" s="763"/>
      <c r="K901" s="781"/>
      <c r="L901" s="781"/>
      <c r="M901" s="781"/>
      <c r="N901" s="781"/>
      <c r="O901" s="781"/>
      <c r="P901" s="781"/>
      <c r="Q901" s="781"/>
      <c r="R901" s="781"/>
      <c r="S901" s="781"/>
      <c r="T901" s="781"/>
      <c r="U901" s="781"/>
      <c r="V901" s="781"/>
      <c r="W901" s="137"/>
      <c r="X901" s="137"/>
      <c r="Y901" s="137"/>
      <c r="Z901" s="137"/>
    </row>
    <row r="902" ht="15.75" customHeight="1">
      <c r="A902" s="1385"/>
      <c r="B902" s="1385"/>
      <c r="C902" s="234"/>
      <c r="D902" s="815"/>
      <c r="E902" s="1537"/>
      <c r="F902" s="763"/>
      <c r="G902" s="763"/>
      <c r="H902" s="763"/>
      <c r="I902" s="763"/>
      <c r="J902" s="763"/>
      <c r="K902" s="781"/>
      <c r="L902" s="781"/>
      <c r="M902" s="781"/>
      <c r="N902" s="781"/>
      <c r="O902" s="781"/>
      <c r="P902" s="781"/>
      <c r="Q902" s="781"/>
      <c r="R902" s="781"/>
      <c r="S902" s="781"/>
      <c r="T902" s="781"/>
      <c r="U902" s="781"/>
      <c r="V902" s="781"/>
      <c r="W902" s="137"/>
      <c r="X902" s="137"/>
      <c r="Y902" s="137"/>
      <c r="Z902" s="137"/>
    </row>
    <row r="903" ht="15.75" customHeight="1">
      <c r="A903" s="1385"/>
      <c r="B903" s="1385"/>
      <c r="C903" s="234"/>
      <c r="D903" s="815"/>
      <c r="E903" s="1537"/>
      <c r="F903" s="763"/>
      <c r="G903" s="763"/>
      <c r="H903" s="763"/>
      <c r="I903" s="763"/>
      <c r="J903" s="763"/>
      <c r="K903" s="781"/>
      <c r="L903" s="781"/>
      <c r="M903" s="781"/>
      <c r="N903" s="781"/>
      <c r="O903" s="781"/>
      <c r="P903" s="781"/>
      <c r="Q903" s="781"/>
      <c r="R903" s="781"/>
      <c r="S903" s="781"/>
      <c r="T903" s="781"/>
      <c r="U903" s="781"/>
      <c r="V903" s="781"/>
      <c r="W903" s="137"/>
      <c r="X903" s="137"/>
      <c r="Y903" s="137"/>
      <c r="Z903" s="137"/>
    </row>
    <row r="904" ht="15.75" customHeight="1">
      <c r="A904" s="1385"/>
      <c r="B904" s="1385"/>
      <c r="C904" s="234"/>
      <c r="D904" s="815"/>
      <c r="E904" s="1537"/>
      <c r="F904" s="763"/>
      <c r="G904" s="763"/>
      <c r="H904" s="763"/>
      <c r="I904" s="763"/>
      <c r="J904" s="763"/>
      <c r="K904" s="781"/>
      <c r="L904" s="781"/>
      <c r="M904" s="781"/>
      <c r="N904" s="781"/>
      <c r="O904" s="781"/>
      <c r="P904" s="781"/>
      <c r="Q904" s="781"/>
      <c r="R904" s="781"/>
      <c r="S904" s="781"/>
      <c r="T904" s="781"/>
      <c r="U904" s="781"/>
      <c r="V904" s="781"/>
      <c r="W904" s="137"/>
      <c r="X904" s="137"/>
      <c r="Y904" s="137"/>
      <c r="Z904" s="137"/>
    </row>
    <row r="905" ht="15.75" customHeight="1">
      <c r="A905" s="1385"/>
      <c r="B905" s="1385"/>
      <c r="C905" s="234"/>
      <c r="D905" s="815"/>
      <c r="E905" s="1537"/>
      <c r="F905" s="763"/>
      <c r="G905" s="763"/>
      <c r="H905" s="763"/>
      <c r="I905" s="763"/>
      <c r="J905" s="763"/>
      <c r="K905" s="781"/>
      <c r="L905" s="781"/>
      <c r="M905" s="781"/>
      <c r="N905" s="781"/>
      <c r="O905" s="781"/>
      <c r="P905" s="781"/>
      <c r="Q905" s="781"/>
      <c r="R905" s="781"/>
      <c r="S905" s="781"/>
      <c r="T905" s="781"/>
      <c r="U905" s="781"/>
      <c r="V905" s="781"/>
      <c r="W905" s="137"/>
      <c r="X905" s="137"/>
      <c r="Y905" s="137"/>
      <c r="Z905" s="137"/>
    </row>
    <row r="906" ht="15.75" customHeight="1">
      <c r="A906" s="1385"/>
      <c r="B906" s="1385"/>
      <c r="C906" s="234"/>
      <c r="D906" s="815"/>
      <c r="E906" s="1537"/>
      <c r="F906" s="763"/>
      <c r="G906" s="763"/>
      <c r="H906" s="763"/>
      <c r="I906" s="763"/>
      <c r="J906" s="763"/>
      <c r="K906" s="781"/>
      <c r="L906" s="781"/>
      <c r="M906" s="781"/>
      <c r="N906" s="781"/>
      <c r="O906" s="781"/>
      <c r="P906" s="781"/>
      <c r="Q906" s="781"/>
      <c r="R906" s="781"/>
      <c r="S906" s="781"/>
      <c r="T906" s="781"/>
      <c r="U906" s="781"/>
      <c r="V906" s="781"/>
      <c r="W906" s="137"/>
      <c r="X906" s="137"/>
      <c r="Y906" s="137"/>
      <c r="Z906" s="137"/>
    </row>
    <row r="907" ht="15.75" customHeight="1">
      <c r="A907" s="1385"/>
      <c r="B907" s="1385"/>
      <c r="C907" s="234"/>
      <c r="D907" s="815"/>
      <c r="E907" s="1537"/>
      <c r="F907" s="763"/>
      <c r="G907" s="763"/>
      <c r="H907" s="763"/>
      <c r="I907" s="763"/>
      <c r="J907" s="763"/>
      <c r="K907" s="781"/>
      <c r="L907" s="781"/>
      <c r="M907" s="781"/>
      <c r="N907" s="781"/>
      <c r="O907" s="781"/>
      <c r="P907" s="781"/>
      <c r="Q907" s="781"/>
      <c r="R907" s="781"/>
      <c r="S907" s="781"/>
      <c r="T907" s="781"/>
      <c r="U907" s="781"/>
      <c r="V907" s="781"/>
      <c r="W907" s="137"/>
      <c r="X907" s="137"/>
      <c r="Y907" s="137"/>
      <c r="Z907" s="137"/>
    </row>
    <row r="908" ht="15.75" customHeight="1">
      <c r="A908" s="1385"/>
      <c r="B908" s="1385"/>
      <c r="C908" s="234"/>
      <c r="D908" s="815"/>
      <c r="E908" s="1537"/>
      <c r="F908" s="763"/>
      <c r="G908" s="763"/>
      <c r="H908" s="763"/>
      <c r="I908" s="763"/>
      <c r="J908" s="763"/>
      <c r="K908" s="781"/>
      <c r="L908" s="781"/>
      <c r="M908" s="781"/>
      <c r="N908" s="781"/>
      <c r="O908" s="781"/>
      <c r="P908" s="781"/>
      <c r="Q908" s="781"/>
      <c r="R908" s="781"/>
      <c r="S908" s="781"/>
      <c r="T908" s="781"/>
      <c r="U908" s="781"/>
      <c r="V908" s="781"/>
      <c r="W908" s="137"/>
      <c r="X908" s="137"/>
      <c r="Y908" s="137"/>
      <c r="Z908" s="137"/>
    </row>
    <row r="909" ht="15.75" customHeight="1">
      <c r="A909" s="1385"/>
      <c r="B909" s="1385"/>
      <c r="C909" s="234"/>
      <c r="D909" s="815"/>
      <c r="E909" s="1537"/>
      <c r="F909" s="763"/>
      <c r="G909" s="763"/>
      <c r="H909" s="763"/>
      <c r="I909" s="763"/>
      <c r="J909" s="763"/>
      <c r="K909" s="781"/>
      <c r="L909" s="781"/>
      <c r="M909" s="781"/>
      <c r="N909" s="781"/>
      <c r="O909" s="781"/>
      <c r="P909" s="781"/>
      <c r="Q909" s="781"/>
      <c r="R909" s="781"/>
      <c r="S909" s="781"/>
      <c r="T909" s="781"/>
      <c r="U909" s="781"/>
      <c r="V909" s="781"/>
      <c r="W909" s="137"/>
      <c r="X909" s="137"/>
      <c r="Y909" s="137"/>
      <c r="Z909" s="137"/>
    </row>
    <row r="910" ht="15.75" customHeight="1">
      <c r="A910" s="1385"/>
      <c r="B910" s="1385"/>
      <c r="C910" s="234"/>
      <c r="D910" s="815"/>
      <c r="E910" s="1537"/>
      <c r="F910" s="763"/>
      <c r="G910" s="763"/>
      <c r="H910" s="763"/>
      <c r="I910" s="763"/>
      <c r="J910" s="763"/>
      <c r="K910" s="781"/>
      <c r="L910" s="781"/>
      <c r="M910" s="781"/>
      <c r="N910" s="781"/>
      <c r="O910" s="781"/>
      <c r="P910" s="781"/>
      <c r="Q910" s="781"/>
      <c r="R910" s="781"/>
      <c r="S910" s="781"/>
      <c r="T910" s="781"/>
      <c r="U910" s="781"/>
      <c r="V910" s="781"/>
      <c r="W910" s="137"/>
      <c r="X910" s="137"/>
      <c r="Y910" s="137"/>
      <c r="Z910" s="137"/>
    </row>
    <row r="911" ht="15.75" customHeight="1">
      <c r="A911" s="1385"/>
      <c r="B911" s="1385"/>
      <c r="C911" s="234"/>
      <c r="D911" s="815"/>
      <c r="E911" s="1537"/>
      <c r="F911" s="763"/>
      <c r="G911" s="763"/>
      <c r="H911" s="763"/>
      <c r="I911" s="763"/>
      <c r="J911" s="763"/>
      <c r="K911" s="781"/>
      <c r="L911" s="781"/>
      <c r="M911" s="781"/>
      <c r="N911" s="781"/>
      <c r="O911" s="781"/>
      <c r="P911" s="781"/>
      <c r="Q911" s="781"/>
      <c r="R911" s="781"/>
      <c r="S911" s="781"/>
      <c r="T911" s="781"/>
      <c r="U911" s="781"/>
      <c r="V911" s="781"/>
      <c r="W911" s="137"/>
      <c r="X911" s="137"/>
      <c r="Y911" s="137"/>
      <c r="Z911" s="137"/>
    </row>
    <row r="912" ht="15.75" customHeight="1">
      <c r="A912" s="1385"/>
      <c r="B912" s="1385"/>
      <c r="C912" s="234"/>
      <c r="D912" s="815"/>
      <c r="E912" s="1537"/>
      <c r="F912" s="763"/>
      <c r="G912" s="763"/>
      <c r="H912" s="763"/>
      <c r="I912" s="763"/>
      <c r="J912" s="763"/>
      <c r="K912" s="781"/>
      <c r="L912" s="781"/>
      <c r="M912" s="781"/>
      <c r="N912" s="781"/>
      <c r="O912" s="781"/>
      <c r="P912" s="781"/>
      <c r="Q912" s="781"/>
      <c r="R912" s="781"/>
      <c r="S912" s="781"/>
      <c r="T912" s="781"/>
      <c r="U912" s="781"/>
      <c r="V912" s="781"/>
      <c r="W912" s="137"/>
      <c r="X912" s="137"/>
      <c r="Y912" s="137"/>
      <c r="Z912" s="137"/>
    </row>
    <row r="913" ht="15.75" customHeight="1">
      <c r="A913" s="1385"/>
      <c r="B913" s="1385"/>
      <c r="C913" s="234"/>
      <c r="D913" s="815"/>
      <c r="E913" s="1537"/>
      <c r="F913" s="763"/>
      <c r="G913" s="763"/>
      <c r="H913" s="763"/>
      <c r="I913" s="763"/>
      <c r="J913" s="763"/>
      <c r="K913" s="781"/>
      <c r="L913" s="781"/>
      <c r="M913" s="781"/>
      <c r="N913" s="781"/>
      <c r="O913" s="781"/>
      <c r="P913" s="781"/>
      <c r="Q913" s="781"/>
      <c r="R913" s="781"/>
      <c r="S913" s="781"/>
      <c r="T913" s="781"/>
      <c r="U913" s="781"/>
      <c r="V913" s="781"/>
      <c r="W913" s="137"/>
      <c r="X913" s="137"/>
      <c r="Y913" s="137"/>
      <c r="Z913" s="137"/>
    </row>
    <row r="914" ht="15.75" customHeight="1">
      <c r="A914" s="1385"/>
      <c r="B914" s="1385"/>
      <c r="C914" s="234"/>
      <c r="D914" s="815"/>
      <c r="E914" s="1537"/>
      <c r="F914" s="763"/>
      <c r="G914" s="763"/>
      <c r="H914" s="763"/>
      <c r="I914" s="763"/>
      <c r="J914" s="763"/>
      <c r="K914" s="781"/>
      <c r="L914" s="781"/>
      <c r="M914" s="781"/>
      <c r="N914" s="781"/>
      <c r="O914" s="781"/>
      <c r="P914" s="781"/>
      <c r="Q914" s="781"/>
      <c r="R914" s="781"/>
      <c r="S914" s="781"/>
      <c r="T914" s="781"/>
      <c r="U914" s="781"/>
      <c r="V914" s="781"/>
      <c r="W914" s="137"/>
      <c r="X914" s="137"/>
      <c r="Y914" s="137"/>
      <c r="Z914" s="137"/>
    </row>
    <row r="915" ht="15.75" customHeight="1">
      <c r="A915" s="1385"/>
      <c r="B915" s="1385"/>
      <c r="C915" s="234"/>
      <c r="D915" s="815"/>
      <c r="E915" s="1537"/>
      <c r="F915" s="763"/>
      <c r="G915" s="763"/>
      <c r="H915" s="763"/>
      <c r="I915" s="763"/>
      <c r="J915" s="763"/>
      <c r="K915" s="781"/>
      <c r="L915" s="781"/>
      <c r="M915" s="781"/>
      <c r="N915" s="781"/>
      <c r="O915" s="781"/>
      <c r="P915" s="781"/>
      <c r="Q915" s="781"/>
      <c r="R915" s="781"/>
      <c r="S915" s="781"/>
      <c r="T915" s="781"/>
      <c r="U915" s="781"/>
      <c r="V915" s="781"/>
      <c r="W915" s="137"/>
      <c r="X915" s="137"/>
      <c r="Y915" s="137"/>
      <c r="Z915" s="137"/>
    </row>
    <row r="916" ht="15.75" customHeight="1">
      <c r="A916" s="1385"/>
      <c r="B916" s="1385"/>
      <c r="C916" s="234"/>
      <c r="D916" s="815"/>
      <c r="E916" s="1537"/>
      <c r="F916" s="763"/>
      <c r="G916" s="763"/>
      <c r="H916" s="763"/>
      <c r="I916" s="763"/>
      <c r="J916" s="763"/>
      <c r="K916" s="781"/>
      <c r="L916" s="781"/>
      <c r="M916" s="781"/>
      <c r="N916" s="781"/>
      <c r="O916" s="781"/>
      <c r="P916" s="781"/>
      <c r="Q916" s="781"/>
      <c r="R916" s="781"/>
      <c r="S916" s="781"/>
      <c r="T916" s="781"/>
      <c r="U916" s="781"/>
      <c r="V916" s="781"/>
      <c r="W916" s="137"/>
      <c r="X916" s="137"/>
      <c r="Y916" s="137"/>
      <c r="Z916" s="137"/>
    </row>
    <row r="917" ht="15.75" customHeight="1">
      <c r="A917" s="1385"/>
      <c r="B917" s="1385"/>
      <c r="C917" s="234"/>
      <c r="D917" s="815"/>
      <c r="E917" s="1537"/>
      <c r="F917" s="763"/>
      <c r="G917" s="763"/>
      <c r="H917" s="763"/>
      <c r="I917" s="763"/>
      <c r="J917" s="763"/>
      <c r="K917" s="781"/>
      <c r="L917" s="781"/>
      <c r="M917" s="781"/>
      <c r="N917" s="781"/>
      <c r="O917" s="781"/>
      <c r="P917" s="781"/>
      <c r="Q917" s="781"/>
      <c r="R917" s="781"/>
      <c r="S917" s="781"/>
      <c r="T917" s="781"/>
      <c r="U917" s="781"/>
      <c r="V917" s="781"/>
      <c r="W917" s="137"/>
      <c r="X917" s="137"/>
      <c r="Y917" s="137"/>
      <c r="Z917" s="137"/>
    </row>
    <row r="918" ht="15.75" customHeight="1">
      <c r="A918" s="1385"/>
      <c r="B918" s="1385"/>
      <c r="C918" s="234"/>
      <c r="D918" s="815"/>
      <c r="E918" s="1537"/>
      <c r="F918" s="763"/>
      <c r="G918" s="763"/>
      <c r="H918" s="763"/>
      <c r="I918" s="763"/>
      <c r="J918" s="763"/>
      <c r="K918" s="781"/>
      <c r="L918" s="781"/>
      <c r="M918" s="781"/>
      <c r="N918" s="781"/>
      <c r="O918" s="781"/>
      <c r="P918" s="781"/>
      <c r="Q918" s="781"/>
      <c r="R918" s="781"/>
      <c r="S918" s="781"/>
      <c r="T918" s="781"/>
      <c r="U918" s="781"/>
      <c r="V918" s="781"/>
      <c r="W918" s="137"/>
      <c r="X918" s="137"/>
      <c r="Y918" s="137"/>
      <c r="Z918" s="137"/>
    </row>
    <row r="919" ht="15.75" customHeight="1">
      <c r="A919" s="1385"/>
      <c r="B919" s="1385"/>
      <c r="C919" s="234"/>
      <c r="D919" s="815"/>
      <c r="E919" s="1537"/>
      <c r="F919" s="763"/>
      <c r="G919" s="763"/>
      <c r="H919" s="763"/>
      <c r="I919" s="763"/>
      <c r="J919" s="763"/>
      <c r="K919" s="781"/>
      <c r="L919" s="781"/>
      <c r="M919" s="781"/>
      <c r="N919" s="781"/>
      <c r="O919" s="781"/>
      <c r="P919" s="781"/>
      <c r="Q919" s="781"/>
      <c r="R919" s="781"/>
      <c r="S919" s="781"/>
      <c r="T919" s="781"/>
      <c r="U919" s="781"/>
      <c r="V919" s="781"/>
      <c r="W919" s="137"/>
      <c r="X919" s="137"/>
      <c r="Y919" s="137"/>
      <c r="Z919" s="137"/>
    </row>
    <row r="920" ht="15.75" customHeight="1">
      <c r="A920" s="1385"/>
      <c r="B920" s="1385"/>
      <c r="C920" s="234"/>
      <c r="D920" s="815"/>
      <c r="E920" s="1537"/>
      <c r="F920" s="763"/>
      <c r="G920" s="763"/>
      <c r="H920" s="763"/>
      <c r="I920" s="763"/>
      <c r="J920" s="763"/>
      <c r="K920" s="781"/>
      <c r="L920" s="781"/>
      <c r="M920" s="781"/>
      <c r="N920" s="781"/>
      <c r="O920" s="781"/>
      <c r="P920" s="781"/>
      <c r="Q920" s="781"/>
      <c r="R920" s="781"/>
      <c r="S920" s="781"/>
      <c r="T920" s="781"/>
      <c r="U920" s="781"/>
      <c r="V920" s="781"/>
      <c r="W920" s="137"/>
      <c r="X920" s="137"/>
      <c r="Y920" s="137"/>
      <c r="Z920" s="137"/>
    </row>
    <row r="921" ht="15.75" customHeight="1">
      <c r="A921" s="1385"/>
      <c r="B921" s="1385"/>
      <c r="C921" s="234"/>
      <c r="D921" s="815"/>
      <c r="E921" s="1537"/>
      <c r="F921" s="763"/>
      <c r="G921" s="763"/>
      <c r="H921" s="763"/>
      <c r="I921" s="763"/>
      <c r="J921" s="763"/>
      <c r="K921" s="781"/>
      <c r="L921" s="781"/>
      <c r="M921" s="781"/>
      <c r="N921" s="781"/>
      <c r="O921" s="781"/>
      <c r="P921" s="781"/>
      <c r="Q921" s="781"/>
      <c r="R921" s="781"/>
      <c r="S921" s="781"/>
      <c r="T921" s="781"/>
      <c r="U921" s="781"/>
      <c r="V921" s="781"/>
      <c r="W921" s="137"/>
      <c r="X921" s="137"/>
      <c r="Y921" s="137"/>
      <c r="Z921" s="137"/>
    </row>
    <row r="922" ht="15.75" customHeight="1">
      <c r="A922" s="1385"/>
      <c r="B922" s="1385"/>
      <c r="C922" s="234"/>
      <c r="D922" s="815"/>
      <c r="E922" s="1537"/>
      <c r="F922" s="763"/>
      <c r="G922" s="763"/>
      <c r="H922" s="763"/>
      <c r="I922" s="763"/>
      <c r="J922" s="763"/>
      <c r="K922" s="781"/>
      <c r="L922" s="781"/>
      <c r="M922" s="781"/>
      <c r="N922" s="781"/>
      <c r="O922" s="781"/>
      <c r="P922" s="781"/>
      <c r="Q922" s="781"/>
      <c r="R922" s="781"/>
      <c r="S922" s="781"/>
      <c r="T922" s="781"/>
      <c r="U922" s="781"/>
      <c r="V922" s="781"/>
      <c r="W922" s="137"/>
      <c r="X922" s="137"/>
      <c r="Y922" s="137"/>
      <c r="Z922" s="137"/>
    </row>
    <row r="923" ht="15.75" customHeight="1">
      <c r="A923" s="1385"/>
      <c r="B923" s="1385"/>
      <c r="C923" s="234"/>
      <c r="D923" s="815"/>
      <c r="E923" s="1537"/>
      <c r="F923" s="763"/>
      <c r="G923" s="763"/>
      <c r="H923" s="763"/>
      <c r="I923" s="763"/>
      <c r="J923" s="763"/>
      <c r="K923" s="781"/>
      <c r="L923" s="781"/>
      <c r="M923" s="781"/>
      <c r="N923" s="781"/>
      <c r="O923" s="781"/>
      <c r="P923" s="781"/>
      <c r="Q923" s="781"/>
      <c r="R923" s="781"/>
      <c r="S923" s="781"/>
      <c r="T923" s="781"/>
      <c r="U923" s="781"/>
      <c r="V923" s="781"/>
      <c r="W923" s="137"/>
      <c r="X923" s="137"/>
      <c r="Y923" s="137"/>
      <c r="Z923" s="137"/>
    </row>
    <row r="924" ht="15.75" customHeight="1">
      <c r="A924" s="1385"/>
      <c r="B924" s="1385"/>
      <c r="C924" s="234"/>
      <c r="D924" s="815"/>
      <c r="E924" s="1537"/>
      <c r="F924" s="763"/>
      <c r="G924" s="763"/>
      <c r="H924" s="763"/>
      <c r="I924" s="763"/>
      <c r="J924" s="763"/>
      <c r="K924" s="781"/>
      <c r="L924" s="781"/>
      <c r="M924" s="781"/>
      <c r="N924" s="781"/>
      <c r="O924" s="781"/>
      <c r="P924" s="781"/>
      <c r="Q924" s="781"/>
      <c r="R924" s="781"/>
      <c r="S924" s="781"/>
      <c r="T924" s="781"/>
      <c r="U924" s="781"/>
      <c r="V924" s="781"/>
      <c r="W924" s="137"/>
      <c r="X924" s="137"/>
      <c r="Y924" s="137"/>
      <c r="Z924" s="137"/>
    </row>
    <row r="925" ht="15.75" customHeight="1">
      <c r="A925" s="1385"/>
      <c r="B925" s="1385"/>
      <c r="C925" s="234"/>
      <c r="D925" s="815"/>
      <c r="E925" s="1537"/>
      <c r="F925" s="763"/>
      <c r="G925" s="763"/>
      <c r="H925" s="763"/>
      <c r="I925" s="763"/>
      <c r="J925" s="763"/>
      <c r="K925" s="781"/>
      <c r="L925" s="781"/>
      <c r="M925" s="781"/>
      <c r="N925" s="781"/>
      <c r="O925" s="781"/>
      <c r="P925" s="781"/>
      <c r="Q925" s="781"/>
      <c r="R925" s="781"/>
      <c r="S925" s="781"/>
      <c r="T925" s="781"/>
      <c r="U925" s="781"/>
      <c r="V925" s="781"/>
      <c r="W925" s="137"/>
      <c r="X925" s="137"/>
      <c r="Y925" s="137"/>
      <c r="Z925" s="137"/>
    </row>
    <row r="926" ht="15.75" customHeight="1">
      <c r="A926" s="1385"/>
      <c r="B926" s="1385"/>
      <c r="C926" s="234"/>
      <c r="D926" s="815"/>
      <c r="E926" s="1537"/>
      <c r="F926" s="763"/>
      <c r="G926" s="763"/>
      <c r="H926" s="763"/>
      <c r="I926" s="763"/>
      <c r="J926" s="763"/>
      <c r="K926" s="781"/>
      <c r="L926" s="781"/>
      <c r="M926" s="781"/>
      <c r="N926" s="781"/>
      <c r="O926" s="781"/>
      <c r="P926" s="781"/>
      <c r="Q926" s="781"/>
      <c r="R926" s="781"/>
      <c r="S926" s="781"/>
      <c r="T926" s="781"/>
      <c r="U926" s="781"/>
      <c r="V926" s="781"/>
      <c r="W926" s="137"/>
      <c r="X926" s="137"/>
      <c r="Y926" s="137"/>
      <c r="Z926" s="137"/>
    </row>
    <row r="927" ht="15.75" customHeight="1">
      <c r="A927" s="1385"/>
      <c r="B927" s="1385"/>
      <c r="C927" s="234"/>
      <c r="D927" s="815"/>
      <c r="E927" s="1537"/>
      <c r="F927" s="763"/>
      <c r="G927" s="763"/>
      <c r="H927" s="763"/>
      <c r="I927" s="763"/>
      <c r="J927" s="763"/>
      <c r="K927" s="781"/>
      <c r="L927" s="781"/>
      <c r="M927" s="781"/>
      <c r="N927" s="781"/>
      <c r="O927" s="781"/>
      <c r="P927" s="781"/>
      <c r="Q927" s="781"/>
      <c r="R927" s="781"/>
      <c r="S927" s="781"/>
      <c r="T927" s="781"/>
      <c r="U927" s="781"/>
      <c r="V927" s="781"/>
      <c r="W927" s="137"/>
      <c r="X927" s="137"/>
      <c r="Y927" s="137"/>
      <c r="Z927" s="137"/>
    </row>
    <row r="928" ht="15.75" customHeight="1">
      <c r="A928" s="1385"/>
      <c r="B928" s="1385"/>
      <c r="C928" s="234"/>
      <c r="D928" s="815"/>
      <c r="E928" s="1537"/>
      <c r="F928" s="763"/>
      <c r="G928" s="763"/>
      <c r="H928" s="763"/>
      <c r="I928" s="763"/>
      <c r="J928" s="763"/>
      <c r="K928" s="781"/>
      <c r="L928" s="781"/>
      <c r="M928" s="781"/>
      <c r="N928" s="781"/>
      <c r="O928" s="781"/>
      <c r="P928" s="781"/>
      <c r="Q928" s="781"/>
      <c r="R928" s="781"/>
      <c r="S928" s="781"/>
      <c r="T928" s="781"/>
      <c r="U928" s="781"/>
      <c r="V928" s="781"/>
      <c r="W928" s="137"/>
      <c r="X928" s="137"/>
      <c r="Y928" s="137"/>
      <c r="Z928" s="137"/>
    </row>
    <row r="929" ht="15.75" customHeight="1">
      <c r="A929" s="1385"/>
      <c r="B929" s="1385"/>
      <c r="C929" s="234"/>
      <c r="D929" s="815"/>
      <c r="E929" s="1537"/>
      <c r="F929" s="763"/>
      <c r="G929" s="763"/>
      <c r="H929" s="763"/>
      <c r="I929" s="763"/>
      <c r="J929" s="763"/>
      <c r="K929" s="781"/>
      <c r="L929" s="781"/>
      <c r="M929" s="781"/>
      <c r="N929" s="781"/>
      <c r="O929" s="781"/>
      <c r="P929" s="781"/>
      <c r="Q929" s="781"/>
      <c r="R929" s="781"/>
      <c r="S929" s="781"/>
      <c r="T929" s="781"/>
      <c r="U929" s="781"/>
      <c r="V929" s="781"/>
      <c r="W929" s="137"/>
      <c r="X929" s="137"/>
      <c r="Y929" s="137"/>
      <c r="Z929" s="137"/>
    </row>
    <row r="930" ht="15.75" customHeight="1">
      <c r="A930" s="1385"/>
      <c r="B930" s="1385"/>
      <c r="C930" s="234"/>
      <c r="D930" s="815"/>
      <c r="E930" s="1537"/>
      <c r="F930" s="763"/>
      <c r="G930" s="763"/>
      <c r="H930" s="763"/>
      <c r="I930" s="763"/>
      <c r="J930" s="763"/>
      <c r="K930" s="781"/>
      <c r="L930" s="781"/>
      <c r="M930" s="781"/>
      <c r="N930" s="781"/>
      <c r="O930" s="781"/>
      <c r="P930" s="781"/>
      <c r="Q930" s="781"/>
      <c r="R930" s="781"/>
      <c r="S930" s="781"/>
      <c r="T930" s="781"/>
      <c r="U930" s="781"/>
      <c r="V930" s="781"/>
      <c r="W930" s="137"/>
      <c r="X930" s="137"/>
      <c r="Y930" s="137"/>
      <c r="Z930" s="137"/>
    </row>
    <row r="931" ht="15.75" customHeight="1">
      <c r="A931" s="1385"/>
      <c r="B931" s="1385"/>
      <c r="C931" s="234"/>
      <c r="D931" s="815"/>
      <c r="E931" s="1537"/>
      <c r="F931" s="763"/>
      <c r="G931" s="763"/>
      <c r="H931" s="763"/>
      <c r="I931" s="763"/>
      <c r="J931" s="763"/>
      <c r="K931" s="781"/>
      <c r="L931" s="781"/>
      <c r="M931" s="781"/>
      <c r="N931" s="781"/>
      <c r="O931" s="781"/>
      <c r="P931" s="781"/>
      <c r="Q931" s="781"/>
      <c r="R931" s="781"/>
      <c r="S931" s="781"/>
      <c r="T931" s="781"/>
      <c r="U931" s="781"/>
      <c r="V931" s="781"/>
      <c r="W931" s="137"/>
      <c r="X931" s="137"/>
      <c r="Y931" s="137"/>
      <c r="Z931" s="137"/>
    </row>
    <row r="932" ht="15.75" customHeight="1">
      <c r="A932" s="1385"/>
      <c r="B932" s="1385"/>
      <c r="C932" s="234"/>
      <c r="D932" s="815"/>
      <c r="E932" s="1537"/>
      <c r="F932" s="763"/>
      <c r="G932" s="763"/>
      <c r="H932" s="763"/>
      <c r="I932" s="763"/>
      <c r="J932" s="763"/>
      <c r="K932" s="781"/>
      <c r="L932" s="781"/>
      <c r="M932" s="781"/>
      <c r="N932" s="781"/>
      <c r="O932" s="781"/>
      <c r="P932" s="781"/>
      <c r="Q932" s="781"/>
      <c r="R932" s="781"/>
      <c r="S932" s="781"/>
      <c r="T932" s="781"/>
      <c r="U932" s="781"/>
      <c r="V932" s="781"/>
      <c r="W932" s="137"/>
      <c r="X932" s="137"/>
      <c r="Y932" s="137"/>
      <c r="Z932" s="137"/>
    </row>
    <row r="933" ht="15.75" customHeight="1">
      <c r="A933" s="1385"/>
      <c r="B933" s="1385"/>
      <c r="C933" s="234"/>
      <c r="D933" s="815"/>
      <c r="E933" s="1537"/>
      <c r="F933" s="763"/>
      <c r="G933" s="763"/>
      <c r="H933" s="763"/>
      <c r="I933" s="763"/>
      <c r="J933" s="763"/>
      <c r="K933" s="781"/>
      <c r="L933" s="781"/>
      <c r="M933" s="781"/>
      <c r="N933" s="781"/>
      <c r="O933" s="781"/>
      <c r="P933" s="781"/>
      <c r="Q933" s="781"/>
      <c r="R933" s="781"/>
      <c r="S933" s="781"/>
      <c r="T933" s="781"/>
      <c r="U933" s="781"/>
      <c r="V933" s="781"/>
      <c r="W933" s="137"/>
      <c r="X933" s="137"/>
      <c r="Y933" s="137"/>
      <c r="Z933" s="137"/>
    </row>
    <row r="934" ht="15.75" customHeight="1">
      <c r="A934" s="1385"/>
      <c r="B934" s="1385"/>
      <c r="C934" s="234"/>
      <c r="D934" s="815"/>
      <c r="E934" s="1537"/>
      <c r="F934" s="763"/>
      <c r="G934" s="763"/>
      <c r="H934" s="763"/>
      <c r="I934" s="763"/>
      <c r="J934" s="763"/>
      <c r="K934" s="781"/>
      <c r="L934" s="781"/>
      <c r="M934" s="781"/>
      <c r="N934" s="781"/>
      <c r="O934" s="781"/>
      <c r="P934" s="781"/>
      <c r="Q934" s="781"/>
      <c r="R934" s="781"/>
      <c r="S934" s="781"/>
      <c r="T934" s="781"/>
      <c r="U934" s="781"/>
      <c r="V934" s="781"/>
      <c r="W934" s="137"/>
      <c r="X934" s="137"/>
      <c r="Y934" s="137"/>
      <c r="Z934" s="137"/>
    </row>
    <row r="935" ht="15.75" customHeight="1">
      <c r="A935" s="1385"/>
      <c r="B935" s="1385"/>
      <c r="C935" s="234"/>
      <c r="D935" s="815"/>
      <c r="E935" s="1537"/>
      <c r="F935" s="763"/>
      <c r="G935" s="763"/>
      <c r="H935" s="763"/>
      <c r="I935" s="763"/>
      <c r="J935" s="763"/>
      <c r="K935" s="781"/>
      <c r="L935" s="781"/>
      <c r="M935" s="781"/>
      <c r="N935" s="781"/>
      <c r="O935" s="781"/>
      <c r="P935" s="781"/>
      <c r="Q935" s="781"/>
      <c r="R935" s="781"/>
      <c r="S935" s="781"/>
      <c r="T935" s="781"/>
      <c r="U935" s="781"/>
      <c r="V935" s="781"/>
      <c r="W935" s="137"/>
      <c r="X935" s="137"/>
      <c r="Y935" s="137"/>
      <c r="Z935" s="137"/>
    </row>
    <row r="936" ht="15.75" customHeight="1">
      <c r="A936" s="1385"/>
      <c r="B936" s="1385"/>
      <c r="C936" s="234"/>
      <c r="D936" s="815"/>
      <c r="E936" s="1537"/>
      <c r="F936" s="763"/>
      <c r="G936" s="763"/>
      <c r="H936" s="763"/>
      <c r="I936" s="763"/>
      <c r="J936" s="763"/>
      <c r="K936" s="781"/>
      <c r="L936" s="781"/>
      <c r="M936" s="781"/>
      <c r="N936" s="781"/>
      <c r="O936" s="781"/>
      <c r="P936" s="781"/>
      <c r="Q936" s="781"/>
      <c r="R936" s="781"/>
      <c r="S936" s="781"/>
      <c r="T936" s="781"/>
      <c r="U936" s="781"/>
      <c r="V936" s="781"/>
      <c r="W936" s="137"/>
      <c r="X936" s="137"/>
      <c r="Y936" s="137"/>
      <c r="Z936" s="137"/>
    </row>
    <row r="937" ht="15.75" customHeight="1">
      <c r="A937" s="1385"/>
      <c r="B937" s="1385"/>
      <c r="C937" s="234"/>
      <c r="D937" s="815"/>
      <c r="E937" s="1537"/>
      <c r="F937" s="763"/>
      <c r="G937" s="763"/>
      <c r="H937" s="763"/>
      <c r="I937" s="763"/>
      <c r="J937" s="763"/>
      <c r="K937" s="781"/>
      <c r="L937" s="781"/>
      <c r="M937" s="781"/>
      <c r="N937" s="781"/>
      <c r="O937" s="781"/>
      <c r="P937" s="781"/>
      <c r="Q937" s="781"/>
      <c r="R937" s="781"/>
      <c r="S937" s="781"/>
      <c r="T937" s="781"/>
      <c r="U937" s="781"/>
      <c r="V937" s="781"/>
      <c r="W937" s="137"/>
      <c r="X937" s="137"/>
      <c r="Y937" s="137"/>
      <c r="Z937" s="137"/>
    </row>
    <row r="938" ht="15.75" customHeight="1">
      <c r="A938" s="1385"/>
      <c r="B938" s="1385"/>
      <c r="C938" s="234"/>
      <c r="D938" s="815"/>
      <c r="E938" s="1537"/>
      <c r="F938" s="763"/>
      <c r="G938" s="763"/>
      <c r="H938" s="763"/>
      <c r="I938" s="763"/>
      <c r="J938" s="763"/>
      <c r="K938" s="781"/>
      <c r="L938" s="781"/>
      <c r="M938" s="781"/>
      <c r="N938" s="781"/>
      <c r="O938" s="781"/>
      <c r="P938" s="781"/>
      <c r="Q938" s="781"/>
      <c r="R938" s="781"/>
      <c r="S938" s="781"/>
      <c r="T938" s="781"/>
      <c r="U938" s="781"/>
      <c r="V938" s="781"/>
      <c r="W938" s="137"/>
      <c r="X938" s="137"/>
      <c r="Y938" s="137"/>
      <c r="Z938" s="137"/>
    </row>
    <row r="939" ht="15.75" customHeight="1">
      <c r="A939" s="1385"/>
      <c r="B939" s="1385"/>
      <c r="C939" s="234"/>
      <c r="D939" s="815"/>
      <c r="E939" s="1537"/>
      <c r="F939" s="763"/>
      <c r="G939" s="763"/>
      <c r="H939" s="763"/>
      <c r="I939" s="763"/>
      <c r="J939" s="763"/>
      <c r="K939" s="781"/>
      <c r="L939" s="781"/>
      <c r="M939" s="781"/>
      <c r="N939" s="781"/>
      <c r="O939" s="781"/>
      <c r="P939" s="781"/>
      <c r="Q939" s="781"/>
      <c r="R939" s="781"/>
      <c r="S939" s="781"/>
      <c r="T939" s="781"/>
      <c r="U939" s="781"/>
      <c r="V939" s="781"/>
      <c r="W939" s="137"/>
      <c r="X939" s="137"/>
      <c r="Y939" s="137"/>
      <c r="Z939" s="137"/>
    </row>
    <row r="940" ht="15.75" customHeight="1">
      <c r="A940" s="1385"/>
      <c r="B940" s="1385"/>
      <c r="C940" s="234"/>
      <c r="D940" s="815"/>
      <c r="E940" s="1537"/>
      <c r="F940" s="763"/>
      <c r="G940" s="763"/>
      <c r="H940" s="763"/>
      <c r="I940" s="763"/>
      <c r="J940" s="763"/>
      <c r="K940" s="781"/>
      <c r="L940" s="781"/>
      <c r="M940" s="781"/>
      <c r="N940" s="781"/>
      <c r="O940" s="781"/>
      <c r="P940" s="781"/>
      <c r="Q940" s="781"/>
      <c r="R940" s="781"/>
      <c r="S940" s="781"/>
      <c r="T940" s="781"/>
      <c r="U940" s="781"/>
      <c r="V940" s="781"/>
      <c r="W940" s="137"/>
      <c r="X940" s="137"/>
      <c r="Y940" s="137"/>
      <c r="Z940" s="137"/>
    </row>
    <row r="941" ht="15.75" customHeight="1">
      <c r="A941" s="1385"/>
      <c r="B941" s="1385"/>
      <c r="C941" s="234"/>
      <c r="D941" s="815"/>
      <c r="E941" s="1537"/>
      <c r="F941" s="763"/>
      <c r="G941" s="763"/>
      <c r="H941" s="763"/>
      <c r="I941" s="763"/>
      <c r="J941" s="763"/>
      <c r="K941" s="781"/>
      <c r="L941" s="781"/>
      <c r="M941" s="781"/>
      <c r="N941" s="781"/>
      <c r="O941" s="781"/>
      <c r="P941" s="781"/>
      <c r="Q941" s="781"/>
      <c r="R941" s="781"/>
      <c r="S941" s="781"/>
      <c r="T941" s="781"/>
      <c r="U941" s="781"/>
      <c r="V941" s="781"/>
      <c r="W941" s="137"/>
      <c r="X941" s="137"/>
      <c r="Y941" s="137"/>
      <c r="Z941" s="137"/>
    </row>
    <row r="942" ht="15.75" customHeight="1">
      <c r="A942" s="1385"/>
      <c r="B942" s="1385"/>
      <c r="C942" s="234"/>
      <c r="D942" s="815"/>
      <c r="E942" s="1537"/>
      <c r="F942" s="763"/>
      <c r="G942" s="763"/>
      <c r="H942" s="763"/>
      <c r="I942" s="763"/>
      <c r="J942" s="763"/>
      <c r="K942" s="781"/>
      <c r="L942" s="781"/>
      <c r="M942" s="781"/>
      <c r="N942" s="781"/>
      <c r="O942" s="781"/>
      <c r="P942" s="781"/>
      <c r="Q942" s="781"/>
      <c r="R942" s="781"/>
      <c r="S942" s="781"/>
      <c r="T942" s="781"/>
      <c r="U942" s="781"/>
      <c r="V942" s="781"/>
      <c r="W942" s="137"/>
      <c r="X942" s="137"/>
      <c r="Y942" s="137"/>
      <c r="Z942" s="137"/>
    </row>
    <row r="943" ht="15.75" customHeight="1">
      <c r="A943" s="1385"/>
      <c r="B943" s="1385"/>
      <c r="C943" s="234"/>
      <c r="D943" s="815"/>
      <c r="E943" s="1537"/>
      <c r="F943" s="763"/>
      <c r="G943" s="763"/>
      <c r="H943" s="763"/>
      <c r="I943" s="763"/>
      <c r="J943" s="763"/>
      <c r="K943" s="781"/>
      <c r="L943" s="781"/>
      <c r="M943" s="781"/>
      <c r="N943" s="781"/>
      <c r="O943" s="781"/>
      <c r="P943" s="781"/>
      <c r="Q943" s="781"/>
      <c r="R943" s="781"/>
      <c r="S943" s="781"/>
      <c r="T943" s="781"/>
      <c r="U943" s="781"/>
      <c r="V943" s="781"/>
      <c r="W943" s="137"/>
      <c r="X943" s="137"/>
      <c r="Y943" s="137"/>
      <c r="Z943" s="137"/>
    </row>
    <row r="944" ht="15.75" customHeight="1">
      <c r="A944" s="1385"/>
      <c r="B944" s="1385"/>
      <c r="C944" s="234"/>
      <c r="D944" s="815"/>
      <c r="E944" s="1537"/>
      <c r="F944" s="763"/>
      <c r="G944" s="763"/>
      <c r="H944" s="763"/>
      <c r="I944" s="763"/>
      <c r="J944" s="763"/>
      <c r="K944" s="781"/>
      <c r="L944" s="781"/>
      <c r="M944" s="781"/>
      <c r="N944" s="781"/>
      <c r="O944" s="781"/>
      <c r="P944" s="781"/>
      <c r="Q944" s="781"/>
      <c r="R944" s="781"/>
      <c r="S944" s="781"/>
      <c r="T944" s="781"/>
      <c r="U944" s="781"/>
      <c r="V944" s="781"/>
      <c r="W944" s="137"/>
      <c r="X944" s="137"/>
      <c r="Y944" s="137"/>
      <c r="Z944" s="137"/>
    </row>
    <row r="945" ht="15.75" customHeight="1">
      <c r="A945" s="1385"/>
      <c r="B945" s="1385"/>
      <c r="C945" s="234"/>
      <c r="D945" s="815"/>
      <c r="E945" s="1537"/>
      <c r="F945" s="763"/>
      <c r="G945" s="763"/>
      <c r="H945" s="763"/>
      <c r="I945" s="763"/>
      <c r="J945" s="763"/>
      <c r="K945" s="781"/>
      <c r="L945" s="781"/>
      <c r="M945" s="781"/>
      <c r="N945" s="781"/>
      <c r="O945" s="781"/>
      <c r="P945" s="781"/>
      <c r="Q945" s="781"/>
      <c r="R945" s="781"/>
      <c r="S945" s="781"/>
      <c r="T945" s="781"/>
      <c r="U945" s="781"/>
      <c r="V945" s="781"/>
      <c r="W945" s="137"/>
      <c r="X945" s="137"/>
      <c r="Y945" s="137"/>
      <c r="Z945" s="137"/>
    </row>
    <row r="946" ht="15.75" customHeight="1">
      <c r="A946" s="1385"/>
      <c r="B946" s="1385"/>
      <c r="C946" s="234"/>
      <c r="D946" s="815"/>
      <c r="E946" s="1537"/>
      <c r="F946" s="763"/>
      <c r="G946" s="763"/>
      <c r="H946" s="763"/>
      <c r="I946" s="763"/>
      <c r="J946" s="763"/>
      <c r="K946" s="781"/>
      <c r="L946" s="781"/>
      <c r="M946" s="781"/>
      <c r="N946" s="781"/>
      <c r="O946" s="781"/>
      <c r="P946" s="781"/>
      <c r="Q946" s="781"/>
      <c r="R946" s="781"/>
      <c r="S946" s="781"/>
      <c r="T946" s="781"/>
      <c r="U946" s="781"/>
      <c r="V946" s="781"/>
      <c r="W946" s="137"/>
      <c r="X946" s="137"/>
      <c r="Y946" s="137"/>
      <c r="Z946" s="137"/>
    </row>
    <row r="947" ht="15.75" customHeight="1">
      <c r="A947" s="1385"/>
      <c r="B947" s="1385"/>
      <c r="C947" s="234"/>
      <c r="D947" s="815"/>
      <c r="E947" s="1537"/>
      <c r="F947" s="763"/>
      <c r="G947" s="763"/>
      <c r="H947" s="763"/>
      <c r="I947" s="763"/>
      <c r="J947" s="763"/>
      <c r="K947" s="781"/>
      <c r="L947" s="781"/>
      <c r="M947" s="781"/>
      <c r="N947" s="781"/>
      <c r="O947" s="781"/>
      <c r="P947" s="781"/>
      <c r="Q947" s="781"/>
      <c r="R947" s="781"/>
      <c r="S947" s="781"/>
      <c r="T947" s="781"/>
      <c r="U947" s="781"/>
      <c r="V947" s="781"/>
      <c r="W947" s="137"/>
      <c r="X947" s="137"/>
      <c r="Y947" s="137"/>
      <c r="Z947" s="137"/>
    </row>
    <row r="948" ht="15.75" customHeight="1">
      <c r="A948" s="1385"/>
      <c r="B948" s="1385"/>
      <c r="C948" s="234"/>
      <c r="D948" s="815"/>
      <c r="E948" s="1537"/>
      <c r="F948" s="763"/>
      <c r="G948" s="763"/>
      <c r="H948" s="763"/>
      <c r="I948" s="763"/>
      <c r="J948" s="763"/>
      <c r="K948" s="781"/>
      <c r="L948" s="781"/>
      <c r="M948" s="781"/>
      <c r="N948" s="781"/>
      <c r="O948" s="781"/>
      <c r="P948" s="781"/>
      <c r="Q948" s="781"/>
      <c r="R948" s="781"/>
      <c r="S948" s="781"/>
      <c r="T948" s="781"/>
      <c r="U948" s="781"/>
      <c r="V948" s="781"/>
      <c r="W948" s="137"/>
      <c r="X948" s="137"/>
      <c r="Y948" s="137"/>
      <c r="Z948" s="137"/>
    </row>
    <row r="949" ht="15.75" customHeight="1">
      <c r="A949" s="1385"/>
      <c r="B949" s="1385"/>
      <c r="C949" s="234"/>
      <c r="D949" s="815"/>
      <c r="E949" s="1537"/>
      <c r="F949" s="763"/>
      <c r="G949" s="763"/>
      <c r="H949" s="763"/>
      <c r="I949" s="763"/>
      <c r="J949" s="763"/>
      <c r="K949" s="781"/>
      <c r="L949" s="781"/>
      <c r="M949" s="781"/>
      <c r="N949" s="781"/>
      <c r="O949" s="781"/>
      <c r="P949" s="781"/>
      <c r="Q949" s="781"/>
      <c r="R949" s="781"/>
      <c r="S949" s="781"/>
      <c r="T949" s="781"/>
      <c r="U949" s="781"/>
      <c r="V949" s="781"/>
      <c r="W949" s="137"/>
      <c r="X949" s="137"/>
      <c r="Y949" s="137"/>
      <c r="Z949" s="137"/>
    </row>
    <row r="950" ht="15.75" customHeight="1">
      <c r="A950" s="1385"/>
      <c r="B950" s="1385"/>
      <c r="C950" s="234"/>
      <c r="D950" s="815"/>
      <c r="E950" s="1537"/>
      <c r="F950" s="763"/>
      <c r="G950" s="763"/>
      <c r="H950" s="763"/>
      <c r="I950" s="763"/>
      <c r="J950" s="763"/>
      <c r="K950" s="781"/>
      <c r="L950" s="781"/>
      <c r="M950" s="781"/>
      <c r="N950" s="781"/>
      <c r="O950" s="781"/>
      <c r="P950" s="781"/>
      <c r="Q950" s="781"/>
      <c r="R950" s="781"/>
      <c r="S950" s="781"/>
      <c r="T950" s="781"/>
      <c r="U950" s="781"/>
      <c r="V950" s="781"/>
      <c r="W950" s="137"/>
      <c r="X950" s="137"/>
      <c r="Y950" s="137"/>
      <c r="Z950" s="137"/>
    </row>
    <row r="951" ht="15.75" customHeight="1">
      <c r="A951" s="1385"/>
      <c r="B951" s="1385"/>
      <c r="C951" s="234"/>
      <c r="D951" s="815"/>
      <c r="E951" s="1537"/>
      <c r="F951" s="763"/>
      <c r="G951" s="763"/>
      <c r="H951" s="763"/>
      <c r="I951" s="763"/>
      <c r="J951" s="763"/>
      <c r="K951" s="781"/>
      <c r="L951" s="781"/>
      <c r="M951" s="781"/>
      <c r="N951" s="781"/>
      <c r="O951" s="781"/>
      <c r="P951" s="781"/>
      <c r="Q951" s="781"/>
      <c r="R951" s="781"/>
      <c r="S951" s="781"/>
      <c r="T951" s="781"/>
      <c r="U951" s="781"/>
      <c r="V951" s="781"/>
      <c r="W951" s="137"/>
      <c r="X951" s="137"/>
      <c r="Y951" s="137"/>
      <c r="Z951" s="137"/>
    </row>
    <row r="952" ht="15.75" customHeight="1">
      <c r="A952" s="1385"/>
      <c r="B952" s="1385"/>
      <c r="C952" s="234"/>
      <c r="D952" s="815"/>
      <c r="E952" s="1537"/>
      <c r="F952" s="763"/>
      <c r="G952" s="763"/>
      <c r="H952" s="763"/>
      <c r="I952" s="763"/>
      <c r="J952" s="763"/>
      <c r="K952" s="781"/>
      <c r="L952" s="781"/>
      <c r="M952" s="781"/>
      <c r="N952" s="781"/>
      <c r="O952" s="781"/>
      <c r="P952" s="781"/>
      <c r="Q952" s="781"/>
      <c r="R952" s="781"/>
      <c r="S952" s="781"/>
      <c r="T952" s="781"/>
      <c r="U952" s="781"/>
      <c r="V952" s="781"/>
      <c r="W952" s="137"/>
      <c r="X952" s="137"/>
      <c r="Y952" s="137"/>
      <c r="Z952" s="137"/>
    </row>
    <row r="953" ht="15.75" customHeight="1">
      <c r="A953" s="1385"/>
      <c r="B953" s="1385"/>
      <c r="C953" s="234"/>
      <c r="D953" s="815"/>
      <c r="E953" s="1537"/>
      <c r="F953" s="763"/>
      <c r="G953" s="763"/>
      <c r="H953" s="763"/>
      <c r="I953" s="763"/>
      <c r="J953" s="763"/>
      <c r="K953" s="781"/>
      <c r="L953" s="781"/>
      <c r="M953" s="781"/>
      <c r="N953" s="781"/>
      <c r="O953" s="781"/>
      <c r="P953" s="781"/>
      <c r="Q953" s="781"/>
      <c r="R953" s="781"/>
      <c r="S953" s="781"/>
      <c r="T953" s="781"/>
      <c r="U953" s="781"/>
      <c r="V953" s="781"/>
      <c r="W953" s="137"/>
      <c r="X953" s="137"/>
      <c r="Y953" s="137"/>
      <c r="Z953" s="137"/>
    </row>
    <row r="954" ht="15.75" customHeight="1">
      <c r="A954" s="1385"/>
      <c r="B954" s="1385"/>
      <c r="C954" s="234"/>
      <c r="D954" s="815"/>
      <c r="E954" s="1537"/>
      <c r="F954" s="763"/>
      <c r="G954" s="763"/>
      <c r="H954" s="763"/>
      <c r="I954" s="763"/>
      <c r="J954" s="763"/>
      <c r="K954" s="781"/>
      <c r="L954" s="781"/>
      <c r="M954" s="781"/>
      <c r="N954" s="781"/>
      <c r="O954" s="781"/>
      <c r="P954" s="781"/>
      <c r="Q954" s="781"/>
      <c r="R954" s="781"/>
      <c r="S954" s="781"/>
      <c r="T954" s="781"/>
      <c r="U954" s="781"/>
      <c r="V954" s="781"/>
      <c r="W954" s="137"/>
      <c r="X954" s="137"/>
      <c r="Y954" s="137"/>
      <c r="Z954" s="137"/>
    </row>
    <row r="955" ht="15.75" customHeight="1">
      <c r="A955" s="1385"/>
      <c r="B955" s="1385"/>
      <c r="C955" s="234"/>
      <c r="D955" s="815"/>
      <c r="E955" s="1537"/>
      <c r="F955" s="763"/>
      <c r="G955" s="763"/>
      <c r="H955" s="763"/>
      <c r="I955" s="763"/>
      <c r="J955" s="763"/>
      <c r="K955" s="781"/>
      <c r="L955" s="781"/>
      <c r="M955" s="781"/>
      <c r="N955" s="781"/>
      <c r="O955" s="781"/>
      <c r="P955" s="781"/>
      <c r="Q955" s="781"/>
      <c r="R955" s="781"/>
      <c r="S955" s="781"/>
      <c r="T955" s="781"/>
      <c r="U955" s="781"/>
      <c r="V955" s="781"/>
      <c r="W955" s="137"/>
      <c r="X955" s="137"/>
      <c r="Y955" s="137"/>
      <c r="Z955" s="137"/>
    </row>
    <row r="956" ht="15.75" customHeight="1">
      <c r="A956" s="1385"/>
      <c r="B956" s="1385"/>
      <c r="C956" s="234"/>
      <c r="D956" s="815"/>
      <c r="E956" s="1537"/>
      <c r="F956" s="763"/>
      <c r="G956" s="763"/>
      <c r="H956" s="763"/>
      <c r="I956" s="763"/>
      <c r="J956" s="763"/>
      <c r="K956" s="781"/>
      <c r="L956" s="781"/>
      <c r="M956" s="781"/>
      <c r="N956" s="781"/>
      <c r="O956" s="781"/>
      <c r="P956" s="781"/>
      <c r="Q956" s="781"/>
      <c r="R956" s="781"/>
      <c r="S956" s="781"/>
      <c r="T956" s="781"/>
      <c r="U956" s="781"/>
      <c r="V956" s="781"/>
      <c r="W956" s="137"/>
      <c r="X956" s="137"/>
      <c r="Y956" s="137"/>
      <c r="Z956" s="137"/>
    </row>
    <row r="957" ht="15.75" customHeight="1">
      <c r="A957" s="1385"/>
      <c r="B957" s="1385"/>
      <c r="C957" s="234"/>
      <c r="D957" s="815"/>
      <c r="E957" s="1537"/>
      <c r="F957" s="763"/>
      <c r="G957" s="763"/>
      <c r="H957" s="763"/>
      <c r="I957" s="763"/>
      <c r="J957" s="763"/>
      <c r="K957" s="781"/>
      <c r="L957" s="781"/>
      <c r="M957" s="781"/>
      <c r="N957" s="781"/>
      <c r="O957" s="781"/>
      <c r="P957" s="781"/>
      <c r="Q957" s="781"/>
      <c r="R957" s="781"/>
      <c r="S957" s="781"/>
      <c r="T957" s="781"/>
      <c r="U957" s="781"/>
      <c r="V957" s="781"/>
      <c r="W957" s="137"/>
      <c r="X957" s="137"/>
      <c r="Y957" s="137"/>
      <c r="Z957" s="137"/>
    </row>
    <row r="958" ht="15.75" customHeight="1">
      <c r="A958" s="1385"/>
      <c r="B958" s="1385"/>
      <c r="C958" s="234"/>
      <c r="D958" s="815"/>
      <c r="E958" s="1537"/>
      <c r="F958" s="763"/>
      <c r="G958" s="763"/>
      <c r="H958" s="763"/>
      <c r="I958" s="763"/>
      <c r="J958" s="763"/>
      <c r="K958" s="781"/>
      <c r="L958" s="781"/>
      <c r="M958" s="781"/>
      <c r="N958" s="781"/>
      <c r="O958" s="781"/>
      <c r="P958" s="781"/>
      <c r="Q958" s="781"/>
      <c r="R958" s="781"/>
      <c r="S958" s="781"/>
      <c r="T958" s="781"/>
      <c r="U958" s="781"/>
      <c r="V958" s="781"/>
      <c r="W958" s="137"/>
      <c r="X958" s="137"/>
      <c r="Y958" s="137"/>
      <c r="Z958" s="137"/>
    </row>
    <row r="959" ht="15.75" customHeight="1">
      <c r="A959" s="1385"/>
      <c r="B959" s="1385"/>
      <c r="C959" s="234"/>
      <c r="D959" s="815"/>
      <c r="E959" s="1537"/>
      <c r="F959" s="763"/>
      <c r="G959" s="763"/>
      <c r="H959" s="763"/>
      <c r="I959" s="763"/>
      <c r="J959" s="763"/>
      <c r="K959" s="781"/>
      <c r="L959" s="781"/>
      <c r="M959" s="781"/>
      <c r="N959" s="781"/>
      <c r="O959" s="781"/>
      <c r="P959" s="781"/>
      <c r="Q959" s="781"/>
      <c r="R959" s="781"/>
      <c r="S959" s="781"/>
      <c r="T959" s="781"/>
      <c r="U959" s="781"/>
      <c r="V959" s="781"/>
      <c r="W959" s="137"/>
      <c r="X959" s="137"/>
      <c r="Y959" s="137"/>
      <c r="Z959" s="137"/>
    </row>
    <row r="960" ht="15.75" customHeight="1">
      <c r="A960" s="1385"/>
      <c r="B960" s="1385"/>
      <c r="C960" s="234"/>
      <c r="D960" s="815"/>
      <c r="E960" s="1537"/>
      <c r="F960" s="763"/>
      <c r="G960" s="763"/>
      <c r="H960" s="763"/>
      <c r="I960" s="763"/>
      <c r="J960" s="763"/>
      <c r="K960" s="781"/>
      <c r="L960" s="781"/>
      <c r="M960" s="781"/>
      <c r="N960" s="781"/>
      <c r="O960" s="781"/>
      <c r="P960" s="781"/>
      <c r="Q960" s="781"/>
      <c r="R960" s="781"/>
      <c r="S960" s="781"/>
      <c r="T960" s="781"/>
      <c r="U960" s="781"/>
      <c r="V960" s="781"/>
      <c r="W960" s="137"/>
      <c r="X960" s="137"/>
      <c r="Y960" s="137"/>
      <c r="Z960" s="137"/>
    </row>
    <row r="961" ht="15.75" customHeight="1">
      <c r="A961" s="1385"/>
      <c r="B961" s="1385"/>
      <c r="C961" s="234"/>
      <c r="D961" s="815"/>
      <c r="E961" s="1537"/>
      <c r="F961" s="763"/>
      <c r="G961" s="763"/>
      <c r="H961" s="763"/>
      <c r="I961" s="763"/>
      <c r="J961" s="763"/>
      <c r="K961" s="781"/>
      <c r="L961" s="781"/>
      <c r="M961" s="781"/>
      <c r="N961" s="781"/>
      <c r="O961" s="781"/>
      <c r="P961" s="781"/>
      <c r="Q961" s="781"/>
      <c r="R961" s="781"/>
      <c r="S961" s="781"/>
      <c r="T961" s="781"/>
      <c r="U961" s="781"/>
      <c r="V961" s="781"/>
      <c r="W961" s="137"/>
      <c r="X961" s="137"/>
      <c r="Y961" s="137"/>
      <c r="Z961" s="137"/>
    </row>
    <row r="962" ht="15.75" customHeight="1">
      <c r="A962" s="1385"/>
      <c r="B962" s="1385"/>
      <c r="C962" s="234"/>
      <c r="D962" s="815"/>
      <c r="E962" s="1537"/>
      <c r="F962" s="763"/>
      <c r="G962" s="763"/>
      <c r="H962" s="763"/>
      <c r="I962" s="763"/>
      <c r="J962" s="763"/>
      <c r="K962" s="781"/>
      <c r="L962" s="781"/>
      <c r="M962" s="781"/>
      <c r="N962" s="781"/>
      <c r="O962" s="781"/>
      <c r="P962" s="781"/>
      <c r="Q962" s="781"/>
      <c r="R962" s="781"/>
      <c r="S962" s="781"/>
      <c r="T962" s="781"/>
      <c r="U962" s="781"/>
      <c r="V962" s="781"/>
      <c r="W962" s="137"/>
      <c r="X962" s="137"/>
      <c r="Y962" s="137"/>
      <c r="Z962" s="137"/>
    </row>
    <row r="963" ht="15.75" customHeight="1">
      <c r="A963" s="1385"/>
      <c r="B963" s="1385"/>
      <c r="C963" s="234"/>
      <c r="D963" s="815"/>
      <c r="E963" s="1537"/>
      <c r="F963" s="763"/>
      <c r="G963" s="763"/>
      <c r="H963" s="763"/>
      <c r="I963" s="763"/>
      <c r="J963" s="763"/>
      <c r="K963" s="781"/>
      <c r="L963" s="781"/>
      <c r="M963" s="781"/>
      <c r="N963" s="781"/>
      <c r="O963" s="781"/>
      <c r="P963" s="781"/>
      <c r="Q963" s="781"/>
      <c r="R963" s="781"/>
      <c r="S963" s="781"/>
      <c r="T963" s="781"/>
      <c r="U963" s="781"/>
      <c r="V963" s="781"/>
      <c r="W963" s="137"/>
      <c r="X963" s="137"/>
      <c r="Y963" s="137"/>
      <c r="Z963" s="137"/>
    </row>
    <row r="964" ht="15.75" customHeight="1">
      <c r="A964" s="1385"/>
      <c r="B964" s="1385"/>
      <c r="C964" s="234"/>
      <c r="D964" s="815"/>
      <c r="E964" s="1537"/>
      <c r="F964" s="763"/>
      <c r="G964" s="763"/>
      <c r="H964" s="763"/>
      <c r="I964" s="763"/>
      <c r="J964" s="763"/>
      <c r="K964" s="781"/>
      <c r="L964" s="781"/>
      <c r="M964" s="781"/>
      <c r="N964" s="781"/>
      <c r="O964" s="781"/>
      <c r="P964" s="781"/>
      <c r="Q964" s="781"/>
      <c r="R964" s="781"/>
      <c r="S964" s="781"/>
      <c r="T964" s="781"/>
      <c r="U964" s="781"/>
      <c r="V964" s="781"/>
      <c r="W964" s="137"/>
      <c r="X964" s="137"/>
      <c r="Y964" s="137"/>
      <c r="Z964" s="137"/>
    </row>
    <row r="965" ht="15.75" customHeight="1">
      <c r="A965" s="1385"/>
      <c r="B965" s="1385"/>
      <c r="C965" s="234"/>
      <c r="D965" s="815"/>
      <c r="E965" s="1537"/>
      <c r="F965" s="763"/>
      <c r="G965" s="763"/>
      <c r="H965" s="763"/>
      <c r="I965" s="763"/>
      <c r="J965" s="763"/>
      <c r="K965" s="781"/>
      <c r="L965" s="781"/>
      <c r="M965" s="781"/>
      <c r="N965" s="781"/>
      <c r="O965" s="781"/>
      <c r="P965" s="781"/>
      <c r="Q965" s="781"/>
      <c r="R965" s="781"/>
      <c r="S965" s="781"/>
      <c r="T965" s="781"/>
      <c r="U965" s="781"/>
      <c r="V965" s="781"/>
      <c r="W965" s="137"/>
      <c r="X965" s="137"/>
      <c r="Y965" s="137"/>
      <c r="Z965" s="137"/>
    </row>
    <row r="966" ht="15.75" customHeight="1">
      <c r="A966" s="1385"/>
      <c r="B966" s="1385"/>
      <c r="C966" s="234"/>
      <c r="D966" s="815"/>
      <c r="E966" s="1537"/>
      <c r="F966" s="763"/>
      <c r="G966" s="763"/>
      <c r="H966" s="763"/>
      <c r="I966" s="763"/>
      <c r="J966" s="763"/>
      <c r="K966" s="781"/>
      <c r="L966" s="781"/>
      <c r="M966" s="781"/>
      <c r="N966" s="781"/>
      <c r="O966" s="781"/>
      <c r="P966" s="781"/>
      <c r="Q966" s="781"/>
      <c r="R966" s="781"/>
      <c r="S966" s="781"/>
      <c r="T966" s="781"/>
      <c r="U966" s="781"/>
      <c r="V966" s="781"/>
      <c r="W966" s="137"/>
      <c r="X966" s="137"/>
      <c r="Y966" s="137"/>
      <c r="Z966" s="137"/>
    </row>
    <row r="967" ht="15.75" customHeight="1">
      <c r="A967" s="1385"/>
      <c r="B967" s="1385"/>
      <c r="C967" s="234"/>
      <c r="D967" s="815"/>
      <c r="E967" s="1537"/>
      <c r="F967" s="763"/>
      <c r="G967" s="763"/>
      <c r="H967" s="763"/>
      <c r="I967" s="763"/>
      <c r="J967" s="763"/>
      <c r="K967" s="781"/>
      <c r="L967" s="781"/>
      <c r="M967" s="781"/>
      <c r="N967" s="781"/>
      <c r="O967" s="781"/>
      <c r="P967" s="781"/>
      <c r="Q967" s="781"/>
      <c r="R967" s="781"/>
      <c r="S967" s="781"/>
      <c r="T967" s="781"/>
      <c r="U967" s="781"/>
      <c r="V967" s="781"/>
      <c r="W967" s="137"/>
      <c r="X967" s="137"/>
      <c r="Y967" s="137"/>
      <c r="Z967" s="137"/>
    </row>
    <row r="968" ht="15.75" customHeight="1">
      <c r="A968" s="1385"/>
      <c r="B968" s="1385"/>
      <c r="C968" s="234"/>
      <c r="D968" s="815"/>
      <c r="E968" s="1537"/>
      <c r="F968" s="763"/>
      <c r="G968" s="763"/>
      <c r="H968" s="763"/>
      <c r="I968" s="763"/>
      <c r="J968" s="763"/>
      <c r="K968" s="781"/>
      <c r="L968" s="781"/>
      <c r="M968" s="781"/>
      <c r="N968" s="781"/>
      <c r="O968" s="781"/>
      <c r="P968" s="781"/>
      <c r="Q968" s="781"/>
      <c r="R968" s="781"/>
      <c r="S968" s="781"/>
      <c r="T968" s="781"/>
      <c r="U968" s="781"/>
      <c r="V968" s="781"/>
      <c r="W968" s="137"/>
      <c r="X968" s="137"/>
      <c r="Y968" s="137"/>
      <c r="Z968" s="137"/>
    </row>
    <row r="969" ht="15.75" customHeight="1">
      <c r="A969" s="1385"/>
      <c r="B969" s="1385"/>
      <c r="C969" s="234"/>
      <c r="D969" s="815"/>
      <c r="E969" s="1537"/>
      <c r="F969" s="763"/>
      <c r="G969" s="763"/>
      <c r="H969" s="763"/>
      <c r="I969" s="763"/>
      <c r="J969" s="763"/>
      <c r="K969" s="781"/>
      <c r="L969" s="781"/>
      <c r="M969" s="781"/>
      <c r="N969" s="781"/>
      <c r="O969" s="781"/>
      <c r="P969" s="781"/>
      <c r="Q969" s="781"/>
      <c r="R969" s="781"/>
      <c r="S969" s="781"/>
      <c r="T969" s="781"/>
      <c r="U969" s="781"/>
      <c r="V969" s="781"/>
      <c r="W969" s="137"/>
      <c r="X969" s="137"/>
      <c r="Y969" s="137"/>
      <c r="Z969" s="137"/>
    </row>
    <row r="970" ht="15.75" customHeight="1">
      <c r="A970" s="1385"/>
      <c r="B970" s="1385"/>
      <c r="C970" s="234"/>
      <c r="D970" s="815"/>
      <c r="E970" s="1537"/>
      <c r="F970" s="763"/>
      <c r="G970" s="763"/>
      <c r="H970" s="763"/>
      <c r="I970" s="763"/>
      <c r="J970" s="763"/>
      <c r="K970" s="781"/>
      <c r="L970" s="781"/>
      <c r="M970" s="781"/>
      <c r="N970" s="781"/>
      <c r="O970" s="781"/>
      <c r="P970" s="781"/>
      <c r="Q970" s="781"/>
      <c r="R970" s="781"/>
      <c r="S970" s="781"/>
      <c r="T970" s="781"/>
      <c r="U970" s="781"/>
      <c r="V970" s="781"/>
      <c r="W970" s="137"/>
      <c r="X970" s="137"/>
      <c r="Y970" s="137"/>
      <c r="Z970" s="137"/>
    </row>
    <row r="971" ht="15.75" customHeight="1">
      <c r="A971" s="1385"/>
      <c r="B971" s="1385"/>
      <c r="C971" s="234"/>
      <c r="D971" s="815"/>
      <c r="E971" s="1537"/>
      <c r="F971" s="763"/>
      <c r="G971" s="763"/>
      <c r="H971" s="763"/>
      <c r="I971" s="763"/>
      <c r="J971" s="763"/>
      <c r="K971" s="781"/>
      <c r="L971" s="781"/>
      <c r="M971" s="781"/>
      <c r="N971" s="781"/>
      <c r="O971" s="781"/>
      <c r="P971" s="781"/>
      <c r="Q971" s="781"/>
      <c r="R971" s="781"/>
      <c r="S971" s="781"/>
      <c r="T971" s="781"/>
      <c r="U971" s="781"/>
      <c r="V971" s="781"/>
      <c r="W971" s="137"/>
      <c r="X971" s="137"/>
      <c r="Y971" s="137"/>
      <c r="Z971" s="137"/>
    </row>
    <row r="972" ht="15.75" customHeight="1">
      <c r="A972" s="1385"/>
      <c r="B972" s="1385"/>
      <c r="C972" s="234"/>
      <c r="D972" s="815"/>
      <c r="E972" s="1537"/>
      <c r="F972" s="763"/>
      <c r="G972" s="763"/>
      <c r="H972" s="763"/>
      <c r="I972" s="763"/>
      <c r="J972" s="763"/>
      <c r="K972" s="781"/>
      <c r="L972" s="781"/>
      <c r="M972" s="781"/>
      <c r="N972" s="781"/>
      <c r="O972" s="781"/>
      <c r="P972" s="781"/>
      <c r="Q972" s="781"/>
      <c r="R972" s="781"/>
      <c r="S972" s="781"/>
      <c r="T972" s="781"/>
      <c r="U972" s="781"/>
      <c r="V972" s="781"/>
      <c r="W972" s="137"/>
      <c r="X972" s="137"/>
      <c r="Y972" s="137"/>
      <c r="Z972" s="137"/>
    </row>
    <row r="973" ht="15.75" customHeight="1">
      <c r="A973" s="1385"/>
      <c r="B973" s="1385"/>
      <c r="C973" s="234"/>
      <c r="D973" s="815"/>
      <c r="E973" s="1537"/>
      <c r="F973" s="763"/>
      <c r="G973" s="763"/>
      <c r="H973" s="763"/>
      <c r="I973" s="763"/>
      <c r="J973" s="763"/>
      <c r="K973" s="781"/>
      <c r="L973" s="781"/>
      <c r="M973" s="781"/>
      <c r="N973" s="781"/>
      <c r="O973" s="781"/>
      <c r="P973" s="781"/>
      <c r="Q973" s="781"/>
      <c r="R973" s="781"/>
      <c r="S973" s="781"/>
      <c r="T973" s="781"/>
      <c r="U973" s="781"/>
      <c r="V973" s="781"/>
      <c r="W973" s="137"/>
      <c r="X973" s="137"/>
      <c r="Y973" s="137"/>
      <c r="Z973" s="137"/>
    </row>
    <row r="974" ht="15.75" customHeight="1">
      <c r="A974" s="1385"/>
      <c r="B974" s="1385"/>
      <c r="C974" s="234"/>
      <c r="D974" s="815"/>
      <c r="E974" s="1537"/>
      <c r="F974" s="763"/>
      <c r="G974" s="763"/>
      <c r="H974" s="763"/>
      <c r="I974" s="763"/>
      <c r="J974" s="763"/>
      <c r="K974" s="781"/>
      <c r="L974" s="781"/>
      <c r="M974" s="781"/>
      <c r="N974" s="781"/>
      <c r="O974" s="781"/>
      <c r="P974" s="781"/>
      <c r="Q974" s="781"/>
      <c r="R974" s="781"/>
      <c r="S974" s="781"/>
      <c r="T974" s="781"/>
      <c r="U974" s="781"/>
      <c r="V974" s="781"/>
      <c r="W974" s="137"/>
      <c r="X974" s="137"/>
      <c r="Y974" s="137"/>
      <c r="Z974" s="137"/>
    </row>
    <row r="975" ht="15.75" customHeight="1">
      <c r="A975" s="1385"/>
      <c r="B975" s="1385"/>
      <c r="C975" s="234"/>
      <c r="D975" s="815"/>
      <c r="E975" s="1537"/>
      <c r="F975" s="763"/>
      <c r="G975" s="763"/>
      <c r="H975" s="763"/>
      <c r="I975" s="763"/>
      <c r="J975" s="763"/>
      <c r="K975" s="781"/>
      <c r="L975" s="781"/>
      <c r="M975" s="781"/>
      <c r="N975" s="781"/>
      <c r="O975" s="781"/>
      <c r="P975" s="781"/>
      <c r="Q975" s="781"/>
      <c r="R975" s="781"/>
      <c r="S975" s="781"/>
      <c r="T975" s="781"/>
      <c r="U975" s="781"/>
      <c r="V975" s="781"/>
      <c r="W975" s="137"/>
      <c r="X975" s="137"/>
      <c r="Y975" s="137"/>
      <c r="Z975" s="137"/>
    </row>
    <row r="976" ht="15.75" customHeight="1">
      <c r="A976" s="1385"/>
      <c r="B976" s="1385"/>
      <c r="C976" s="234"/>
      <c r="D976" s="815"/>
      <c r="E976" s="1537"/>
      <c r="F976" s="763"/>
      <c r="G976" s="763"/>
      <c r="H976" s="763"/>
      <c r="I976" s="763"/>
      <c r="J976" s="763"/>
      <c r="K976" s="781"/>
      <c r="L976" s="781"/>
      <c r="M976" s="781"/>
      <c r="N976" s="781"/>
      <c r="O976" s="781"/>
      <c r="P976" s="781"/>
      <c r="Q976" s="781"/>
      <c r="R976" s="781"/>
      <c r="S976" s="781"/>
      <c r="T976" s="781"/>
      <c r="U976" s="781"/>
      <c r="V976" s="781"/>
      <c r="W976" s="137"/>
      <c r="X976" s="137"/>
      <c r="Y976" s="137"/>
      <c r="Z976" s="137"/>
    </row>
    <row r="977" ht="15.75" customHeight="1">
      <c r="A977" s="1385"/>
      <c r="B977" s="1385"/>
      <c r="C977" s="234"/>
      <c r="D977" s="815"/>
      <c r="E977" s="1537"/>
      <c r="F977" s="763"/>
      <c r="G977" s="763"/>
      <c r="H977" s="763"/>
      <c r="I977" s="763"/>
      <c r="J977" s="763"/>
      <c r="K977" s="781"/>
      <c r="L977" s="781"/>
      <c r="M977" s="781"/>
      <c r="N977" s="781"/>
      <c r="O977" s="781"/>
      <c r="P977" s="781"/>
      <c r="Q977" s="781"/>
      <c r="R977" s="781"/>
      <c r="S977" s="781"/>
      <c r="T977" s="781"/>
      <c r="U977" s="781"/>
      <c r="V977" s="781"/>
      <c r="W977" s="137"/>
      <c r="X977" s="137"/>
      <c r="Y977" s="137"/>
      <c r="Z977" s="137"/>
    </row>
    <row r="978" ht="15.75" customHeight="1">
      <c r="A978" s="1385"/>
      <c r="B978" s="1385"/>
      <c r="C978" s="234"/>
      <c r="D978" s="815"/>
      <c r="E978" s="1537"/>
      <c r="F978" s="763"/>
      <c r="G978" s="763"/>
      <c r="H978" s="763"/>
      <c r="I978" s="763"/>
      <c r="J978" s="763"/>
      <c r="K978" s="781"/>
      <c r="L978" s="781"/>
      <c r="M978" s="781"/>
      <c r="N978" s="781"/>
      <c r="O978" s="781"/>
      <c r="P978" s="781"/>
      <c r="Q978" s="781"/>
      <c r="R978" s="781"/>
      <c r="S978" s="781"/>
      <c r="T978" s="781"/>
      <c r="U978" s="781"/>
      <c r="V978" s="781"/>
      <c r="W978" s="137"/>
      <c r="X978" s="137"/>
      <c r="Y978" s="137"/>
      <c r="Z978" s="137"/>
    </row>
    <row r="979" ht="15.75" customHeight="1">
      <c r="A979" s="1385"/>
      <c r="B979" s="1385"/>
      <c r="C979" s="234"/>
      <c r="D979" s="815"/>
      <c r="E979" s="1537"/>
      <c r="F979" s="763"/>
      <c r="G979" s="763"/>
      <c r="H979" s="763"/>
      <c r="I979" s="763"/>
      <c r="J979" s="763"/>
      <c r="K979" s="781"/>
      <c r="L979" s="781"/>
      <c r="M979" s="781"/>
      <c r="N979" s="781"/>
      <c r="O979" s="781"/>
      <c r="P979" s="781"/>
      <c r="Q979" s="781"/>
      <c r="R979" s="781"/>
      <c r="S979" s="781"/>
      <c r="T979" s="781"/>
      <c r="U979" s="781"/>
      <c r="V979" s="781"/>
      <c r="W979" s="137"/>
      <c r="X979" s="137"/>
      <c r="Y979" s="137"/>
      <c r="Z979" s="137"/>
    </row>
    <row r="980" ht="15.75" customHeight="1">
      <c r="A980" s="1385"/>
      <c r="B980" s="1385"/>
      <c r="C980" s="234"/>
      <c r="D980" s="815"/>
      <c r="E980" s="1537"/>
      <c r="F980" s="763"/>
      <c r="G980" s="763"/>
      <c r="H980" s="763"/>
      <c r="I980" s="763"/>
      <c r="J980" s="763"/>
      <c r="K980" s="781"/>
      <c r="L980" s="781"/>
      <c r="M980" s="781"/>
      <c r="N980" s="781"/>
      <c r="O980" s="781"/>
      <c r="P980" s="781"/>
      <c r="Q980" s="781"/>
      <c r="R980" s="781"/>
      <c r="S980" s="781"/>
      <c r="T980" s="781"/>
      <c r="U980" s="781"/>
      <c r="V980" s="781"/>
      <c r="W980" s="137"/>
      <c r="X980" s="137"/>
      <c r="Y980" s="137"/>
      <c r="Z980" s="137"/>
    </row>
    <row r="981" ht="15.75" customHeight="1">
      <c r="A981" s="1385"/>
      <c r="B981" s="1385"/>
      <c r="C981" s="234"/>
      <c r="D981" s="815"/>
      <c r="E981" s="1537"/>
      <c r="F981" s="763"/>
      <c r="G981" s="763"/>
      <c r="H981" s="763"/>
      <c r="I981" s="763"/>
      <c r="J981" s="763"/>
      <c r="K981" s="781"/>
      <c r="L981" s="781"/>
      <c r="M981" s="781"/>
      <c r="N981" s="781"/>
      <c r="O981" s="781"/>
      <c r="P981" s="781"/>
      <c r="Q981" s="781"/>
      <c r="R981" s="781"/>
      <c r="S981" s="781"/>
      <c r="T981" s="781"/>
      <c r="U981" s="781"/>
      <c r="V981" s="781"/>
      <c r="W981" s="137"/>
      <c r="X981" s="137"/>
      <c r="Y981" s="137"/>
      <c r="Z981" s="137"/>
    </row>
    <row r="982" ht="15.75" customHeight="1">
      <c r="A982" s="1385"/>
      <c r="B982" s="1385"/>
      <c r="C982" s="234"/>
      <c r="D982" s="815"/>
      <c r="E982" s="1537"/>
      <c r="F982" s="763"/>
      <c r="G982" s="763"/>
      <c r="H982" s="763"/>
      <c r="I982" s="763"/>
      <c r="J982" s="763"/>
      <c r="K982" s="781"/>
      <c r="L982" s="781"/>
      <c r="M982" s="781"/>
      <c r="N982" s="781"/>
      <c r="O982" s="781"/>
      <c r="P982" s="781"/>
      <c r="Q982" s="781"/>
      <c r="R982" s="781"/>
      <c r="S982" s="781"/>
      <c r="T982" s="781"/>
      <c r="U982" s="781"/>
      <c r="V982" s="781"/>
      <c r="W982" s="137"/>
      <c r="X982" s="137"/>
      <c r="Y982" s="137"/>
      <c r="Z982" s="137"/>
    </row>
    <row r="983" ht="15.75" customHeight="1">
      <c r="A983" s="1385"/>
      <c r="B983" s="1385"/>
      <c r="C983" s="234"/>
      <c r="D983" s="815"/>
      <c r="E983" s="1537"/>
      <c r="F983" s="763"/>
      <c r="G983" s="763"/>
      <c r="H983" s="763"/>
      <c r="I983" s="763"/>
      <c r="J983" s="763"/>
      <c r="K983" s="781"/>
      <c r="L983" s="781"/>
      <c r="M983" s="781"/>
      <c r="N983" s="781"/>
      <c r="O983" s="781"/>
      <c r="P983" s="781"/>
      <c r="Q983" s="781"/>
      <c r="R983" s="781"/>
      <c r="S983" s="781"/>
      <c r="T983" s="781"/>
      <c r="U983" s="781"/>
      <c r="V983" s="781"/>
      <c r="W983" s="137"/>
      <c r="X983" s="137"/>
      <c r="Y983" s="137"/>
      <c r="Z983" s="137"/>
    </row>
    <row r="984" ht="15.75" customHeight="1">
      <c r="A984" s="1385"/>
      <c r="B984" s="1385"/>
      <c r="C984" s="234"/>
      <c r="D984" s="815"/>
      <c r="E984" s="1537"/>
      <c r="F984" s="763"/>
      <c r="G984" s="763"/>
      <c r="H984" s="763"/>
      <c r="I984" s="763"/>
      <c r="J984" s="763"/>
      <c r="K984" s="781"/>
      <c r="L984" s="781"/>
      <c r="M984" s="781"/>
      <c r="N984" s="781"/>
      <c r="O984" s="781"/>
      <c r="P984" s="781"/>
      <c r="Q984" s="781"/>
      <c r="R984" s="781"/>
      <c r="S984" s="781"/>
      <c r="T984" s="781"/>
      <c r="U984" s="781"/>
      <c r="V984" s="781"/>
      <c r="W984" s="137"/>
      <c r="X984" s="137"/>
      <c r="Y984" s="137"/>
      <c r="Z984" s="137"/>
    </row>
    <row r="985" ht="15.75" customHeight="1">
      <c r="A985" s="1385"/>
      <c r="B985" s="1385"/>
      <c r="C985" s="234"/>
      <c r="D985" s="815"/>
      <c r="E985" s="1537"/>
      <c r="F985" s="763"/>
      <c r="G985" s="763"/>
      <c r="H985" s="763"/>
      <c r="I985" s="763"/>
      <c r="J985" s="763"/>
      <c r="K985" s="781"/>
      <c r="L985" s="781"/>
      <c r="M985" s="781"/>
      <c r="N985" s="781"/>
      <c r="O985" s="781"/>
      <c r="P985" s="781"/>
      <c r="Q985" s="781"/>
      <c r="R985" s="781"/>
      <c r="S985" s="781"/>
      <c r="T985" s="781"/>
      <c r="U985" s="781"/>
      <c r="V985" s="781"/>
      <c r="W985" s="137"/>
      <c r="X985" s="137"/>
      <c r="Y985" s="137"/>
      <c r="Z985" s="137"/>
    </row>
    <row r="986" ht="15.75" customHeight="1">
      <c r="A986" s="1385"/>
      <c r="B986" s="1385"/>
      <c r="C986" s="234"/>
      <c r="D986" s="815"/>
      <c r="E986" s="1537"/>
      <c r="F986" s="763"/>
      <c r="G986" s="763"/>
      <c r="H986" s="763"/>
      <c r="I986" s="763"/>
      <c r="J986" s="763"/>
      <c r="K986" s="781"/>
      <c r="L986" s="781"/>
      <c r="M986" s="781"/>
      <c r="N986" s="781"/>
      <c r="O986" s="781"/>
      <c r="P986" s="781"/>
      <c r="Q986" s="781"/>
      <c r="R986" s="781"/>
      <c r="S986" s="781"/>
      <c r="T986" s="781"/>
      <c r="U986" s="781"/>
      <c r="V986" s="781"/>
      <c r="W986" s="137"/>
      <c r="X986" s="137"/>
      <c r="Y986" s="137"/>
      <c r="Z986" s="137"/>
    </row>
    <row r="987" ht="15.75" customHeight="1">
      <c r="A987" s="1385"/>
      <c r="B987" s="1385"/>
      <c r="C987" s="234"/>
      <c r="D987" s="815"/>
      <c r="E987" s="1537"/>
      <c r="F987" s="763"/>
      <c r="G987" s="763"/>
      <c r="H987" s="763"/>
      <c r="I987" s="763"/>
      <c r="J987" s="763"/>
      <c r="K987" s="781"/>
      <c r="L987" s="781"/>
      <c r="M987" s="781"/>
      <c r="N987" s="781"/>
      <c r="O987" s="781"/>
      <c r="P987" s="781"/>
      <c r="Q987" s="781"/>
      <c r="R987" s="781"/>
      <c r="S987" s="781"/>
      <c r="T987" s="781"/>
      <c r="U987" s="781"/>
      <c r="V987" s="781"/>
      <c r="W987" s="137"/>
      <c r="X987" s="137"/>
      <c r="Y987" s="137"/>
      <c r="Z987" s="137"/>
    </row>
    <row r="988" ht="15.75" customHeight="1">
      <c r="A988" s="1385"/>
      <c r="B988" s="1385"/>
      <c r="C988" s="234"/>
      <c r="D988" s="815"/>
      <c r="E988" s="1537"/>
      <c r="F988" s="763"/>
      <c r="G988" s="763"/>
      <c r="H988" s="763"/>
      <c r="I988" s="763"/>
      <c r="J988" s="763"/>
      <c r="K988" s="781"/>
      <c r="L988" s="781"/>
      <c r="M988" s="781"/>
      <c r="N988" s="781"/>
      <c r="O988" s="781"/>
      <c r="P988" s="781"/>
      <c r="Q988" s="781"/>
      <c r="R988" s="781"/>
      <c r="S988" s="781"/>
      <c r="T988" s="781"/>
      <c r="U988" s="781"/>
      <c r="V988" s="781"/>
      <c r="W988" s="137"/>
      <c r="X988" s="137"/>
      <c r="Y988" s="137"/>
      <c r="Z988" s="137"/>
    </row>
    <row r="989" ht="15.75" customHeight="1">
      <c r="A989" s="1385"/>
      <c r="B989" s="1385"/>
      <c r="C989" s="234"/>
      <c r="D989" s="815"/>
      <c r="E989" s="1537"/>
      <c r="F989" s="763"/>
      <c r="G989" s="763"/>
      <c r="H989" s="763"/>
      <c r="I989" s="763"/>
      <c r="J989" s="763"/>
      <c r="K989" s="781"/>
      <c r="L989" s="781"/>
      <c r="M989" s="781"/>
      <c r="N989" s="781"/>
      <c r="O989" s="781"/>
      <c r="P989" s="781"/>
      <c r="Q989" s="781"/>
      <c r="R989" s="781"/>
      <c r="S989" s="781"/>
      <c r="T989" s="781"/>
      <c r="U989" s="781"/>
      <c r="V989" s="781"/>
      <c r="W989" s="137"/>
      <c r="X989" s="137"/>
      <c r="Y989" s="137"/>
      <c r="Z989" s="137"/>
    </row>
    <row r="990" ht="15.75" customHeight="1">
      <c r="A990" s="1385"/>
      <c r="B990" s="1385"/>
      <c r="C990" s="234"/>
      <c r="D990" s="815"/>
      <c r="E990" s="1537"/>
      <c r="F990" s="763"/>
      <c r="G990" s="763"/>
      <c r="H990" s="763"/>
      <c r="I990" s="763"/>
      <c r="J990" s="763"/>
      <c r="K990" s="781"/>
      <c r="L990" s="781"/>
      <c r="M990" s="781"/>
      <c r="N990" s="781"/>
      <c r="O990" s="781"/>
      <c r="P990" s="781"/>
      <c r="Q990" s="781"/>
      <c r="R990" s="781"/>
      <c r="S990" s="781"/>
      <c r="T990" s="781"/>
      <c r="U990" s="781"/>
      <c r="V990" s="781"/>
      <c r="W990" s="137"/>
      <c r="X990" s="137"/>
      <c r="Y990" s="137"/>
      <c r="Z990" s="137"/>
    </row>
    <row r="991" ht="15.75" customHeight="1">
      <c r="A991" s="1385"/>
      <c r="B991" s="1385"/>
      <c r="C991" s="234"/>
      <c r="D991" s="815"/>
      <c r="E991" s="1537"/>
      <c r="F991" s="763"/>
      <c r="G991" s="763"/>
      <c r="H991" s="763"/>
      <c r="I991" s="763"/>
      <c r="J991" s="763"/>
      <c r="K991" s="781"/>
      <c r="L991" s="781"/>
      <c r="M991" s="781"/>
      <c r="N991" s="781"/>
      <c r="O991" s="781"/>
      <c r="P991" s="781"/>
      <c r="Q991" s="781"/>
      <c r="R991" s="781"/>
      <c r="S991" s="781"/>
      <c r="T991" s="781"/>
      <c r="U991" s="781"/>
      <c r="V991" s="781"/>
      <c r="W991" s="137"/>
      <c r="X991" s="137"/>
      <c r="Y991" s="137"/>
      <c r="Z991" s="137"/>
    </row>
    <row r="992" ht="15.75" customHeight="1">
      <c r="A992" s="1385"/>
      <c r="B992" s="1385"/>
      <c r="C992" s="234"/>
      <c r="D992" s="815"/>
      <c r="E992" s="1537"/>
      <c r="F992" s="763"/>
      <c r="G992" s="763"/>
      <c r="H992" s="763"/>
      <c r="I992" s="763"/>
      <c r="J992" s="763"/>
      <c r="K992" s="781"/>
      <c r="L992" s="781"/>
      <c r="M992" s="781"/>
      <c r="N992" s="781"/>
      <c r="O992" s="781"/>
      <c r="P992" s="781"/>
      <c r="Q992" s="781"/>
      <c r="R992" s="781"/>
      <c r="S992" s="781"/>
      <c r="T992" s="781"/>
      <c r="U992" s="781"/>
      <c r="V992" s="781"/>
      <c r="W992" s="137"/>
      <c r="X992" s="137"/>
      <c r="Y992" s="137"/>
      <c r="Z992" s="137"/>
    </row>
    <row r="993" ht="15.75" customHeight="1">
      <c r="A993" s="1385"/>
      <c r="B993" s="1385"/>
      <c r="C993" s="234"/>
      <c r="D993" s="815"/>
      <c r="E993" s="1537"/>
      <c r="F993" s="763"/>
      <c r="G993" s="763"/>
      <c r="H993" s="763"/>
      <c r="I993" s="763"/>
      <c r="J993" s="763"/>
      <c r="K993" s="781"/>
      <c r="L993" s="781"/>
      <c r="M993" s="781"/>
      <c r="N993" s="781"/>
      <c r="O993" s="781"/>
      <c r="P993" s="781"/>
      <c r="Q993" s="781"/>
      <c r="R993" s="781"/>
      <c r="S993" s="781"/>
      <c r="T993" s="781"/>
      <c r="U993" s="781"/>
      <c r="V993" s="781"/>
      <c r="W993" s="137"/>
      <c r="X993" s="137"/>
      <c r="Y993" s="137"/>
      <c r="Z993" s="137"/>
    </row>
    <row r="994" ht="15.75" customHeight="1">
      <c r="A994" s="1385"/>
      <c r="B994" s="1385"/>
      <c r="C994" s="234"/>
      <c r="D994" s="815"/>
      <c r="E994" s="1537"/>
      <c r="F994" s="763"/>
      <c r="G994" s="763"/>
      <c r="H994" s="763"/>
      <c r="I994" s="763"/>
      <c r="J994" s="763"/>
      <c r="K994" s="781"/>
      <c r="L994" s="781"/>
      <c r="M994" s="781"/>
      <c r="N994" s="781"/>
      <c r="O994" s="781"/>
      <c r="P994" s="781"/>
      <c r="Q994" s="781"/>
      <c r="R994" s="781"/>
      <c r="S994" s="781"/>
      <c r="T994" s="781"/>
      <c r="U994" s="781"/>
      <c r="V994" s="781"/>
      <c r="W994" s="137"/>
      <c r="X994" s="137"/>
      <c r="Y994" s="137"/>
      <c r="Z994" s="137"/>
    </row>
    <row r="995" ht="15.75" customHeight="1">
      <c r="A995" s="1385"/>
      <c r="B995" s="1385"/>
      <c r="C995" s="234"/>
      <c r="D995" s="815"/>
      <c r="E995" s="1537"/>
      <c r="F995" s="763"/>
      <c r="G995" s="763"/>
      <c r="H995" s="763"/>
      <c r="I995" s="763"/>
      <c r="J995" s="763"/>
      <c r="K995" s="781"/>
      <c r="L995" s="781"/>
      <c r="M995" s="781"/>
      <c r="N995" s="781"/>
      <c r="O995" s="781"/>
      <c r="P995" s="781"/>
      <c r="Q995" s="781"/>
      <c r="R995" s="781"/>
      <c r="S995" s="781"/>
      <c r="T995" s="781"/>
      <c r="U995" s="781"/>
      <c r="V995" s="781"/>
      <c r="W995" s="137"/>
      <c r="X995" s="137"/>
      <c r="Y995" s="137"/>
      <c r="Z995" s="137"/>
    </row>
    <row r="996" ht="15.75" customHeight="1">
      <c r="A996" s="1385"/>
      <c r="B996" s="1385"/>
      <c r="C996" s="234"/>
      <c r="D996" s="815"/>
      <c r="E996" s="1537"/>
      <c r="F996" s="763"/>
      <c r="G996" s="763"/>
      <c r="H996" s="763"/>
      <c r="I996" s="763"/>
      <c r="J996" s="763"/>
      <c r="K996" s="781"/>
      <c r="L996" s="781"/>
      <c r="M996" s="781"/>
      <c r="N996" s="781"/>
      <c r="O996" s="781"/>
      <c r="P996" s="781"/>
      <c r="Q996" s="781"/>
      <c r="R996" s="781"/>
      <c r="S996" s="781"/>
      <c r="T996" s="781"/>
      <c r="U996" s="781"/>
      <c r="V996" s="781"/>
      <c r="W996" s="137"/>
      <c r="X996" s="137"/>
      <c r="Y996" s="137"/>
      <c r="Z996" s="137"/>
    </row>
    <row r="997" ht="15.75" customHeight="1">
      <c r="A997" s="1385"/>
      <c r="B997" s="1385"/>
      <c r="C997" s="234"/>
      <c r="D997" s="815"/>
      <c r="E997" s="1537"/>
      <c r="F997" s="763"/>
      <c r="G997" s="763"/>
      <c r="H997" s="763"/>
      <c r="I997" s="763"/>
      <c r="J997" s="763"/>
      <c r="K997" s="781"/>
      <c r="L997" s="781"/>
      <c r="M997" s="781"/>
      <c r="N997" s="781"/>
      <c r="O997" s="781"/>
      <c r="P997" s="781"/>
      <c r="Q997" s="781"/>
      <c r="R997" s="781"/>
      <c r="S997" s="781"/>
      <c r="T997" s="781"/>
      <c r="U997" s="781"/>
      <c r="V997" s="781"/>
      <c r="W997" s="137"/>
      <c r="X997" s="137"/>
      <c r="Y997" s="137"/>
      <c r="Z997" s="137"/>
    </row>
    <row r="998" ht="15.75" customHeight="1">
      <c r="A998" s="1385"/>
      <c r="B998" s="1385"/>
      <c r="C998" s="234"/>
      <c r="D998" s="815"/>
      <c r="E998" s="1537"/>
      <c r="F998" s="763"/>
      <c r="G998" s="763"/>
      <c r="H998" s="763"/>
      <c r="I998" s="763"/>
      <c r="J998" s="763"/>
      <c r="K998" s="781"/>
      <c r="L998" s="781"/>
      <c r="M998" s="781"/>
      <c r="N998" s="781"/>
      <c r="O998" s="781"/>
      <c r="P998" s="781"/>
      <c r="Q998" s="781"/>
      <c r="R998" s="781"/>
      <c r="S998" s="781"/>
      <c r="T998" s="781"/>
      <c r="U998" s="781"/>
      <c r="V998" s="781"/>
      <c r="W998" s="137"/>
      <c r="X998" s="137"/>
      <c r="Y998" s="137"/>
      <c r="Z998" s="137"/>
    </row>
    <row r="999" ht="15.75" customHeight="1">
      <c r="A999" s="1385"/>
      <c r="B999" s="1385"/>
      <c r="C999" s="234"/>
      <c r="D999" s="815"/>
      <c r="E999" s="1537"/>
      <c r="F999" s="763"/>
      <c r="G999" s="763"/>
      <c r="H999" s="763"/>
      <c r="I999" s="763"/>
      <c r="J999" s="763"/>
      <c r="K999" s="781"/>
      <c r="L999" s="781"/>
      <c r="M999" s="781"/>
      <c r="N999" s="781"/>
      <c r="O999" s="781"/>
      <c r="P999" s="781"/>
      <c r="Q999" s="781"/>
      <c r="R999" s="781"/>
      <c r="S999" s="781"/>
      <c r="T999" s="781"/>
      <c r="U999" s="781"/>
      <c r="V999" s="781"/>
      <c r="W999" s="137"/>
      <c r="X999" s="137"/>
      <c r="Y999" s="137"/>
      <c r="Z999" s="137"/>
    </row>
    <row r="1000" ht="15.75" customHeight="1">
      <c r="A1000" s="1385"/>
      <c r="B1000" s="1385"/>
      <c r="C1000" s="234"/>
      <c r="D1000" s="815"/>
      <c r="E1000" s="1537"/>
      <c r="F1000" s="763"/>
      <c r="G1000" s="763"/>
      <c r="H1000" s="763"/>
      <c r="I1000" s="763"/>
      <c r="J1000" s="763"/>
      <c r="K1000" s="781"/>
      <c r="L1000" s="781"/>
      <c r="M1000" s="781"/>
      <c r="N1000" s="781"/>
      <c r="O1000" s="781"/>
      <c r="P1000" s="781"/>
      <c r="Q1000" s="781"/>
      <c r="R1000" s="781"/>
      <c r="S1000" s="781"/>
      <c r="T1000" s="781"/>
      <c r="U1000" s="781"/>
      <c r="V1000" s="781"/>
      <c r="W1000" s="137"/>
      <c r="X1000" s="137"/>
      <c r="Y1000" s="137"/>
      <c r="Z1000" s="137"/>
    </row>
    <row r="1001" ht="15.75" customHeight="1">
      <c r="A1001" s="1385"/>
      <c r="B1001" s="1385"/>
      <c r="C1001" s="234"/>
      <c r="D1001" s="815"/>
      <c r="E1001" s="1537"/>
      <c r="F1001" s="763"/>
      <c r="G1001" s="763"/>
      <c r="H1001" s="763"/>
      <c r="I1001" s="763"/>
      <c r="J1001" s="763"/>
      <c r="K1001" s="781"/>
      <c r="L1001" s="781"/>
      <c r="M1001" s="781"/>
      <c r="N1001" s="781"/>
      <c r="O1001" s="781"/>
      <c r="P1001" s="781"/>
      <c r="Q1001" s="781"/>
      <c r="R1001" s="781"/>
      <c r="S1001" s="781"/>
      <c r="T1001" s="781"/>
      <c r="U1001" s="781"/>
      <c r="V1001" s="781"/>
      <c r="W1001" s="137"/>
      <c r="X1001" s="137"/>
      <c r="Y1001" s="137"/>
      <c r="Z1001" s="137"/>
    </row>
    <row r="1002" ht="15.75" customHeight="1">
      <c r="A1002" s="1385"/>
      <c r="B1002" s="1385"/>
      <c r="C1002" s="234"/>
      <c r="D1002" s="815"/>
      <c r="E1002" s="1537"/>
      <c r="F1002" s="763"/>
      <c r="G1002" s="763"/>
      <c r="H1002" s="763"/>
      <c r="I1002" s="763"/>
      <c r="J1002" s="763"/>
      <c r="K1002" s="781"/>
      <c r="L1002" s="781"/>
      <c r="M1002" s="781"/>
      <c r="N1002" s="781"/>
      <c r="O1002" s="781"/>
      <c r="P1002" s="781"/>
      <c r="Q1002" s="781"/>
      <c r="R1002" s="781"/>
      <c r="S1002" s="781"/>
      <c r="T1002" s="781"/>
      <c r="U1002" s="781"/>
      <c r="V1002" s="781"/>
      <c r="W1002" s="137"/>
      <c r="X1002" s="137"/>
      <c r="Y1002" s="137"/>
      <c r="Z1002" s="137"/>
    </row>
    <row r="1003" ht="15.75" customHeight="1">
      <c r="A1003" s="1385"/>
      <c r="B1003" s="1385"/>
      <c r="C1003" s="234"/>
      <c r="D1003" s="815"/>
      <c r="E1003" s="1537"/>
      <c r="F1003" s="763"/>
      <c r="G1003" s="763"/>
      <c r="H1003" s="763"/>
      <c r="I1003" s="763"/>
      <c r="J1003" s="763"/>
      <c r="K1003" s="781"/>
      <c r="L1003" s="781"/>
      <c r="M1003" s="781"/>
      <c r="N1003" s="781"/>
      <c r="O1003" s="781"/>
      <c r="P1003" s="781"/>
      <c r="Q1003" s="781"/>
      <c r="R1003" s="781"/>
      <c r="S1003" s="781"/>
      <c r="T1003" s="781"/>
      <c r="U1003" s="781"/>
      <c r="V1003" s="781"/>
      <c r="W1003" s="137"/>
      <c r="X1003" s="137"/>
      <c r="Y1003" s="137"/>
      <c r="Z1003" s="137"/>
    </row>
    <row r="1004" ht="15.75" customHeight="1">
      <c r="A1004" s="1385"/>
      <c r="B1004" s="1385"/>
      <c r="C1004" s="234"/>
      <c r="D1004" s="815"/>
      <c r="E1004" s="1537"/>
      <c r="F1004" s="763"/>
      <c r="G1004" s="763"/>
      <c r="H1004" s="763"/>
      <c r="I1004" s="763"/>
      <c r="J1004" s="763"/>
      <c r="K1004" s="781"/>
      <c r="L1004" s="781"/>
      <c r="M1004" s="781"/>
      <c r="N1004" s="781"/>
      <c r="O1004" s="781"/>
      <c r="P1004" s="781"/>
      <c r="Q1004" s="781"/>
      <c r="R1004" s="781"/>
      <c r="S1004" s="781"/>
      <c r="T1004" s="781"/>
      <c r="U1004" s="781"/>
      <c r="V1004" s="781"/>
      <c r="W1004" s="137"/>
      <c r="X1004" s="137"/>
      <c r="Y1004" s="137"/>
      <c r="Z1004" s="137"/>
    </row>
    <row r="1005" ht="15.75" customHeight="1">
      <c r="A1005" s="1385"/>
      <c r="B1005" s="1385"/>
      <c r="C1005" s="234"/>
      <c r="D1005" s="815"/>
      <c r="E1005" s="1537"/>
      <c r="F1005" s="763"/>
      <c r="G1005" s="763"/>
      <c r="H1005" s="763"/>
      <c r="I1005" s="763"/>
      <c r="J1005" s="763"/>
      <c r="K1005" s="781"/>
      <c r="L1005" s="781"/>
      <c r="M1005" s="781"/>
      <c r="N1005" s="781"/>
      <c r="O1005" s="781"/>
      <c r="P1005" s="781"/>
      <c r="Q1005" s="781"/>
      <c r="R1005" s="781"/>
      <c r="S1005" s="781"/>
      <c r="T1005" s="781"/>
      <c r="U1005" s="781"/>
      <c r="V1005" s="781"/>
      <c r="W1005" s="137"/>
      <c r="X1005" s="137"/>
      <c r="Y1005" s="137"/>
      <c r="Z1005" s="137"/>
    </row>
    <row r="1006" ht="15.75" customHeight="1">
      <c r="A1006" s="1385"/>
      <c r="B1006" s="1385"/>
      <c r="C1006" s="234"/>
      <c r="D1006" s="815"/>
      <c r="E1006" s="1537"/>
      <c r="F1006" s="763"/>
      <c r="G1006" s="763"/>
      <c r="H1006" s="763"/>
      <c r="I1006" s="763"/>
      <c r="J1006" s="763"/>
      <c r="K1006" s="781"/>
      <c r="L1006" s="781"/>
      <c r="M1006" s="781"/>
      <c r="N1006" s="781"/>
      <c r="O1006" s="781"/>
      <c r="P1006" s="781"/>
      <c r="Q1006" s="781"/>
      <c r="R1006" s="781"/>
      <c r="S1006" s="781"/>
      <c r="T1006" s="781"/>
      <c r="U1006" s="781"/>
      <c r="V1006" s="781"/>
      <c r="W1006" s="137"/>
      <c r="X1006" s="137"/>
      <c r="Y1006" s="137"/>
      <c r="Z1006" s="137"/>
    </row>
    <row r="1007" ht="15.75" customHeight="1">
      <c r="A1007" s="1385"/>
      <c r="B1007" s="1385"/>
      <c r="C1007" s="234"/>
      <c r="D1007" s="815"/>
      <c r="E1007" s="1537"/>
      <c r="F1007" s="763"/>
      <c r="G1007" s="763"/>
      <c r="H1007" s="763"/>
      <c r="I1007" s="763"/>
      <c r="J1007" s="763"/>
      <c r="K1007" s="781"/>
      <c r="L1007" s="781"/>
      <c r="M1007" s="781"/>
      <c r="N1007" s="781"/>
      <c r="O1007" s="781"/>
      <c r="P1007" s="781"/>
      <c r="Q1007" s="781"/>
      <c r="R1007" s="781"/>
      <c r="S1007" s="781"/>
      <c r="T1007" s="781"/>
      <c r="U1007" s="781"/>
      <c r="V1007" s="781"/>
      <c r="W1007" s="137"/>
      <c r="X1007" s="137"/>
      <c r="Y1007" s="137"/>
      <c r="Z1007" s="137"/>
    </row>
    <row r="1008" ht="15.75" customHeight="1">
      <c r="A1008" s="1385"/>
      <c r="B1008" s="1385"/>
      <c r="C1008" s="234"/>
      <c r="D1008" s="815"/>
      <c r="E1008" s="1537"/>
      <c r="F1008" s="763"/>
      <c r="G1008" s="763"/>
      <c r="H1008" s="763"/>
      <c r="I1008" s="763"/>
      <c r="J1008" s="763"/>
      <c r="K1008" s="781"/>
      <c r="L1008" s="781"/>
      <c r="M1008" s="781"/>
      <c r="N1008" s="781"/>
      <c r="O1008" s="781"/>
      <c r="P1008" s="781"/>
      <c r="Q1008" s="781"/>
      <c r="R1008" s="781"/>
      <c r="S1008" s="781"/>
      <c r="T1008" s="781"/>
      <c r="U1008" s="781"/>
      <c r="V1008" s="781"/>
      <c r="W1008" s="137"/>
      <c r="X1008" s="137"/>
      <c r="Y1008" s="137"/>
      <c r="Z1008" s="137"/>
    </row>
    <row r="1009" ht="15.75" customHeight="1">
      <c r="A1009" s="1385"/>
      <c r="B1009" s="1385"/>
      <c r="C1009" s="234"/>
      <c r="D1009" s="815"/>
      <c r="E1009" s="1537"/>
      <c r="F1009" s="763"/>
      <c r="G1009" s="763"/>
      <c r="H1009" s="763"/>
      <c r="I1009" s="763"/>
      <c r="J1009" s="763"/>
      <c r="K1009" s="781"/>
      <c r="L1009" s="781"/>
      <c r="M1009" s="781"/>
      <c r="N1009" s="781"/>
      <c r="O1009" s="781"/>
      <c r="P1009" s="781"/>
      <c r="Q1009" s="781"/>
      <c r="R1009" s="781"/>
      <c r="S1009" s="781"/>
      <c r="T1009" s="781"/>
      <c r="U1009" s="781"/>
      <c r="V1009" s="781"/>
      <c r="W1009" s="137"/>
      <c r="X1009" s="137"/>
      <c r="Y1009" s="137"/>
      <c r="Z1009" s="137"/>
    </row>
    <row r="1010" ht="15.75" customHeight="1">
      <c r="A1010" s="1385"/>
      <c r="B1010" s="1385"/>
      <c r="C1010" s="234"/>
      <c r="D1010" s="815"/>
      <c r="E1010" s="1537"/>
      <c r="F1010" s="763"/>
      <c r="G1010" s="763"/>
      <c r="H1010" s="763"/>
      <c r="I1010" s="763"/>
      <c r="J1010" s="763"/>
      <c r="K1010" s="781"/>
      <c r="L1010" s="781"/>
      <c r="M1010" s="781"/>
      <c r="N1010" s="781"/>
      <c r="O1010" s="781"/>
      <c r="P1010" s="781"/>
      <c r="Q1010" s="781"/>
      <c r="R1010" s="781"/>
      <c r="S1010" s="781"/>
      <c r="T1010" s="781"/>
      <c r="U1010" s="781"/>
      <c r="V1010" s="781"/>
      <c r="W1010" s="137"/>
      <c r="X1010" s="137"/>
      <c r="Y1010" s="137"/>
      <c r="Z1010" s="137"/>
    </row>
    <row r="1011" ht="15.75" customHeight="1">
      <c r="A1011" s="1385"/>
      <c r="B1011" s="1385"/>
      <c r="C1011" s="234"/>
      <c r="D1011" s="815"/>
      <c r="E1011" s="1537"/>
      <c r="F1011" s="763"/>
      <c r="G1011" s="763"/>
      <c r="H1011" s="763"/>
      <c r="I1011" s="763"/>
      <c r="J1011" s="763"/>
      <c r="K1011" s="781"/>
      <c r="L1011" s="781"/>
      <c r="M1011" s="781"/>
      <c r="N1011" s="781"/>
      <c r="O1011" s="781"/>
      <c r="P1011" s="781"/>
      <c r="Q1011" s="781"/>
      <c r="R1011" s="781"/>
      <c r="S1011" s="781"/>
      <c r="T1011" s="781"/>
      <c r="U1011" s="781"/>
      <c r="V1011" s="781"/>
      <c r="W1011" s="137"/>
      <c r="X1011" s="137"/>
      <c r="Y1011" s="137"/>
      <c r="Z1011" s="137"/>
    </row>
    <row r="1012" ht="15.75" customHeight="1">
      <c r="A1012" s="1385"/>
      <c r="B1012" s="1385"/>
      <c r="C1012" s="234"/>
      <c r="D1012" s="815"/>
      <c r="E1012" s="1537"/>
      <c r="F1012" s="763"/>
      <c r="G1012" s="763"/>
      <c r="H1012" s="763"/>
      <c r="I1012" s="763"/>
      <c r="J1012" s="763"/>
      <c r="K1012" s="781"/>
      <c r="L1012" s="781"/>
      <c r="M1012" s="781"/>
      <c r="N1012" s="781"/>
      <c r="O1012" s="781"/>
      <c r="P1012" s="781"/>
      <c r="Q1012" s="781"/>
      <c r="R1012" s="781"/>
      <c r="S1012" s="781"/>
      <c r="T1012" s="781"/>
      <c r="U1012" s="781"/>
      <c r="V1012" s="781"/>
      <c r="W1012" s="137"/>
      <c r="X1012" s="137"/>
      <c r="Y1012" s="137"/>
      <c r="Z1012" s="137"/>
    </row>
    <row r="1013" ht="15.75" customHeight="1">
      <c r="A1013" s="1385"/>
      <c r="B1013" s="1385"/>
      <c r="C1013" s="234"/>
      <c r="D1013" s="815"/>
      <c r="E1013" s="1537"/>
      <c r="F1013" s="763"/>
      <c r="G1013" s="763"/>
      <c r="H1013" s="763"/>
      <c r="I1013" s="763"/>
      <c r="J1013" s="763"/>
      <c r="K1013" s="781"/>
      <c r="L1013" s="781"/>
      <c r="M1013" s="781"/>
      <c r="N1013" s="781"/>
      <c r="O1013" s="781"/>
      <c r="P1013" s="781"/>
      <c r="Q1013" s="781"/>
      <c r="R1013" s="781"/>
      <c r="S1013" s="781"/>
      <c r="T1013" s="781"/>
      <c r="U1013" s="781"/>
      <c r="V1013" s="781"/>
      <c r="W1013" s="137"/>
      <c r="X1013" s="137"/>
      <c r="Y1013" s="137"/>
      <c r="Z1013" s="137"/>
    </row>
    <row r="1014" ht="15.75" customHeight="1">
      <c r="A1014" s="1385"/>
      <c r="B1014" s="1385"/>
      <c r="C1014" s="234"/>
      <c r="D1014" s="815"/>
      <c r="E1014" s="1537"/>
      <c r="F1014" s="763"/>
      <c r="G1014" s="763"/>
      <c r="H1014" s="763"/>
      <c r="I1014" s="763"/>
      <c r="J1014" s="763"/>
      <c r="K1014" s="781"/>
      <c r="L1014" s="781"/>
      <c r="M1014" s="781"/>
      <c r="N1014" s="781"/>
      <c r="O1014" s="781"/>
      <c r="P1014" s="781"/>
      <c r="Q1014" s="781"/>
      <c r="R1014" s="781"/>
      <c r="S1014" s="781"/>
      <c r="T1014" s="781"/>
      <c r="U1014" s="781"/>
      <c r="V1014" s="781"/>
      <c r="W1014" s="137"/>
      <c r="X1014" s="137"/>
      <c r="Y1014" s="137"/>
      <c r="Z1014" s="137"/>
    </row>
    <row r="1015" ht="15.75" customHeight="1">
      <c r="A1015" s="1385"/>
      <c r="B1015" s="1385"/>
      <c r="C1015" s="234"/>
      <c r="D1015" s="815"/>
      <c r="E1015" s="1537"/>
      <c r="F1015" s="763"/>
      <c r="G1015" s="763"/>
      <c r="H1015" s="763"/>
      <c r="I1015" s="763"/>
      <c r="J1015" s="763"/>
      <c r="K1015" s="781"/>
      <c r="L1015" s="781"/>
      <c r="M1015" s="781"/>
      <c r="N1015" s="781"/>
      <c r="O1015" s="781"/>
      <c r="P1015" s="781"/>
      <c r="Q1015" s="781"/>
      <c r="R1015" s="781"/>
      <c r="S1015" s="781"/>
      <c r="T1015" s="781"/>
      <c r="U1015" s="781"/>
      <c r="V1015" s="781"/>
      <c r="W1015" s="137"/>
      <c r="X1015" s="137"/>
      <c r="Y1015" s="137"/>
      <c r="Z1015" s="137"/>
    </row>
    <row r="1016" ht="15.75" customHeight="1">
      <c r="A1016" s="1385"/>
      <c r="B1016" s="1385"/>
      <c r="C1016" s="234"/>
      <c r="D1016" s="815"/>
      <c r="E1016" s="1537"/>
      <c r="F1016" s="763"/>
      <c r="G1016" s="763"/>
      <c r="H1016" s="763"/>
      <c r="I1016" s="763"/>
      <c r="J1016" s="763"/>
      <c r="K1016" s="781"/>
      <c r="L1016" s="781"/>
      <c r="M1016" s="781"/>
      <c r="N1016" s="781"/>
      <c r="O1016" s="781"/>
      <c r="P1016" s="781"/>
      <c r="Q1016" s="781"/>
      <c r="R1016" s="781"/>
      <c r="S1016" s="781"/>
      <c r="T1016" s="781"/>
      <c r="U1016" s="781"/>
      <c r="V1016" s="781"/>
      <c r="W1016" s="137"/>
      <c r="X1016" s="137"/>
      <c r="Y1016" s="137"/>
      <c r="Z1016" s="137"/>
    </row>
    <row r="1017" ht="15.75" customHeight="1">
      <c r="A1017" s="1385"/>
      <c r="B1017" s="1385"/>
      <c r="C1017" s="234"/>
      <c r="D1017" s="815"/>
      <c r="E1017" s="1537"/>
      <c r="F1017" s="763"/>
      <c r="G1017" s="763"/>
      <c r="H1017" s="763"/>
      <c r="I1017" s="763"/>
      <c r="J1017" s="763"/>
      <c r="K1017" s="781"/>
      <c r="L1017" s="781"/>
      <c r="M1017" s="781"/>
      <c r="N1017" s="781"/>
      <c r="O1017" s="781"/>
      <c r="P1017" s="781"/>
      <c r="Q1017" s="781"/>
      <c r="R1017" s="781"/>
      <c r="S1017" s="781"/>
      <c r="T1017" s="781"/>
      <c r="U1017" s="781"/>
      <c r="V1017" s="781"/>
      <c r="W1017" s="137"/>
      <c r="X1017" s="137"/>
      <c r="Y1017" s="137"/>
      <c r="Z1017" s="137"/>
    </row>
    <row r="1018" ht="15.75" customHeight="1">
      <c r="A1018" s="1385"/>
      <c r="B1018" s="1385"/>
      <c r="C1018" s="234"/>
      <c r="D1018" s="815"/>
      <c r="E1018" s="1537"/>
      <c r="F1018" s="763"/>
      <c r="G1018" s="763"/>
      <c r="H1018" s="763"/>
      <c r="I1018" s="763"/>
      <c r="J1018" s="763"/>
      <c r="K1018" s="781"/>
      <c r="L1018" s="781"/>
      <c r="M1018" s="781"/>
      <c r="N1018" s="781"/>
      <c r="O1018" s="781"/>
      <c r="P1018" s="781"/>
      <c r="Q1018" s="781"/>
      <c r="R1018" s="781"/>
      <c r="S1018" s="781"/>
      <c r="T1018" s="781"/>
      <c r="U1018" s="781"/>
      <c r="V1018" s="781"/>
      <c r="W1018" s="137"/>
      <c r="X1018" s="137"/>
      <c r="Y1018" s="137"/>
      <c r="Z1018" s="137"/>
    </row>
    <row r="1019" ht="15.75" customHeight="1">
      <c r="A1019" s="1385"/>
      <c r="B1019" s="1385"/>
      <c r="C1019" s="234"/>
      <c r="D1019" s="815"/>
      <c r="E1019" s="1537"/>
      <c r="F1019" s="763"/>
      <c r="G1019" s="763"/>
      <c r="H1019" s="763"/>
      <c r="I1019" s="763"/>
      <c r="J1019" s="763"/>
      <c r="K1019" s="781"/>
      <c r="L1019" s="781"/>
      <c r="M1019" s="781"/>
      <c r="N1019" s="781"/>
      <c r="O1019" s="781"/>
      <c r="P1019" s="781"/>
      <c r="Q1019" s="781"/>
      <c r="R1019" s="781"/>
      <c r="S1019" s="781"/>
      <c r="T1019" s="781"/>
      <c r="U1019" s="781"/>
      <c r="V1019" s="781"/>
      <c r="W1019" s="137"/>
      <c r="X1019" s="137"/>
      <c r="Y1019" s="137"/>
      <c r="Z1019" s="137"/>
    </row>
    <row r="1020" ht="15.75" customHeight="1">
      <c r="A1020" s="1385"/>
      <c r="B1020" s="1385"/>
      <c r="C1020" s="234"/>
      <c r="D1020" s="815"/>
      <c r="E1020" s="1537"/>
      <c r="F1020" s="763"/>
      <c r="G1020" s="763"/>
      <c r="H1020" s="763"/>
      <c r="I1020" s="763"/>
      <c r="J1020" s="763"/>
      <c r="K1020" s="781"/>
      <c r="L1020" s="781"/>
      <c r="M1020" s="781"/>
      <c r="N1020" s="781"/>
      <c r="O1020" s="781"/>
      <c r="P1020" s="781"/>
      <c r="Q1020" s="781"/>
      <c r="R1020" s="781"/>
      <c r="S1020" s="781"/>
      <c r="T1020" s="781"/>
      <c r="U1020" s="781"/>
      <c r="V1020" s="781"/>
      <c r="W1020" s="137"/>
      <c r="X1020" s="137"/>
      <c r="Y1020" s="137"/>
      <c r="Z1020" s="137"/>
    </row>
    <row r="1021" ht="15.75" customHeight="1">
      <c r="A1021" s="1385"/>
      <c r="B1021" s="1385"/>
      <c r="C1021" s="234"/>
      <c r="D1021" s="815"/>
      <c r="E1021" s="1537"/>
      <c r="F1021" s="763"/>
      <c r="G1021" s="763"/>
      <c r="H1021" s="763"/>
      <c r="I1021" s="763"/>
      <c r="J1021" s="763"/>
      <c r="K1021" s="781"/>
      <c r="L1021" s="781"/>
      <c r="M1021" s="781"/>
      <c r="N1021" s="781"/>
      <c r="O1021" s="781"/>
      <c r="P1021" s="781"/>
      <c r="Q1021" s="781"/>
      <c r="R1021" s="781"/>
      <c r="S1021" s="781"/>
      <c r="T1021" s="781"/>
      <c r="U1021" s="781"/>
      <c r="V1021" s="781"/>
      <c r="W1021" s="137"/>
      <c r="X1021" s="137"/>
      <c r="Y1021" s="137"/>
      <c r="Z1021" s="137"/>
    </row>
    <row r="1022" ht="15.75" customHeight="1">
      <c r="A1022" s="1385"/>
      <c r="B1022" s="1385"/>
      <c r="C1022" s="234"/>
      <c r="D1022" s="815"/>
      <c r="E1022" s="1537"/>
      <c r="F1022" s="763"/>
      <c r="G1022" s="763"/>
      <c r="H1022" s="763"/>
      <c r="I1022" s="763"/>
      <c r="J1022" s="763"/>
      <c r="K1022" s="781"/>
      <c r="L1022" s="781"/>
      <c r="M1022" s="781"/>
      <c r="N1022" s="781"/>
      <c r="O1022" s="781"/>
      <c r="P1022" s="781"/>
      <c r="Q1022" s="781"/>
      <c r="R1022" s="781"/>
      <c r="S1022" s="781"/>
      <c r="T1022" s="781"/>
      <c r="U1022" s="781"/>
      <c r="V1022" s="781"/>
      <c r="W1022" s="137"/>
      <c r="X1022" s="137"/>
      <c r="Y1022" s="137"/>
      <c r="Z1022" s="137"/>
    </row>
    <row r="1023" ht="15.75" customHeight="1">
      <c r="A1023" s="1385"/>
      <c r="B1023" s="1385"/>
      <c r="C1023" s="234"/>
      <c r="D1023" s="815"/>
      <c r="E1023" s="1537"/>
      <c r="F1023" s="763"/>
      <c r="G1023" s="763"/>
      <c r="H1023" s="763"/>
      <c r="I1023" s="763"/>
      <c r="J1023" s="763"/>
      <c r="K1023" s="781"/>
      <c r="L1023" s="781"/>
      <c r="M1023" s="781"/>
      <c r="N1023" s="781"/>
      <c r="O1023" s="781"/>
      <c r="P1023" s="781"/>
      <c r="Q1023" s="781"/>
      <c r="R1023" s="781"/>
      <c r="S1023" s="781"/>
      <c r="T1023" s="781"/>
      <c r="U1023" s="781"/>
      <c r="V1023" s="781"/>
      <c r="W1023" s="137"/>
      <c r="X1023" s="137"/>
      <c r="Y1023" s="137"/>
      <c r="Z1023" s="137"/>
    </row>
    <row r="1024" ht="15.75" customHeight="1">
      <c r="A1024" s="1385"/>
      <c r="B1024" s="1385"/>
      <c r="C1024" s="234"/>
      <c r="D1024" s="815"/>
      <c r="E1024" s="1537"/>
      <c r="F1024" s="763"/>
      <c r="G1024" s="763"/>
      <c r="H1024" s="763"/>
      <c r="I1024" s="763"/>
      <c r="J1024" s="763"/>
      <c r="K1024" s="781"/>
      <c r="L1024" s="781"/>
      <c r="M1024" s="781"/>
      <c r="N1024" s="781"/>
      <c r="O1024" s="781"/>
      <c r="P1024" s="781"/>
      <c r="Q1024" s="781"/>
      <c r="R1024" s="781"/>
      <c r="S1024" s="781"/>
      <c r="T1024" s="781"/>
      <c r="U1024" s="781"/>
      <c r="V1024" s="781"/>
      <c r="W1024" s="137"/>
      <c r="X1024" s="137"/>
      <c r="Y1024" s="137"/>
      <c r="Z1024" s="137"/>
    </row>
    <row r="1025" ht="15.75" customHeight="1">
      <c r="A1025" s="1385"/>
      <c r="B1025" s="1385"/>
      <c r="C1025" s="234"/>
      <c r="D1025" s="815"/>
      <c r="E1025" s="1537"/>
      <c r="F1025" s="763"/>
      <c r="G1025" s="763"/>
      <c r="H1025" s="763"/>
      <c r="I1025" s="763"/>
      <c r="J1025" s="763"/>
      <c r="K1025" s="781"/>
      <c r="L1025" s="781"/>
      <c r="M1025" s="781"/>
      <c r="N1025" s="781"/>
      <c r="O1025" s="781"/>
      <c r="P1025" s="781"/>
      <c r="Q1025" s="781"/>
      <c r="R1025" s="781"/>
      <c r="S1025" s="781"/>
      <c r="T1025" s="781"/>
      <c r="U1025" s="781"/>
      <c r="V1025" s="781"/>
      <c r="W1025" s="137"/>
      <c r="X1025" s="137"/>
      <c r="Y1025" s="137"/>
      <c r="Z1025" s="137"/>
    </row>
    <row r="1026" ht="15.75" customHeight="1">
      <c r="A1026" s="1385"/>
      <c r="B1026" s="1385"/>
      <c r="C1026" s="234"/>
      <c r="D1026" s="815"/>
      <c r="E1026" s="1537"/>
      <c r="F1026" s="763"/>
      <c r="G1026" s="763"/>
      <c r="H1026" s="763"/>
      <c r="I1026" s="763"/>
      <c r="J1026" s="763"/>
      <c r="K1026" s="781"/>
      <c r="L1026" s="781"/>
      <c r="M1026" s="781"/>
      <c r="N1026" s="781"/>
      <c r="O1026" s="781"/>
      <c r="P1026" s="781"/>
      <c r="Q1026" s="781"/>
      <c r="R1026" s="781"/>
      <c r="S1026" s="781"/>
      <c r="T1026" s="781"/>
      <c r="U1026" s="781"/>
      <c r="V1026" s="781"/>
      <c r="W1026" s="137"/>
      <c r="X1026" s="137"/>
      <c r="Y1026" s="137"/>
      <c r="Z1026" s="137"/>
    </row>
    <row r="1027" ht="15.75" customHeight="1">
      <c r="A1027" s="1385"/>
      <c r="B1027" s="1385"/>
      <c r="C1027" s="234"/>
      <c r="D1027" s="815"/>
      <c r="E1027" s="1537"/>
      <c r="F1027" s="763"/>
      <c r="G1027" s="763"/>
      <c r="H1027" s="763"/>
      <c r="I1027" s="763"/>
      <c r="J1027" s="763"/>
      <c r="K1027" s="781"/>
      <c r="L1027" s="781"/>
      <c r="M1027" s="781"/>
      <c r="N1027" s="781"/>
      <c r="O1027" s="781"/>
      <c r="P1027" s="781"/>
      <c r="Q1027" s="781"/>
      <c r="R1027" s="781"/>
      <c r="S1027" s="781"/>
      <c r="T1027" s="781"/>
      <c r="U1027" s="781"/>
      <c r="V1027" s="781"/>
      <c r="W1027" s="137"/>
      <c r="X1027" s="137"/>
      <c r="Y1027" s="137"/>
      <c r="Z1027" s="137"/>
    </row>
    <row r="1028" ht="15.75" customHeight="1">
      <c r="A1028" s="1385"/>
      <c r="B1028" s="1385"/>
      <c r="C1028" s="234"/>
      <c r="D1028" s="815"/>
      <c r="E1028" s="1537"/>
      <c r="F1028" s="763"/>
      <c r="G1028" s="763"/>
      <c r="H1028" s="763"/>
      <c r="I1028" s="763"/>
      <c r="J1028" s="763"/>
      <c r="K1028" s="781"/>
      <c r="L1028" s="781"/>
      <c r="M1028" s="781"/>
      <c r="N1028" s="781"/>
      <c r="O1028" s="781"/>
      <c r="P1028" s="781"/>
      <c r="Q1028" s="781"/>
      <c r="R1028" s="781"/>
      <c r="S1028" s="781"/>
      <c r="T1028" s="781"/>
      <c r="U1028" s="781"/>
      <c r="V1028" s="781"/>
      <c r="W1028" s="137"/>
      <c r="X1028" s="137"/>
      <c r="Y1028" s="137"/>
      <c r="Z1028" s="137"/>
    </row>
    <row r="1029" ht="15.75" customHeight="1">
      <c r="A1029" s="1385"/>
      <c r="B1029" s="1385"/>
      <c r="C1029" s="234"/>
      <c r="D1029" s="815"/>
      <c r="E1029" s="1537"/>
      <c r="F1029" s="763"/>
      <c r="G1029" s="763"/>
      <c r="H1029" s="763"/>
      <c r="I1029" s="763"/>
      <c r="J1029" s="763"/>
      <c r="K1029" s="781"/>
      <c r="L1029" s="781"/>
      <c r="M1029" s="781"/>
      <c r="N1029" s="781"/>
      <c r="O1029" s="781"/>
      <c r="P1029" s="781"/>
      <c r="Q1029" s="781"/>
      <c r="R1029" s="781"/>
      <c r="S1029" s="781"/>
      <c r="T1029" s="781"/>
      <c r="U1029" s="781"/>
      <c r="V1029" s="781"/>
      <c r="W1029" s="137"/>
      <c r="X1029" s="137"/>
      <c r="Y1029" s="137"/>
      <c r="Z1029" s="137"/>
    </row>
    <row r="1030" ht="15.75" customHeight="1">
      <c r="A1030" s="1385"/>
      <c r="B1030" s="1385"/>
      <c r="C1030" s="234"/>
      <c r="D1030" s="815"/>
      <c r="E1030" s="1537"/>
      <c r="F1030" s="763"/>
      <c r="G1030" s="763"/>
      <c r="H1030" s="763"/>
      <c r="I1030" s="763"/>
      <c r="J1030" s="763"/>
      <c r="K1030" s="781"/>
      <c r="L1030" s="781"/>
      <c r="M1030" s="781"/>
      <c r="N1030" s="781"/>
      <c r="O1030" s="781"/>
      <c r="P1030" s="781"/>
      <c r="Q1030" s="781"/>
      <c r="R1030" s="781"/>
      <c r="S1030" s="781"/>
      <c r="T1030" s="781"/>
      <c r="U1030" s="781"/>
      <c r="V1030" s="781"/>
      <c r="W1030" s="137"/>
      <c r="X1030" s="137"/>
      <c r="Y1030" s="137"/>
      <c r="Z1030" s="137"/>
    </row>
    <row r="1031" ht="15.75" customHeight="1">
      <c r="A1031" s="1385"/>
      <c r="B1031" s="1385"/>
      <c r="C1031" s="234"/>
      <c r="D1031" s="815"/>
      <c r="E1031" s="1537"/>
      <c r="F1031" s="763"/>
      <c r="G1031" s="763"/>
      <c r="H1031" s="763"/>
      <c r="I1031" s="763"/>
      <c r="J1031" s="763"/>
      <c r="K1031" s="781"/>
      <c r="L1031" s="781"/>
      <c r="M1031" s="781"/>
      <c r="N1031" s="781"/>
      <c r="O1031" s="781"/>
      <c r="P1031" s="781"/>
      <c r="Q1031" s="781"/>
      <c r="R1031" s="781"/>
      <c r="S1031" s="781"/>
      <c r="T1031" s="781"/>
      <c r="U1031" s="781"/>
      <c r="V1031" s="781"/>
      <c r="W1031" s="137"/>
      <c r="X1031" s="137"/>
      <c r="Y1031" s="137"/>
      <c r="Z1031" s="137"/>
    </row>
    <row r="1032" ht="15.75" customHeight="1">
      <c r="A1032" s="1385"/>
      <c r="B1032" s="1385"/>
      <c r="C1032" s="234"/>
      <c r="D1032" s="815"/>
      <c r="E1032" s="1537"/>
      <c r="F1032" s="763"/>
      <c r="G1032" s="763"/>
      <c r="H1032" s="763"/>
      <c r="I1032" s="763"/>
      <c r="J1032" s="763"/>
      <c r="K1032" s="781"/>
      <c r="L1032" s="781"/>
      <c r="M1032" s="781"/>
      <c r="N1032" s="781"/>
      <c r="O1032" s="781"/>
      <c r="P1032" s="781"/>
      <c r="Q1032" s="781"/>
      <c r="R1032" s="781"/>
      <c r="S1032" s="781"/>
      <c r="T1032" s="781"/>
      <c r="U1032" s="781"/>
      <c r="V1032" s="781"/>
      <c r="W1032" s="137"/>
      <c r="X1032" s="137"/>
      <c r="Y1032" s="137"/>
      <c r="Z1032" s="137"/>
    </row>
    <row r="1033" ht="15.75" customHeight="1">
      <c r="A1033" s="1385"/>
      <c r="B1033" s="1385"/>
      <c r="C1033" s="234"/>
      <c r="D1033" s="815"/>
      <c r="E1033" s="1537"/>
      <c r="F1033" s="763"/>
      <c r="G1033" s="763"/>
      <c r="H1033" s="763"/>
      <c r="I1033" s="763"/>
      <c r="J1033" s="763"/>
      <c r="K1033" s="781"/>
      <c r="L1033" s="781"/>
      <c r="M1033" s="781"/>
      <c r="N1033" s="781"/>
      <c r="O1033" s="781"/>
      <c r="P1033" s="781"/>
      <c r="Q1033" s="781"/>
      <c r="R1033" s="781"/>
      <c r="S1033" s="781"/>
      <c r="T1033" s="781"/>
      <c r="U1033" s="781"/>
      <c r="V1033" s="781"/>
      <c r="W1033" s="137"/>
      <c r="X1033" s="137"/>
      <c r="Y1033" s="137"/>
      <c r="Z1033" s="137"/>
    </row>
    <row r="1034" ht="15.75" customHeight="1">
      <c r="A1034" s="1385"/>
      <c r="B1034" s="1385"/>
      <c r="C1034" s="234"/>
      <c r="D1034" s="815"/>
      <c r="E1034" s="1537"/>
      <c r="F1034" s="763"/>
      <c r="G1034" s="763"/>
      <c r="H1034" s="763"/>
      <c r="I1034" s="763"/>
      <c r="J1034" s="763"/>
      <c r="K1034" s="781"/>
      <c r="L1034" s="781"/>
      <c r="M1034" s="781"/>
      <c r="N1034" s="781"/>
      <c r="O1034" s="781"/>
      <c r="P1034" s="781"/>
      <c r="Q1034" s="781"/>
      <c r="R1034" s="781"/>
      <c r="S1034" s="781"/>
      <c r="T1034" s="781"/>
      <c r="U1034" s="781"/>
      <c r="V1034" s="781"/>
      <c r="W1034" s="137"/>
      <c r="X1034" s="137"/>
      <c r="Y1034" s="137"/>
      <c r="Z1034" s="137"/>
    </row>
    <row r="1035" ht="15.75" customHeight="1">
      <c r="A1035" s="1385"/>
      <c r="B1035" s="1385"/>
      <c r="C1035" s="234"/>
      <c r="D1035" s="815"/>
      <c r="E1035" s="1537"/>
      <c r="F1035" s="763"/>
      <c r="G1035" s="763"/>
      <c r="H1035" s="763"/>
      <c r="I1035" s="763"/>
      <c r="J1035" s="763"/>
      <c r="K1035" s="781"/>
      <c r="L1035" s="781"/>
      <c r="M1035" s="781"/>
      <c r="N1035" s="781"/>
      <c r="O1035" s="781"/>
      <c r="P1035" s="781"/>
      <c r="Q1035" s="781"/>
      <c r="R1035" s="781"/>
      <c r="S1035" s="781"/>
      <c r="T1035" s="781"/>
      <c r="U1035" s="781"/>
      <c r="V1035" s="781"/>
      <c r="W1035" s="137"/>
      <c r="X1035" s="137"/>
      <c r="Y1035" s="137"/>
      <c r="Z1035" s="137"/>
    </row>
    <row r="1036" ht="15.75" customHeight="1">
      <c r="A1036" s="1385"/>
      <c r="B1036" s="1385"/>
      <c r="C1036" s="234"/>
      <c r="D1036" s="815"/>
      <c r="E1036" s="1537"/>
      <c r="F1036" s="763"/>
      <c r="G1036" s="763"/>
      <c r="H1036" s="763"/>
      <c r="I1036" s="763"/>
      <c r="J1036" s="763"/>
      <c r="K1036" s="781"/>
      <c r="L1036" s="781"/>
      <c r="M1036" s="781"/>
      <c r="N1036" s="781"/>
      <c r="O1036" s="781"/>
      <c r="P1036" s="781"/>
      <c r="Q1036" s="781"/>
      <c r="R1036" s="781"/>
      <c r="S1036" s="781"/>
      <c r="T1036" s="781"/>
      <c r="U1036" s="781"/>
      <c r="V1036" s="781"/>
      <c r="W1036" s="137"/>
      <c r="X1036" s="137"/>
      <c r="Y1036" s="137"/>
      <c r="Z1036" s="137"/>
    </row>
    <row r="1037" ht="15.75" customHeight="1">
      <c r="A1037" s="1385"/>
      <c r="B1037" s="1385"/>
      <c r="C1037" s="234"/>
      <c r="D1037" s="815"/>
      <c r="E1037" s="1537"/>
      <c r="F1037" s="763"/>
      <c r="G1037" s="763"/>
      <c r="H1037" s="763"/>
      <c r="I1037" s="763"/>
      <c r="J1037" s="763"/>
      <c r="K1037" s="781"/>
      <c r="L1037" s="781"/>
      <c r="M1037" s="781"/>
      <c r="N1037" s="781"/>
      <c r="O1037" s="781"/>
      <c r="P1037" s="781"/>
      <c r="Q1037" s="781"/>
      <c r="R1037" s="781"/>
      <c r="S1037" s="781"/>
      <c r="T1037" s="781"/>
      <c r="U1037" s="781"/>
      <c r="V1037" s="781"/>
      <c r="W1037" s="137"/>
      <c r="X1037" s="137"/>
      <c r="Y1037" s="137"/>
      <c r="Z1037" s="137"/>
    </row>
    <row r="1038" ht="15.75" customHeight="1">
      <c r="A1038" s="1385"/>
      <c r="B1038" s="1385"/>
      <c r="C1038" s="234"/>
      <c r="D1038" s="815"/>
      <c r="E1038" s="1537"/>
      <c r="F1038" s="763"/>
      <c r="G1038" s="763"/>
      <c r="H1038" s="763"/>
      <c r="I1038" s="763"/>
      <c r="J1038" s="763"/>
      <c r="K1038" s="781"/>
      <c r="L1038" s="781"/>
      <c r="M1038" s="781"/>
      <c r="N1038" s="781"/>
      <c r="O1038" s="781"/>
      <c r="P1038" s="781"/>
      <c r="Q1038" s="781"/>
      <c r="R1038" s="781"/>
      <c r="S1038" s="781"/>
      <c r="T1038" s="781"/>
      <c r="U1038" s="781"/>
      <c r="V1038" s="781"/>
      <c r="W1038" s="137"/>
      <c r="X1038" s="137"/>
      <c r="Y1038" s="137"/>
      <c r="Z1038" s="137"/>
    </row>
    <row r="1039" ht="15.75" customHeight="1">
      <c r="A1039" s="1385"/>
      <c r="B1039" s="1385"/>
      <c r="C1039" s="234"/>
      <c r="D1039" s="815"/>
      <c r="E1039" s="1537"/>
      <c r="F1039" s="763"/>
      <c r="G1039" s="763"/>
      <c r="H1039" s="763"/>
      <c r="I1039" s="763"/>
      <c r="J1039" s="763"/>
      <c r="K1039" s="781"/>
      <c r="L1039" s="781"/>
      <c r="M1039" s="781"/>
      <c r="N1039" s="781"/>
      <c r="O1039" s="781"/>
      <c r="P1039" s="781"/>
      <c r="Q1039" s="781"/>
      <c r="R1039" s="781"/>
      <c r="S1039" s="781"/>
      <c r="T1039" s="781"/>
      <c r="U1039" s="781"/>
      <c r="V1039" s="781"/>
      <c r="W1039" s="137"/>
      <c r="X1039" s="137"/>
      <c r="Y1039" s="137"/>
      <c r="Z1039" s="137"/>
    </row>
    <row r="1040" ht="15.75" customHeight="1">
      <c r="A1040" s="1385"/>
      <c r="B1040" s="1385"/>
      <c r="C1040" s="234"/>
      <c r="D1040" s="815"/>
      <c r="E1040" s="1537"/>
      <c r="F1040" s="763"/>
      <c r="G1040" s="763"/>
      <c r="H1040" s="763"/>
      <c r="I1040" s="763"/>
      <c r="J1040" s="763"/>
      <c r="K1040" s="781"/>
      <c r="L1040" s="781"/>
      <c r="M1040" s="781"/>
      <c r="N1040" s="781"/>
      <c r="O1040" s="781"/>
      <c r="P1040" s="781"/>
      <c r="Q1040" s="781"/>
      <c r="R1040" s="781"/>
      <c r="S1040" s="781"/>
      <c r="T1040" s="781"/>
      <c r="U1040" s="781"/>
      <c r="V1040" s="781"/>
      <c r="W1040" s="137"/>
      <c r="X1040" s="137"/>
      <c r="Y1040" s="137"/>
      <c r="Z1040" s="137"/>
    </row>
    <row r="1041" ht="15.75" customHeight="1">
      <c r="A1041" s="1385"/>
      <c r="B1041" s="1385"/>
      <c r="C1041" s="234"/>
      <c r="D1041" s="815"/>
      <c r="E1041" s="1537"/>
      <c r="F1041" s="763"/>
      <c r="G1041" s="763"/>
      <c r="H1041" s="763"/>
      <c r="I1041" s="763"/>
      <c r="J1041" s="763"/>
      <c r="L1041" s="781"/>
      <c r="M1041" s="781"/>
      <c r="N1041" s="781"/>
      <c r="O1041" s="781"/>
      <c r="P1041" s="781"/>
      <c r="Q1041" s="781"/>
      <c r="R1041" s="781"/>
      <c r="S1041" s="781"/>
      <c r="T1041" s="781"/>
      <c r="U1041" s="781"/>
      <c r="V1041" s="781"/>
      <c r="W1041" s="137"/>
      <c r="X1041" s="137"/>
      <c r="Y1041" s="137"/>
      <c r="Z1041" s="137"/>
    </row>
    <row r="1042" ht="15.75" customHeight="1">
      <c r="A1042" s="1385"/>
      <c r="B1042" s="1385"/>
      <c r="C1042" s="234"/>
      <c r="D1042" s="815"/>
      <c r="E1042" s="1537"/>
      <c r="F1042" s="763"/>
      <c r="G1042" s="763"/>
      <c r="H1042" s="763"/>
      <c r="I1042" s="763"/>
      <c r="J1042" s="763"/>
      <c r="L1042" s="781"/>
      <c r="M1042" s="781"/>
      <c r="N1042" s="781"/>
      <c r="O1042" s="781"/>
      <c r="P1042" s="781"/>
      <c r="Q1042" s="781"/>
      <c r="R1042" s="781"/>
      <c r="S1042" s="781"/>
      <c r="T1042" s="781"/>
      <c r="U1042" s="781"/>
      <c r="V1042" s="781"/>
      <c r="W1042" s="137"/>
      <c r="X1042" s="137"/>
      <c r="Y1042" s="137"/>
      <c r="Z1042" s="137"/>
    </row>
    <row r="1043" ht="15.75" customHeight="1">
      <c r="A1043" s="1385"/>
      <c r="B1043" s="1385"/>
      <c r="D1043" s="1050"/>
      <c r="L1043" s="781"/>
      <c r="M1043" s="781"/>
      <c r="N1043" s="781"/>
      <c r="O1043" s="781"/>
      <c r="P1043" s="781"/>
      <c r="Q1043" s="781"/>
      <c r="R1043" s="781"/>
      <c r="S1043" s="781"/>
      <c r="T1043" s="781"/>
      <c r="U1043" s="781"/>
      <c r="V1043" s="781"/>
      <c r="W1043" s="137"/>
      <c r="X1043" s="137"/>
      <c r="Y1043" s="137"/>
      <c r="Z1043" s="137"/>
    </row>
    <row r="1044" ht="15.75" customHeight="1">
      <c r="A1044" s="1385"/>
      <c r="B1044" s="1385"/>
      <c r="D1044" s="1050"/>
      <c r="L1044" s="781"/>
      <c r="M1044" s="781"/>
      <c r="N1044" s="781"/>
      <c r="O1044" s="781"/>
      <c r="P1044" s="781"/>
      <c r="Q1044" s="781"/>
      <c r="R1044" s="781"/>
      <c r="S1044" s="781"/>
      <c r="T1044" s="781"/>
      <c r="U1044" s="781"/>
      <c r="V1044" s="781"/>
      <c r="W1044" s="137"/>
      <c r="X1044" s="137"/>
      <c r="Y1044" s="137"/>
      <c r="Z1044" s="137"/>
    </row>
    <row r="1045" ht="15.75" customHeight="1">
      <c r="A1045" s="1385"/>
      <c r="B1045" s="1385"/>
      <c r="D1045" s="1050"/>
      <c r="L1045" s="781"/>
      <c r="M1045" s="781"/>
      <c r="N1045" s="781"/>
      <c r="O1045" s="781"/>
      <c r="P1045" s="781"/>
      <c r="Q1045" s="781"/>
      <c r="R1045" s="781"/>
      <c r="S1045" s="781"/>
      <c r="T1045" s="781"/>
      <c r="U1045" s="781"/>
      <c r="V1045" s="781"/>
      <c r="W1045" s="137"/>
      <c r="X1045" s="137"/>
      <c r="Y1045" s="137"/>
      <c r="Z1045" s="137"/>
    </row>
    <row r="1046" ht="15.75" customHeight="1">
      <c r="A1046" s="1050"/>
      <c r="B1046" s="1050"/>
      <c r="D1046" s="1050"/>
      <c r="N1046" s="781"/>
      <c r="O1046" s="781"/>
      <c r="P1046" s="781"/>
      <c r="Q1046" s="781"/>
      <c r="R1046" s="781"/>
      <c r="S1046" s="781"/>
      <c r="T1046" s="781"/>
      <c r="U1046" s="781"/>
      <c r="V1046" s="781"/>
      <c r="W1046" s="137"/>
      <c r="X1046" s="137"/>
      <c r="Y1046" s="137"/>
      <c r="Z1046" s="137"/>
    </row>
  </sheetData>
  <printOptions/>
  <pageMargins bottom="0.75" footer="0.0" header="0.0" left="0.7" right="0.7" top="0.75"/>
  <pageSetup paperSize="9" orientation="portrait"/>
  <drawing r:id="rId2"/>
  <legacyDrawing r:id="rId3"/>
  <tableParts count="18">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13"/>
    <col customWidth="1" min="2" max="16" width="6.38"/>
    <col customWidth="1" min="17" max="17" width="6.5"/>
    <col customWidth="1" min="18" max="18" width="20.13"/>
    <col customWidth="1" min="19" max="33" width="6.38"/>
  </cols>
  <sheetData>
    <row r="1">
      <c r="A1" s="1538" t="s">
        <v>2379</v>
      </c>
      <c r="AH1" s="396"/>
      <c r="AI1" s="396"/>
      <c r="AJ1" s="396"/>
      <c r="AK1" s="396"/>
      <c r="AL1" s="396"/>
      <c r="AM1" s="396"/>
      <c r="AN1" s="396"/>
    </row>
    <row r="2">
      <c r="AH2" s="396"/>
      <c r="AI2" s="396"/>
      <c r="AJ2" s="396"/>
      <c r="AK2" s="396"/>
      <c r="AL2" s="396"/>
      <c r="AM2" s="396"/>
      <c r="AN2" s="396"/>
    </row>
    <row r="3">
      <c r="AH3" s="396"/>
      <c r="AI3" s="396"/>
      <c r="AJ3" s="396"/>
      <c r="AK3" s="396"/>
      <c r="AL3" s="396"/>
      <c r="AM3" s="396"/>
      <c r="AN3" s="396"/>
    </row>
    <row r="4">
      <c r="A4" s="396"/>
      <c r="B4" s="396"/>
      <c r="C4" s="396"/>
      <c r="D4" s="396"/>
      <c r="E4" s="396"/>
      <c r="F4" s="396"/>
      <c r="G4" s="396"/>
      <c r="H4" s="396"/>
      <c r="I4" s="396"/>
      <c r="J4" s="396"/>
      <c r="K4" s="396"/>
      <c r="L4" s="396"/>
      <c r="M4" s="396"/>
      <c r="N4" s="396"/>
      <c r="O4" s="396"/>
      <c r="P4" s="396"/>
      <c r="Q4" s="396"/>
      <c r="R4" s="396"/>
      <c r="S4" s="396"/>
      <c r="T4" s="396"/>
      <c r="U4" s="396"/>
      <c r="V4" s="396"/>
      <c r="W4" s="396"/>
      <c r="X4" s="396"/>
      <c r="Y4" s="396"/>
      <c r="Z4" s="396"/>
      <c r="AA4" s="396"/>
      <c r="AB4" s="396"/>
      <c r="AC4" s="396"/>
      <c r="AD4" s="396"/>
      <c r="AE4" s="396"/>
      <c r="AF4" s="396"/>
      <c r="AG4" s="396"/>
      <c r="AH4" s="396"/>
      <c r="AI4" s="396"/>
      <c r="AJ4" s="396"/>
      <c r="AK4" s="396"/>
      <c r="AL4" s="396"/>
      <c r="AM4" s="396"/>
      <c r="AN4" s="396"/>
    </row>
    <row r="5">
      <c r="A5" s="1539"/>
      <c r="B5" s="396"/>
      <c r="C5" s="396"/>
      <c r="D5" s="396"/>
      <c r="E5" s="396"/>
      <c r="F5" s="396"/>
      <c r="G5" s="396"/>
      <c r="H5" s="396"/>
      <c r="I5" s="396"/>
      <c r="J5" s="396"/>
      <c r="K5" s="396"/>
      <c r="L5" s="396"/>
      <c r="M5" s="396"/>
      <c r="N5" s="396"/>
      <c r="O5" s="396"/>
      <c r="P5" s="396"/>
      <c r="Q5" s="396"/>
      <c r="R5" s="1539"/>
      <c r="S5" s="396"/>
      <c r="T5" s="396"/>
      <c r="U5" s="396"/>
      <c r="V5" s="396"/>
      <c r="W5" s="396"/>
      <c r="X5" s="396"/>
      <c r="Y5" s="396"/>
      <c r="Z5" s="396"/>
      <c r="AA5" s="396"/>
      <c r="AB5" s="396"/>
      <c r="AC5" s="396"/>
      <c r="AD5" s="396"/>
      <c r="AE5" s="396"/>
      <c r="AF5" s="396"/>
      <c r="AG5" s="396"/>
      <c r="AH5" s="396"/>
      <c r="AI5" s="396"/>
      <c r="AJ5" s="396"/>
      <c r="AK5" s="396"/>
      <c r="AL5" s="396"/>
      <c r="AM5" s="396"/>
      <c r="AN5" s="396"/>
    </row>
    <row r="6">
      <c r="A6" s="1540">
        <v>45292.0</v>
      </c>
      <c r="B6" s="396"/>
      <c r="C6" s="396"/>
      <c r="D6" s="396"/>
      <c r="E6" s="396"/>
      <c r="F6" s="396"/>
      <c r="G6" s="396"/>
      <c r="H6" s="396"/>
      <c r="I6" s="396"/>
      <c r="J6" s="396"/>
      <c r="K6" s="396"/>
      <c r="L6" s="396"/>
      <c r="M6" s="396"/>
      <c r="N6" s="396"/>
      <c r="O6" s="396"/>
      <c r="P6" s="396"/>
      <c r="Q6" s="1541"/>
      <c r="R6" s="1542">
        <v>45474.0</v>
      </c>
      <c r="S6" s="396"/>
      <c r="T6" s="396"/>
      <c r="U6" s="396"/>
      <c r="V6" s="396"/>
      <c r="W6" s="396"/>
      <c r="X6" s="396"/>
      <c r="Y6" s="396"/>
      <c r="Z6" s="396"/>
      <c r="AA6" s="396"/>
      <c r="AB6" s="396"/>
      <c r="AC6" s="396"/>
      <c r="AD6" s="396"/>
      <c r="AE6" s="396"/>
      <c r="AF6" s="396"/>
      <c r="AG6" s="396"/>
      <c r="AH6" s="396"/>
      <c r="AI6" s="396"/>
      <c r="AJ6" s="396"/>
      <c r="AK6" s="396"/>
      <c r="AL6" s="396"/>
      <c r="AM6" s="396"/>
      <c r="AN6" s="396"/>
    </row>
    <row r="7">
      <c r="A7" s="396"/>
      <c r="B7" s="396"/>
      <c r="C7" s="396"/>
      <c r="D7" s="396"/>
      <c r="E7" s="396"/>
      <c r="F7" s="396"/>
      <c r="G7" s="396"/>
      <c r="H7" s="396"/>
      <c r="I7" s="396"/>
      <c r="J7" s="396"/>
      <c r="K7" s="396"/>
      <c r="L7" s="396"/>
      <c r="M7" s="396"/>
      <c r="N7" s="396"/>
      <c r="O7" s="396"/>
      <c r="P7" s="396"/>
      <c r="Q7" s="396"/>
      <c r="R7" s="396"/>
      <c r="S7" s="396"/>
      <c r="T7" s="396"/>
      <c r="U7" s="396"/>
      <c r="V7" s="396"/>
      <c r="W7" s="396"/>
      <c r="X7" s="396"/>
      <c r="Y7" s="396"/>
      <c r="Z7" s="396"/>
      <c r="AA7" s="396"/>
      <c r="AB7" s="396"/>
      <c r="AC7" s="396"/>
      <c r="AD7" s="396"/>
      <c r="AE7" s="396"/>
      <c r="AF7" s="396"/>
      <c r="AG7" s="1539"/>
      <c r="AH7" s="396"/>
      <c r="AI7" s="396"/>
      <c r="AJ7" s="396"/>
      <c r="AK7" s="396"/>
      <c r="AL7" s="396"/>
      <c r="AM7" s="396"/>
      <c r="AN7" s="396"/>
    </row>
    <row r="8">
      <c r="A8" s="1543" t="s">
        <v>2380</v>
      </c>
      <c r="B8" s="1544" t="s">
        <v>2381</v>
      </c>
      <c r="C8" s="1545"/>
      <c r="D8" s="1546" t="s">
        <v>2382</v>
      </c>
      <c r="E8" s="1545"/>
      <c r="F8" s="1544" t="s">
        <v>2383</v>
      </c>
      <c r="G8" s="1545"/>
      <c r="H8" s="1544" t="s">
        <v>2384</v>
      </c>
      <c r="I8" s="1545"/>
      <c r="J8" s="1544" t="s">
        <v>2385</v>
      </c>
      <c r="K8" s="1545"/>
      <c r="L8" s="1544" t="s">
        <v>2386</v>
      </c>
      <c r="M8" s="1545"/>
      <c r="N8" s="1547" t="s">
        <v>182</v>
      </c>
      <c r="O8" s="1545"/>
      <c r="P8" s="1548" t="s">
        <v>2387</v>
      </c>
      <c r="Q8" s="396"/>
      <c r="R8" s="1549" t="s">
        <v>2388</v>
      </c>
      <c r="S8" s="1544" t="s">
        <v>2381</v>
      </c>
      <c r="T8" s="1545"/>
      <c r="U8" s="1544" t="s">
        <v>2382</v>
      </c>
      <c r="V8" s="1545"/>
      <c r="W8" s="1544" t="s">
        <v>2383</v>
      </c>
      <c r="X8" s="1545"/>
      <c r="Y8" s="1544" t="s">
        <v>2384</v>
      </c>
      <c r="Z8" s="1545"/>
      <c r="AA8" s="1544" t="s">
        <v>2385</v>
      </c>
      <c r="AB8" s="1545"/>
      <c r="AC8" s="1544" t="s">
        <v>2386</v>
      </c>
      <c r="AD8" s="1545"/>
      <c r="AE8" s="1547" t="s">
        <v>182</v>
      </c>
      <c r="AF8" s="1545"/>
      <c r="AG8" s="1548" t="s">
        <v>2387</v>
      </c>
      <c r="AH8" s="396"/>
      <c r="AI8" s="396"/>
      <c r="AJ8" s="396"/>
      <c r="AK8" s="396"/>
      <c r="AL8" s="396"/>
      <c r="AM8" s="396"/>
      <c r="AN8" s="396"/>
    </row>
    <row r="9">
      <c r="A9" s="1550"/>
      <c r="B9" s="1551" t="s">
        <v>2389</v>
      </c>
      <c r="C9" s="1552" t="s">
        <v>2390</v>
      </c>
      <c r="D9" s="1553" t="s">
        <v>2389</v>
      </c>
      <c r="E9" s="1552" t="s">
        <v>2390</v>
      </c>
      <c r="F9" s="1551" t="s">
        <v>2389</v>
      </c>
      <c r="G9" s="1552" t="s">
        <v>2390</v>
      </c>
      <c r="H9" s="1551" t="s">
        <v>2389</v>
      </c>
      <c r="I9" s="1552" t="s">
        <v>2390</v>
      </c>
      <c r="J9" s="1551" t="s">
        <v>2389</v>
      </c>
      <c r="K9" s="1552" t="s">
        <v>2390</v>
      </c>
      <c r="L9" s="1551" t="s">
        <v>2389</v>
      </c>
      <c r="M9" s="1552" t="s">
        <v>2390</v>
      </c>
      <c r="N9" s="1554" t="s">
        <v>2389</v>
      </c>
      <c r="O9" s="1555" t="s">
        <v>2390</v>
      </c>
      <c r="P9" s="1556"/>
      <c r="Q9" s="396"/>
      <c r="R9" s="1550"/>
      <c r="S9" s="1557" t="s">
        <v>2389</v>
      </c>
      <c r="T9" s="1552" t="s">
        <v>2390</v>
      </c>
      <c r="U9" s="1557" t="s">
        <v>2389</v>
      </c>
      <c r="V9" s="1552" t="s">
        <v>2390</v>
      </c>
      <c r="W9" s="1557" t="s">
        <v>2389</v>
      </c>
      <c r="X9" s="1552" t="s">
        <v>2390</v>
      </c>
      <c r="Y9" s="1557" t="s">
        <v>2389</v>
      </c>
      <c r="Z9" s="1552" t="s">
        <v>2390</v>
      </c>
      <c r="AA9" s="1557" t="s">
        <v>2389</v>
      </c>
      <c r="AB9" s="1552" t="s">
        <v>2390</v>
      </c>
      <c r="AC9" s="1557" t="s">
        <v>2389</v>
      </c>
      <c r="AD9" s="1552" t="s">
        <v>2390</v>
      </c>
      <c r="AE9" s="1554" t="s">
        <v>2389</v>
      </c>
      <c r="AF9" s="1555" t="s">
        <v>2390</v>
      </c>
      <c r="AG9" s="1556"/>
      <c r="AH9" s="396"/>
      <c r="AI9" s="396"/>
      <c r="AJ9" s="396"/>
      <c r="AK9" s="396"/>
      <c r="AL9" s="396"/>
      <c r="AM9" s="396"/>
      <c r="AN9" s="396"/>
    </row>
    <row r="10">
      <c r="A10" s="1515" t="s">
        <v>2391</v>
      </c>
      <c r="B10" s="1558">
        <f>countifs(JoinG1,"&gt;="&amp;DATE(2024,1,1),JoinG1,"&lt;="&amp;DATE(2024,1,6))+countifs(QuitGrade,"1",QStart,"&gt;="&amp;DATE(2024,1,1),QStart,"&lt;="&amp;DATE(2024,1,6))</f>
        <v>35</v>
      </c>
      <c r="C10" s="1559">
        <f>countifs(QuitGrade,"1",QuitDate,"&gt;="&amp;DATE(2024,1,1),QuitDate,"&lt;="&amp;DATE(2024,1,6))</f>
        <v>0</v>
      </c>
      <c r="D10" s="1558">
        <f>countifs(JoinG2,"&gt;="&amp;DATE(2024,1,1),JoinG2,"&lt;="&amp;DATE(2024,1,6))+countifs(QuitGrade,"2",QStart,"&gt;="&amp;DATE(2024,1,1),QStart,"&lt;="&amp;DATE(2024,1,6))</f>
        <v>6</v>
      </c>
      <c r="E10" s="1559">
        <f>countifs(QuitGrade,"2",QuitDate,"&gt;="&amp;DATE(2024,1,1),QuitDate,"&lt;="&amp;DATE(2024,1,6))</f>
        <v>0</v>
      </c>
      <c r="F10" s="1558">
        <f>countifs(JoinG3,"&gt;="&amp;DATE(2024,1,1),JoinG3,"&lt;="&amp;DATE(2024,1,6))+countifs(QuitGrade,"3",QStart,"&gt;="&amp;DATE(2024,1,1),QStart,"&lt;="&amp;DATE(2024,1,6))</f>
        <v>0</v>
      </c>
      <c r="G10" s="1559">
        <f>countifs(QuitGrade,"3",QuitDate,"&gt;="&amp;DATE(2024,1,1),QuitDate,"&lt;="&amp;DATE(2024,1,6))</f>
        <v>0</v>
      </c>
      <c r="H10" s="1558">
        <f>countifs(JoinG4,"&gt;="&amp;DATE(2024,1,1),JoinG4,"&lt;="&amp;DATE(2024,1,6))+countifs(QuitGrade,"4",QStart,"&gt;="&amp;DATE(2024,1,1),QStart,"&lt;="&amp;DATE(2024,1,6))</f>
        <v>1</v>
      </c>
      <c r="I10" s="1559">
        <f>countifs(QuitGrade,"4",QuitDate,"&gt;="&amp;DATE(2024,1,1),QuitDate,"&lt;="&amp;DATE(2024,1,6))</f>
        <v>0</v>
      </c>
      <c r="J10" s="1558">
        <f>countifs(JoinG5,"&gt;="&amp;DATE(2024,1,1),JoinG5,"&lt;="&amp;DATE(2024,1,6))+countifs(QuitGrade,"5",QStart,"&gt;="&amp;DATE(2024,1,1),QStart,"&lt;="&amp;DATE(2024,1,6))</f>
        <v>1</v>
      </c>
      <c r="K10" s="1559">
        <f>countifs(QuitGrade,"5",QuitDate,"&gt;="&amp;DATE(2024,1,1),QuitDate,"&lt;="&amp;DATE(2024,1,6))</f>
        <v>0</v>
      </c>
      <c r="L10" s="1558">
        <f>countifs(JoinG7,"&gt;="&amp;DATE(2024,1,1),JoinG7,"&lt;="&amp;DATE(2024,1,6))+countifs(QuitGrade,"7",QStart,"&gt;="&amp;DATE(2024,1,1),QStart,"&lt;="&amp;DATE(2024,1,6))</f>
        <v>0</v>
      </c>
      <c r="M10" s="1559">
        <f>countifs(QuitGrade,"7",QuitDate,"&gt;="&amp;DATE(2024,1,1),QuitDate,"&lt;="&amp;DATE(2024,1,6))</f>
        <v>0</v>
      </c>
      <c r="N10" s="1560">
        <f t="shared" ref="N10:O10" si="1">sum(B10,D10,F10,H10,J10,L10)</f>
        <v>43</v>
      </c>
      <c r="O10" s="1561">
        <f t="shared" si="1"/>
        <v>0</v>
      </c>
      <c r="P10" s="1562">
        <f t="shared" ref="P10:P14" si="4">minus(N10,O10)</f>
        <v>43</v>
      </c>
      <c r="Q10" s="396"/>
      <c r="R10" s="1563" t="s">
        <v>2392</v>
      </c>
      <c r="S10" s="1558">
        <f>countifs(JoinG1,"&gt;="&amp;DATE(2024,7,1),JoinG1,"&lt;="&amp;DATE(2024,7,5))+countifs(QuitGrade,"1",QStart,"&gt;="&amp;DATE(2024,7,1),QStart,"&lt;="&amp;DATE(2024,7,5))</f>
        <v>1</v>
      </c>
      <c r="T10" s="1559">
        <f>countifs(QuitGrade,"1",QuitDate,"&gt;="&amp;DATE(2024,7,1),QuitDate,"&lt;="&amp;DATE(2024,7,5))</f>
        <v>0</v>
      </c>
      <c r="U10" s="1558">
        <f>countifs(JoinG2,"&gt;="&amp;DATE(2024,7,1),JoinG2,"&lt;="&amp;DATE(2024,7,5))+countifs(QuitGrade,"2",QStart,"&gt;="&amp;DATE(2024,7,1),QStart,"&lt;="&amp;DATE(2024,7,5))</f>
        <v>1</v>
      </c>
      <c r="V10" s="1559">
        <f>countifs(QuitGrade,"2",QuitDate,"&gt;="&amp;DATE(2024,7,1),QuitDate,"&lt;="&amp;DATE(2024,7,5))</f>
        <v>0</v>
      </c>
      <c r="W10" s="1558">
        <f>countifs(JoinG3,"&gt;="&amp;DATE(2024,7,1),JoinG3,"&lt;="&amp;DATE(2024,7,5))+countifs(QuitGrade,"3",QStart,"&gt;="&amp;DATE(2024,7,1),QStart,"&lt;="&amp;DATE(2024,7,5))</f>
        <v>0</v>
      </c>
      <c r="X10" s="1559">
        <f>countifs(QuitGrade,"3",QuitDate,"&gt;="&amp;DATE(2024,7,1),QuitDate,"&lt;="&amp;DATE(2024,7,5))</f>
        <v>0</v>
      </c>
      <c r="Y10" s="1558">
        <f>countifs(JoinG4,"&gt;="&amp;DATE(2024,7,1),JoinG4,"&lt;="&amp;DATE(2024,7,5))+countifs(QuitGrade,"4",QStart,"&gt;="&amp;DATE(2024,7,1),QStart,"&lt;="&amp;DATE(2024,7,5))</f>
        <v>0</v>
      </c>
      <c r="Z10" s="1559">
        <f>countifs(QuitGrade,"4",QuitDate,"&gt;="&amp;DATE(2024,7,1),QuitDate,"&lt;="&amp;DATE(2024,7,5))</f>
        <v>0</v>
      </c>
      <c r="AA10" s="1558">
        <f>countifs(JoinG5,"&gt;="&amp;DATE(2024,7,1),JoinG5,"&lt;="&amp;DATE(2024,7,5))+countifs(QuitGrade,"5",QStart,"&gt;="&amp;DATE(2024,7,1),QStart,"&lt;="&amp;DATE(2024,7,5))</f>
        <v>0</v>
      </c>
      <c r="AB10" s="1559">
        <f>countifs(QuitGrade,"5",QuitDate,"&gt;="&amp;DATE(2024,7,1),QuitDate,"&lt;="&amp;DATE(2024,7,5))</f>
        <v>0</v>
      </c>
      <c r="AC10" s="1558">
        <f>countifs(JoinG7,"&gt;="&amp;DATE(2024,7,1),JoinG7,"&lt;="&amp;DATE(2024,7,5))+countifs(QuitGrade,"7",QStart,"&gt;="&amp;DATE(2024,7,1),QStart,"&lt;="&amp;DATE(2024,7,5))</f>
        <v>0</v>
      </c>
      <c r="AD10" s="1559">
        <f>countifs(QuitGrade,"7",QuitDate,"&gt;="&amp;DATE(2024,7,1),QuitDate,"&lt;="&amp;DATE(2024,7,5))</f>
        <v>0</v>
      </c>
      <c r="AE10" s="1560">
        <f t="shared" ref="AE10:AF10" si="2">sum(S10,U10,W10,Y10,AA10,AC10)</f>
        <v>2</v>
      </c>
      <c r="AF10" s="1561">
        <f t="shared" si="2"/>
        <v>0</v>
      </c>
      <c r="AG10" s="1564">
        <f t="shared" ref="AG10:AG14" si="6">minus(AE10,AF10)</f>
        <v>2</v>
      </c>
      <c r="AH10" s="396"/>
      <c r="AI10" s="396"/>
      <c r="AJ10" s="396"/>
      <c r="AK10" s="396"/>
      <c r="AL10" s="396"/>
      <c r="AM10" s="396"/>
      <c r="AN10" s="396"/>
    </row>
    <row r="11">
      <c r="A11" s="1234" t="s">
        <v>2393</v>
      </c>
      <c r="B11" s="1558">
        <f>countifs(JoinG1,"&gt;="&amp;DATE(2024,1,8),JoinG1,"&lt;="&amp;DATE(2024,1,12))+countifs(QuitGrade,"1",QStart,"&gt;="&amp;DATE(2024,1,8),QStart,"&lt;="&amp;DATE(2024,1,12))</f>
        <v>0</v>
      </c>
      <c r="C11" s="1565">
        <f>countifs(QuitGrade,"1",QuitDate,"&gt;="&amp;DATE(2024,1,8),QuitDate,"&lt;="&amp;DATE(2024,1,12))</f>
        <v>0</v>
      </c>
      <c r="D11" s="1558">
        <f>countifs(JoinG2,"&gt;="&amp;DATE(2024,1,8),JoinG2,"&lt;="&amp;DATE(2024,1,12))+countifs(QuitGrade,"2",QStart,"&gt;="&amp;DATE(2024,1,8),QStart,"&lt;="&amp;DATE(2024,1,12))</f>
        <v>0</v>
      </c>
      <c r="E11" s="1565">
        <f>countifs(QuitGrade,"2",QuitDate,"&gt;="&amp;DATE(2024,1,8),QuitDate,"&lt;="&amp;DATE(2024,1,12))</f>
        <v>0</v>
      </c>
      <c r="F11" s="1558">
        <f>countifs(JoinG3,"&gt;="&amp;DATE(2024,1,8),JoinG3,"&lt;="&amp;DATE(2024,1,12))+countifs(QuitGrade,"3",QStart,"&gt;="&amp;DATE(2024,1,8),QStart,"&lt;="&amp;DATE(2024,1,12))</f>
        <v>2</v>
      </c>
      <c r="G11" s="1565">
        <f>countifs(QuitGrade,"3",QuitDate,"&gt;="&amp;DATE(2024,1,8),QuitDate,"&lt;="&amp;DATE(2024,1,12))</f>
        <v>0</v>
      </c>
      <c r="H11" s="1558">
        <f>countifs(JoinG4,"&gt;="&amp;DATE(2024,1,8),JoinG4,"&lt;="&amp;DATE(2024,1,12))+countifs(QuitGrade,"4",QStart,"&gt;="&amp;DATE(2024,1,8),QStart,"&lt;="&amp;DATE(2024,1,12))</f>
        <v>0</v>
      </c>
      <c r="I11" s="1565">
        <f>countifs(QuitGrade,"4",QuitDate,"&gt;="&amp;DATE(2024,1,8),QuitDate,"&lt;="&amp;DATE(2024,1,12))</f>
        <v>0</v>
      </c>
      <c r="J11" s="1558">
        <f>countifs(JoinG5,"&gt;="&amp;DATE(2024,1,8),JoinG5,"&lt;="&amp;DATE(2024,1,12))+countifs(QuitGrade,"5",QStart,"&gt;="&amp;DATE(2024,1,8),QStart,"&lt;="&amp;DATE(2024,1,12))</f>
        <v>0</v>
      </c>
      <c r="K11" s="1565">
        <f>countifs(QuitGrade,"5",QuitDate,"&gt;="&amp;DATE(2024,1,8),QuitDate,"&lt;="&amp;DATE(2024,1,12))</f>
        <v>0</v>
      </c>
      <c r="L11" s="1558">
        <f>countifs(JoinG7,"&gt;="&amp;DATE(2024,1,8),JoinG7,"&lt;="&amp;DATE(2024,1,12))+countifs(QuitGrade,"7",QStart,"&gt;="&amp;DATE(2024,1,8),QStart,"&lt;="&amp;DATE(2024,1,12))</f>
        <v>0</v>
      </c>
      <c r="M11" s="1565">
        <f>countifs(QuitGrade,"7",QuitDate,"&gt;="&amp;DATE(2024,1,8),QuitDate,"&lt;="&amp;DATE(2024,1,12))</f>
        <v>0</v>
      </c>
      <c r="N11" s="1566">
        <f t="shared" ref="N11:O11" si="3">sum(B11,D11,F11,H11,J11,L11)</f>
        <v>2</v>
      </c>
      <c r="O11" s="1567">
        <f t="shared" si="3"/>
        <v>0</v>
      </c>
      <c r="P11" s="1562">
        <f t="shared" si="4"/>
        <v>2</v>
      </c>
      <c r="Q11" s="396"/>
      <c r="R11" s="1568" t="s">
        <v>2394</v>
      </c>
      <c r="S11" s="1558">
        <f>countifs(JoinG1,"&gt;="&amp;DATE(2024,7,8),JoinG1,"&lt;="&amp;DATE(2024,7,12))+countifs(QuitGrade,"1",QStart,"&gt;="&amp;DATE(2024,7,8),QStart,"&lt;="&amp;DATE(2024,7,12))</f>
        <v>0</v>
      </c>
      <c r="T11" s="1559">
        <f>countifs(QuitGrade,"1",QuitDate,"&gt;="&amp;DATE(2024,7,8),QuitDate,"&lt;="&amp;DATE(2024,7,12))</f>
        <v>0</v>
      </c>
      <c r="U11" s="1558">
        <f>countifs(JoinG2,"&gt;="&amp;DATE(2024,7,8),JoinG2,"&lt;="&amp;DATE(2024,7,12))+countifs(QuitGrade,"2",QStart,"&gt;="&amp;DATE(2024,7,8),QStart,"&lt;="&amp;DATE(2024,7,12))</f>
        <v>2</v>
      </c>
      <c r="V11" s="1559">
        <f>countifs(QuitGrade,"2",QuitDate,"&gt;="&amp;DATE(2024,7,8),QuitDate,"&lt;="&amp;DATE(2024,7,12))</f>
        <v>0</v>
      </c>
      <c r="W11" s="1558">
        <f>countifs(JoinG3,"&gt;="&amp;DATE(2024,7,8),JoinG3,"&lt;="&amp;DATE(2024,7,12))+countifs(QuitGrade,"3",QStart,"&gt;="&amp;DATE(2024,7,8),QStart,"&lt;="&amp;DATE(2024,7,12))</f>
        <v>0</v>
      </c>
      <c r="X11" s="1559">
        <f>countifs(QuitGrade,"3",QuitDate,"&gt;="&amp;DATE(2024,7,8),QuitDate,"&lt;="&amp;DATE(2024,7,12))</f>
        <v>0</v>
      </c>
      <c r="Y11" s="1558">
        <f>countifs(JoinG4,"&gt;="&amp;DATE(2024,7,8),JoinG4,"&lt;="&amp;DATE(2024,7,12))+countifs(QuitGrade,"4",QStart,"&gt;="&amp;DATE(2024,7,8),QStart,"&lt;="&amp;DATE(2024,7,12))</f>
        <v>0</v>
      </c>
      <c r="Z11" s="1559">
        <f>countifs(QuitGrade,"4",QuitDate,"&gt;="&amp;DATE(2024,7,8),QuitDate,"&lt;="&amp;DATE(2024,7,12))</f>
        <v>0</v>
      </c>
      <c r="AA11" s="1558">
        <f>countifs(JoinG5,"&gt;="&amp;DATE(2024,7,8),JoinG5,"&lt;="&amp;DATE(2024,7,12))+countifs(QuitGrade,"5",QStart,"&gt;="&amp;DATE(2024,7,8),QStart,"&lt;="&amp;DATE(2024,7,12))</f>
        <v>0</v>
      </c>
      <c r="AB11" s="1559">
        <f>countifs(QuitGrade,"5",QuitDate,"&gt;="&amp;DATE(2024,7,8),QuitDate,"&lt;="&amp;DATE(2024,7,12))</f>
        <v>0</v>
      </c>
      <c r="AC11" s="1558">
        <f>countifs(JoinG7,"&gt;="&amp;DATE(2024,7,8),JoinG7,"&lt;="&amp;DATE(2024,7,12))+countifs(QuitGrade,"7",QStart,"&gt;="&amp;DATE(2024,7,8),QStart,"&lt;="&amp;DATE(2024,7,12))</f>
        <v>0</v>
      </c>
      <c r="AD11" s="1559">
        <f>countifs(QuitGrade,"7",QuitDate,"&gt;="&amp;DATE(2024,7,8),QuitDate,"&lt;="&amp;DATE(2024,7,12))</f>
        <v>0</v>
      </c>
      <c r="AE11" s="1560">
        <f t="shared" ref="AE11:AF11" si="5">sum(S11,U11,W11,Y11,AA11,AC11)</f>
        <v>2</v>
      </c>
      <c r="AF11" s="1567">
        <f t="shared" si="5"/>
        <v>0</v>
      </c>
      <c r="AG11" s="1564">
        <f t="shared" si="6"/>
        <v>2</v>
      </c>
      <c r="AH11" s="396"/>
      <c r="AI11" s="396"/>
      <c r="AJ11" s="396"/>
      <c r="AK11" s="396"/>
      <c r="AL11" s="396"/>
      <c r="AM11" s="396"/>
      <c r="AN11" s="396"/>
    </row>
    <row r="12">
      <c r="A12" s="1569" t="s">
        <v>2395</v>
      </c>
      <c r="B12" s="1558">
        <f>countifs(JoinG1,"&gt;="&amp;DATE(2024,1,15),JoinG1,"&lt;="&amp;DATE(2024,1,19))+countifs(QuitGrade,"1",QStart,"&gt;="&amp;DATE(2024,1,15),QStart,"&lt;="&amp;DATE(2024,1,19))</f>
        <v>0</v>
      </c>
      <c r="C12" s="1565">
        <f>countifs(QuitGrade,"1",QuitDate,"&gt;="&amp;DATE(2024,1,15),QuitDate,"&lt;="&amp;DATE(2024,1,19))</f>
        <v>0</v>
      </c>
      <c r="D12" s="1558">
        <f>countifs(JoinG2,"&gt;="&amp;DATE(2024,1,15),JoinG2,"&lt;="&amp;DATE(2024,1,19))+countifs(QuitGrade,"2",QStart,"&gt;="&amp;DATE(2024,1,15),QStart,"&lt;="&amp;DATE(2024,1,19))</f>
        <v>3</v>
      </c>
      <c r="E12" s="1565">
        <f>countifs(QuitGrade,"2",QuitDate,"&gt;="&amp;DATE(2024,1,15),QuitDate,"&lt;="&amp;DATE(2024,1,19))</f>
        <v>0</v>
      </c>
      <c r="F12" s="1558">
        <f>countifs(JoinG3,"&gt;="&amp;DATE(2024,1,15),JoinG3,"&lt;="&amp;DATE(2024,1,19))+countifs(QuitGrade,"3",QStart,"&gt;="&amp;DATE(2024,1,15),QStart,"&lt;="&amp;DATE(2024,1,19))</f>
        <v>0</v>
      </c>
      <c r="G12" s="1565">
        <f>countifs(QuitGrade,"3",QuitDate,"&gt;="&amp;DATE(2024,1,15),QuitDate,"&lt;="&amp;DATE(2024,1,19))</f>
        <v>0</v>
      </c>
      <c r="H12" s="1558">
        <f>countifs(JoinG4,"&gt;="&amp;DATE(2024,1,15),JoinG4,"&lt;="&amp;DATE(2024,1,19))+countifs(QuitGrade,"4",QStart,"&gt;="&amp;DATE(2024,1,15),QStart,"&lt;="&amp;DATE(2024,1,19))</f>
        <v>0</v>
      </c>
      <c r="I12" s="1565">
        <f>countifs(QuitGrade,"4",QuitDate,"&gt;="&amp;DATE(2024,1,15),QuitDate,"&lt;="&amp;DATE(2024,1,19))</f>
        <v>0</v>
      </c>
      <c r="J12" s="1558">
        <f>countifs(JoinG5,"&gt;="&amp;DATE(2024,1,15),JoinG5,"&lt;="&amp;DATE(2024,1,19))+countifs(QuitGrade,"5",QStart,"&gt;="&amp;DATE(2024,1,15),QStart,"&lt;="&amp;DATE(2024,1,19))</f>
        <v>0</v>
      </c>
      <c r="K12" s="1565">
        <f>countifs(QuitGrade,"5",QuitDate,"&gt;="&amp;DATE(2024,1,15),QuitDate,"&lt;="&amp;DATE(2024,1,19))</f>
        <v>0</v>
      </c>
      <c r="L12" s="1558">
        <f>countifs(JoinG7,"&gt;="&amp;DATE(2024,1,15),JoinG7,"&lt;="&amp;DATE(2024,1,19))+countifs(QuitGrade,"7",QStart,"&gt;="&amp;DATE(2024,1,15),QStart,"&lt;="&amp;DATE(2024,1,19))</f>
        <v>0</v>
      </c>
      <c r="M12" s="1565">
        <f>countifs(QuitGrade,"7",QuitDate,"&gt;="&amp;DATE(2024,1,15),QuitDate,"&lt;="&amp;DATE(2024,1,19))</f>
        <v>0</v>
      </c>
      <c r="N12" s="1566">
        <f t="shared" ref="N12:O12" si="7">sum(B12,D12,F12,H12,J12,L12)</f>
        <v>3</v>
      </c>
      <c r="O12" s="1567">
        <f t="shared" si="7"/>
        <v>0</v>
      </c>
      <c r="P12" s="1562">
        <f t="shared" si="4"/>
        <v>3</v>
      </c>
      <c r="Q12" s="396"/>
      <c r="R12" s="1568" t="s">
        <v>2396</v>
      </c>
      <c r="S12" s="1558">
        <f>countifs(JoinG1,"&gt;="&amp;DATE(2024,7,15),JoinG1,"&lt;="&amp;DATE(2024,7,19))+countifs(QuitGrade,"1",QStart,"&gt;="&amp;DATE(2024,7,15),QStart,"&lt;="&amp;DATE(2024,7,19))</f>
        <v>0</v>
      </c>
      <c r="T12" s="1559">
        <f>countifs(QuitGrade,"1",QuitDate,"&gt;="&amp;DATE(2024,7,15),QuitDate,"&lt;="&amp;DATE(2024,7,19))</f>
        <v>0</v>
      </c>
      <c r="U12" s="1558">
        <f>countifs(JoinG2,"&gt;="&amp;DATE(2024,7,15),JoinG2,"&lt;="&amp;DATE(2024,7,19))+countifs(QuitGrade,"2",QStart,"&gt;="&amp;DATE(2024,7,15),QStart,"&lt;="&amp;DATE(2024,7,19))</f>
        <v>1</v>
      </c>
      <c r="V12" s="1559">
        <f>countifs(QuitGrade,"2",QuitDate,"&gt;="&amp;DATE(2024,7,15),QuitDate,"&lt;="&amp;DATE(2024,7,19))</f>
        <v>0</v>
      </c>
      <c r="W12" s="1558">
        <f>countifs(JoinG3,"&gt;="&amp;DATE(2024,7,15),JoinG3,"&lt;="&amp;DATE(2024,7,19))+countifs(QuitGrade,"3",QStart,"&gt;="&amp;DATE(2024,7,15),QStart,"&lt;="&amp;DATE(2024,7,19))</f>
        <v>0</v>
      </c>
      <c r="X12" s="1559">
        <f>countifs(QuitGrade,"3",QuitDate,"&gt;="&amp;DATE(2024,7,15),QuitDate,"&lt;="&amp;DATE(2024,7,19))</f>
        <v>0</v>
      </c>
      <c r="Y12" s="1558">
        <f>countifs(JoinG4,"&gt;="&amp;DATE(2024,7,15),JoinG4,"&lt;="&amp;DATE(2024,7,19))+countifs(QuitGrade,"4",QStart,"&gt;="&amp;DATE(2024,7,15),QStart,"&lt;="&amp;DATE(2024,7,19))</f>
        <v>0</v>
      </c>
      <c r="Z12" s="1559">
        <f>countifs(QuitGrade,"4",QuitDate,"&gt;="&amp;DATE(2024,7,15),QuitDate,"&lt;="&amp;DATE(2024,7,19))</f>
        <v>0</v>
      </c>
      <c r="AA12" s="1558">
        <f>countifs(JoinG5,"&gt;="&amp;DATE(2024,7,15),JoinG5,"&lt;="&amp;DATE(2024,7,19))+countifs(QuitGrade,"5",QStart,"&gt;="&amp;DATE(2024,7,15),QStart,"&lt;="&amp;DATE(2024,7,19))</f>
        <v>0</v>
      </c>
      <c r="AB12" s="1559">
        <f>countifs(QuitGrade,"5",QuitDate,"&gt;="&amp;DATE(2024,7,15),QuitDate,"&lt;="&amp;DATE(2024,7,19))</f>
        <v>0</v>
      </c>
      <c r="AC12" s="1558">
        <f>countifs(JoinG7,"&gt;="&amp;DATE(2024,7,15),JoinG7,"&lt;="&amp;DATE(2024,7,19))+countifs(QuitGrade,"7",QStart,"&gt;="&amp;DATE(2024,7,15),QStart,"&lt;="&amp;DATE(2024,7,19))</f>
        <v>0</v>
      </c>
      <c r="AD12" s="1559">
        <f>countifs(QuitGrade,"7",QuitDate,"&gt;="&amp;DATE(2024,7,15),QuitDate,"&lt;="&amp;DATE(2024,7,19))</f>
        <v>0</v>
      </c>
      <c r="AE12" s="1560">
        <f t="shared" ref="AE12:AF12" si="8">sum(S12,U12,W12,Y12,AA12,AC12)</f>
        <v>1</v>
      </c>
      <c r="AF12" s="1567">
        <f t="shared" si="8"/>
        <v>0</v>
      </c>
      <c r="AG12" s="1564">
        <f t="shared" si="6"/>
        <v>1</v>
      </c>
      <c r="AH12" s="396"/>
      <c r="AI12" s="396"/>
      <c r="AJ12" s="396"/>
      <c r="AK12" s="396"/>
      <c r="AL12" s="396"/>
      <c r="AM12" s="396"/>
      <c r="AN12" s="396"/>
    </row>
    <row r="13">
      <c r="A13" s="1569" t="s">
        <v>2397</v>
      </c>
      <c r="B13" s="1558">
        <f>countifs(JoinG1,"&gt;="&amp;DATE(2024,1,22),JoinG1,"&lt;="&amp;DATE(2024,1,26))+countifs(QuitGrade,"1",QStart,"&gt;="&amp;DATE(2024,1,22),QStart,"&lt;="&amp;DATE(2024,1,26))</f>
        <v>1</v>
      </c>
      <c r="C13" s="1565">
        <f>countifs(QuitGrade,"1",QuitDate,"&gt;="&amp;DATE(2024,1,22),QuitDate,"&lt;="&amp;DATE(2024,1,26))</f>
        <v>0</v>
      </c>
      <c r="D13" s="1558">
        <f>countifs(JoinG2,"&gt;="&amp;DATE(2024,1,22),JoinG2,"&lt;="&amp;DATE(2024,1,26))+countifs(QuitGrade,"2",QStart,"&gt;="&amp;DATE(2024,1,22),QStart,"&lt;="&amp;DATE(2024,1,26))</f>
        <v>1</v>
      </c>
      <c r="E13" s="1565">
        <f>countifs(QuitGrade,"2",QuitDate,"&gt;="&amp;DATE(2024,1,22),QuitDate,"&lt;="&amp;DATE(2024,1,26))</f>
        <v>0</v>
      </c>
      <c r="F13" s="1558">
        <f>countifs(JoinG3,"&gt;="&amp;DATE(2024,1,22),JoinG3,"&lt;="&amp;DATE(2024,1,26))+countifs(QuitGrade,"3",QStart,"&gt;="&amp;DATE(2024,1,22),QStart,"&lt;="&amp;DATE(2024,1,26))</f>
        <v>0</v>
      </c>
      <c r="G13" s="1565">
        <f>countifs(QuitGrade,"3",QuitDate,"&gt;="&amp;DATE(2024,1,22),QuitDate,"&lt;="&amp;DATE(2024,1,26))</f>
        <v>0</v>
      </c>
      <c r="H13" s="1558">
        <f>countifs(JoinG4,"&gt;="&amp;DATE(2024,1,22),JoinG4,"&lt;="&amp;DATE(2024,1,26))+countifs(QuitGrade,"4",QStart,"&gt;="&amp;DATE(2024,1,22),QStart,"&lt;="&amp;DATE(2024,1,26))</f>
        <v>0</v>
      </c>
      <c r="I13" s="1565">
        <f>countifs(QuitGrade,"4",QuitDate,"&gt;="&amp;DATE(2024,1,22),QuitDate,"&lt;="&amp;DATE(2024,1,26))</f>
        <v>0</v>
      </c>
      <c r="J13" s="1558">
        <f>countifs(JoinG5,"&gt;="&amp;DATE(2024,1,22),JoinG5,"&lt;="&amp;DATE(2024,1,26))+countifs(QuitGrade,"5",QStart,"&gt;="&amp;DATE(2024,1,22),QStart,"&lt;="&amp;DATE(2024,1,26))</f>
        <v>0</v>
      </c>
      <c r="K13" s="1565">
        <f>countifs(QuitGrade,"5",QuitDate,"&gt;="&amp;DATE(2024,1,22),QuitDate,"&lt;="&amp;DATE(2024,1,26))</f>
        <v>0</v>
      </c>
      <c r="L13" s="1558">
        <f>countifs(JoinG7,"&gt;="&amp;DATE(2024,1,22),JoinG7,"&lt;="&amp;DATE(2024,1,26))+countifs(QuitGrade,"7",QStart,"&gt;="&amp;DATE(2024,1,22),QStart,"&lt;="&amp;DATE(2024,1,26))</f>
        <v>0</v>
      </c>
      <c r="M13" s="1565">
        <f>countifs(QuitGrade,"7",QuitDate,"&gt;="&amp;DATE(2024,1,22),QuitDate,"&lt;="&amp;DATE(2024,1,26))</f>
        <v>0</v>
      </c>
      <c r="N13" s="1566">
        <f t="shared" ref="N13:O13" si="9">sum(B13,D13,F13,H13,J13,L13)</f>
        <v>2</v>
      </c>
      <c r="O13" s="1567">
        <f t="shared" si="9"/>
        <v>0</v>
      </c>
      <c r="P13" s="1562">
        <f t="shared" si="4"/>
        <v>2</v>
      </c>
      <c r="Q13" s="396"/>
      <c r="R13" s="1568" t="s">
        <v>2398</v>
      </c>
      <c r="S13" s="1558">
        <f>countifs(JoinG1,"&gt;="&amp;DATE(2024,7,22),JoinG1,"&lt;="&amp;DATE(2024,7,26))+countifs(QuitGrade,"1",QStart,"&gt;="&amp;DATE(2024,7,22),QStart,"&lt;="&amp;DATE(2024,7,26))</f>
        <v>1</v>
      </c>
      <c r="T13" s="1559">
        <f>countifs(QuitGrade,"1",QuitDate,"&gt;="&amp;DATE(2024,7,22),QuitDate,"&lt;="&amp;DATE(2024,7,26))</f>
        <v>0</v>
      </c>
      <c r="U13" s="1558">
        <f>countifs(JoinG2,"&gt;="&amp;DATE(2024,7,22),JoinG2,"&lt;="&amp;DATE(2024,7,26))+countifs(QuitGrade,"2",QStart,"&gt;="&amp;DATE(2024,7,22),QStart,"&lt;="&amp;DATE(2024,7,26))</f>
        <v>1</v>
      </c>
      <c r="V13" s="1559">
        <f>countifs(QuitGrade,"2",QuitDate,"&gt;="&amp;DATE(2024,7,22),QuitDate,"&lt;="&amp;DATE(2024,7,26))</f>
        <v>0</v>
      </c>
      <c r="W13" s="1558">
        <f>countifs(JoinG3,"&gt;="&amp;DATE(2024,7,22),JoinG3,"&lt;="&amp;DATE(2024,7,26))+countifs(QuitGrade,"3",QStart,"&gt;="&amp;DATE(2024,7,22),QStart,"&lt;="&amp;DATE(2024,7,26))</f>
        <v>0</v>
      </c>
      <c r="X13" s="1559">
        <f>countifs(QuitGrade,"3",QuitDate,"&gt;="&amp;DATE(2024,7,22),QuitDate,"&lt;="&amp;DATE(2024,7,26))</f>
        <v>0</v>
      </c>
      <c r="Y13" s="1558">
        <f>countifs(JoinG4,"&gt;="&amp;DATE(2024,7,22),JoinG4,"&lt;="&amp;DATE(2024,7,26))+countifs(QuitGrade,"4",QStart,"&gt;="&amp;DATE(2024,7,22),QStart,"&lt;="&amp;DATE(2024,7,26))</f>
        <v>0</v>
      </c>
      <c r="Z13" s="1559">
        <f>countifs(QuitGrade,"4",QuitDate,"&gt;="&amp;DATE(2024,7,22),QuitDate,"&lt;="&amp;DATE(2024,7,26))</f>
        <v>0</v>
      </c>
      <c r="AA13" s="1558">
        <f>countifs(JoinG5,"&gt;="&amp;DATE(2024,7,22),JoinG5,"&lt;="&amp;DATE(2024,7,26))+countifs(QuitGrade,"5",QStart,"&gt;="&amp;DATE(2024,7,22),QStart,"&lt;="&amp;DATE(2024,7,26))</f>
        <v>0</v>
      </c>
      <c r="AB13" s="1559">
        <f>countifs(QuitGrade,"5",QuitDate,"&gt;="&amp;DATE(2024,7,22),QuitDate,"&lt;="&amp;DATE(2024,7,26))</f>
        <v>0</v>
      </c>
      <c r="AC13" s="1558">
        <f>countifs(JoinG7,"&gt;="&amp;DATE(2024,7,22),JoinG7,"&lt;="&amp;DATE(2024,7,26))+countifs(QuitGrade,"7",QStart,"&gt;="&amp;DATE(2024,7,22),QStart,"&lt;="&amp;DATE(2024,7,26))</f>
        <v>0</v>
      </c>
      <c r="AD13" s="1559">
        <f>countifs(QuitGrade,"7",QuitDate,"&gt;="&amp;DATE(2024,7,22),QuitDate,"&lt;="&amp;DATE(2024,7,26))</f>
        <v>0</v>
      </c>
      <c r="AE13" s="1560">
        <f t="shared" ref="AE13:AF13" si="10">sum(S13,U13,W13,Y13,AA13,AC13)</f>
        <v>2</v>
      </c>
      <c r="AF13" s="1567">
        <f t="shared" si="10"/>
        <v>0</v>
      </c>
      <c r="AG13" s="1564">
        <f t="shared" si="6"/>
        <v>2</v>
      </c>
      <c r="AH13" s="396"/>
      <c r="AI13" s="396"/>
      <c r="AJ13" s="396"/>
      <c r="AK13" s="396"/>
      <c r="AL13" s="396"/>
      <c r="AM13" s="396"/>
      <c r="AN13" s="396"/>
    </row>
    <row r="14">
      <c r="A14" s="1569" t="s">
        <v>2399</v>
      </c>
      <c r="B14" s="1570">
        <f>countifs(JoinG1,"&gt;="&amp;DATE(2024,1,29),JoinG1,"&lt;="&amp;DATE(2024,1,31))+countifs(QuitGrade,"1",QStart,"&gt;="&amp;DATE(2024,1,29),QStart,"&lt;="&amp;DATE(2024,1,31))</f>
        <v>0</v>
      </c>
      <c r="C14" s="1571">
        <f>countifs(QuitGrade,"1",QuitDate,"&gt;="&amp;DATE(2024,1,29),QuitDate,"&lt;="&amp;DATE(2024,1,31))</f>
        <v>0</v>
      </c>
      <c r="D14" s="1570">
        <f>countifs(JoinG2,"&gt;="&amp;DATE(2024,1,29),JoinG2,"&lt;="&amp;DATE(2024,1,31))+countifs(QuitGrade,"2",QStart,"&gt;="&amp;DATE(2024,1,29),QStart,"&lt;="&amp;DATE(2024,1,31))</f>
        <v>0</v>
      </c>
      <c r="E14" s="1571">
        <f>countifs(QuitGrade,"2",QuitDate,"&gt;="&amp;DATE(2024,1,29),QuitDate,"&lt;="&amp;DATE(2024,1,31))</f>
        <v>0</v>
      </c>
      <c r="F14" s="1570">
        <f>countifs(JoinG3,"&gt;="&amp;DATE(2024,1,29),JoinG3,"&lt;="&amp;DATE(2024,1,31))+countifs(QuitGrade,"3",QStart,"&gt;="&amp;DATE(2024,1,29),QStart,"&lt;="&amp;DATE(2024,1,31))</f>
        <v>0</v>
      </c>
      <c r="G14" s="1571">
        <f>countifs(QuitGrade,"3",QuitDate,"&gt;="&amp;DATE(2024,1,29),QuitDate,"&lt;="&amp;DATE(2024,1,31))</f>
        <v>0</v>
      </c>
      <c r="H14" s="1570">
        <f>countifs(JoinG4,"&gt;="&amp;DATE(2024,1,29),JoinG4,"&lt;="&amp;DATE(2024,1,31))+countifs(QuitGrade,"4",QStart,"&gt;="&amp;DATE(2024,1,29),QStart,"&lt;="&amp;DATE(2024,1,31))</f>
        <v>0</v>
      </c>
      <c r="I14" s="1571">
        <f>countifs(QuitGrade,"4",QuitDate,"&gt;="&amp;DATE(2024,1,29),QuitDate,"&lt;="&amp;DATE(2024,1,31))</f>
        <v>0</v>
      </c>
      <c r="J14" s="1570">
        <f>countifs(JoinG5,"&gt;="&amp;DATE(2024,1,29),JoinG5,"&lt;="&amp;DATE(2024,1,31))+countifs(QuitGrade,"5",QStart,"&gt;="&amp;DATE(2024,1,29),QStart,"&lt;="&amp;DATE(2024,1,31))</f>
        <v>0</v>
      </c>
      <c r="K14" s="1571">
        <f>countifs(QuitGrade,"5",QuitDate,"&gt;="&amp;DATE(2024,1,29),QuitDate,"&lt;="&amp;DATE(2024,1,31))</f>
        <v>0</v>
      </c>
      <c r="L14" s="1570">
        <f>countifs(JoinG7,"&gt;="&amp;DATE(2024,1,29),JoinG7,"&lt;="&amp;DATE(2024,1,31))+countifs(QuitGrade,"7",QStart,"&gt;="&amp;DATE(2024,1,29),QStart,"&lt;="&amp;DATE(2024,1,31))</f>
        <v>0</v>
      </c>
      <c r="M14" s="1571">
        <f>countifs(QuitGrade,"7",QuitDate,"&gt;="&amp;DATE(2024,1,29),QuitDate,"&lt;="&amp;DATE(2024,1,31))</f>
        <v>0</v>
      </c>
      <c r="N14" s="1566">
        <f t="shared" ref="N14:O14" si="11">sum(B14,D14,F14,H14,J14,L14)</f>
        <v>0</v>
      </c>
      <c r="O14" s="1567">
        <f t="shared" si="11"/>
        <v>0</v>
      </c>
      <c r="P14" s="1562">
        <f t="shared" si="4"/>
        <v>0</v>
      </c>
      <c r="Q14" s="396"/>
      <c r="R14" s="1572" t="s">
        <v>2400</v>
      </c>
      <c r="S14" s="1558">
        <f>countifs(JoinG1,"&gt;="&amp;DATE(2024,7,29),JoinG1,"&lt;="&amp;DATE(2024,7,31))+countifs(QuitGrade,"1",QStart,"&gt;="&amp;DATE(2024,7,29),QStart,"&lt;="&amp;DATE(2024,7,31))</f>
        <v>0</v>
      </c>
      <c r="T14" s="1559">
        <f>countifs(QuitGrade,"1",QuitDate,"&gt;="&amp;DATE(2024,7,29),QuitDate,"&lt;="&amp;DATE(2024,7,31))</f>
        <v>0</v>
      </c>
      <c r="U14" s="1558">
        <f>countifs(JoinG2,"&gt;="&amp;DATE(2024,7,29),JoinG2,"&lt;="&amp;DATE(2024,7,31))+countifs(QuitGrade,"2",QStart,"&gt;="&amp;DATE(2024,7,29),QStart,"&lt;="&amp;DATE(2024,7,31))</f>
        <v>0</v>
      </c>
      <c r="V14" s="1559">
        <f>countifs(QuitGrade,"2",QuitDate,"&gt;="&amp;DATE(2024,7,29),QuitDate,"&lt;="&amp;DATE(2024,7,31))</f>
        <v>0</v>
      </c>
      <c r="W14" s="1558">
        <f>countifs(JoinG3,"&gt;="&amp;DATE(2024,7,29),JoinG3,"&lt;="&amp;DATE(2024,7,31))+countifs(QuitGrade,"3",QStart,"&gt;="&amp;DATE(2024,7,29),QStart,"&lt;="&amp;DATE(2024,7,31))</f>
        <v>0</v>
      </c>
      <c r="X14" s="1559">
        <f>countifs(QuitGrade,"3",QuitDate,"&gt;="&amp;DATE(2024,7,29),QuitDate,"&lt;="&amp;DATE(2024,7,31))</f>
        <v>0</v>
      </c>
      <c r="Y14" s="1558">
        <f>countifs(JoinG4,"&gt;="&amp;DATE(2024,7,29),JoinG4,"&lt;="&amp;DATE(2024,7,31))+countifs(QuitGrade,"4",QStart,"&gt;="&amp;DATE(2024,7,29),QStart,"&lt;="&amp;DATE(2024,7,31))</f>
        <v>0</v>
      </c>
      <c r="Z14" s="1559">
        <f>countifs(QuitGrade,"4",QuitDate,"&gt;="&amp;DATE(2024,7,29),QuitDate,"&lt;="&amp;DATE(2024,7,31))</f>
        <v>0</v>
      </c>
      <c r="AA14" s="1558">
        <f>countifs(JoinG5,"&gt;="&amp;DATE(2024,7,29),JoinG5,"&lt;="&amp;DATE(2024,7,31))+countifs(QuitGrade,"5",QStart,"&gt;="&amp;DATE(2024,7,29),QStart,"&lt;="&amp;DATE(2024,7,31))</f>
        <v>0</v>
      </c>
      <c r="AB14" s="1559">
        <f>countifs(QuitGrade,"5",QuitDate,"&gt;="&amp;DATE(2024,7,29),QuitDate,"&lt;="&amp;DATE(2024,7,31))</f>
        <v>0</v>
      </c>
      <c r="AC14" s="1558">
        <f>countifs(JoinG7,"&gt;="&amp;DATE(2024,7,29),JoinG7,"&lt;="&amp;DATE(2024,7,31))+countifs(QuitGrade,"7",QStart,"&gt;="&amp;DATE(2024,7,29),QStart,"&lt;="&amp;DATE(2024,7,31))</f>
        <v>0</v>
      </c>
      <c r="AD14" s="1559">
        <f>countifs(QuitGrade,"7",QuitDate,"&gt;="&amp;DATE(2024,7,29),QuitDate,"&lt;="&amp;DATE(2024,7,31))</f>
        <v>0</v>
      </c>
      <c r="AE14" s="1560">
        <f t="shared" ref="AE14:AF14" si="12">sum(S14,U14,W14,Y14,AA14,AC14)</f>
        <v>0</v>
      </c>
      <c r="AF14" s="1567">
        <f t="shared" si="12"/>
        <v>0</v>
      </c>
      <c r="AG14" s="1564">
        <f t="shared" si="6"/>
        <v>0</v>
      </c>
      <c r="AH14" s="396"/>
      <c r="AI14" s="396"/>
      <c r="AJ14" s="396"/>
      <c r="AK14" s="396"/>
      <c r="AL14" s="396"/>
      <c r="AM14" s="396"/>
      <c r="AN14" s="396"/>
    </row>
    <row r="15">
      <c r="A15" s="1573" t="s">
        <v>182</v>
      </c>
      <c r="B15" s="1574">
        <f t="shared" ref="B15:F15" si="13">sum(B10:B14)</f>
        <v>36</v>
      </c>
      <c r="C15" s="1575">
        <f t="shared" si="13"/>
        <v>0</v>
      </c>
      <c r="D15" s="1576">
        <f t="shared" si="13"/>
        <v>10</v>
      </c>
      <c r="E15" s="1577">
        <f t="shared" si="13"/>
        <v>0</v>
      </c>
      <c r="F15" s="1574">
        <f t="shared" si="13"/>
        <v>2</v>
      </c>
      <c r="G15" s="1575">
        <f>sum(G30:G34)</f>
        <v>0</v>
      </c>
      <c r="H15" s="1576">
        <f t="shared" ref="H15:P15" si="14">sum(H10:H14)</f>
        <v>1</v>
      </c>
      <c r="I15" s="1577">
        <f t="shared" si="14"/>
        <v>0</v>
      </c>
      <c r="J15" s="1574">
        <f t="shared" si="14"/>
        <v>1</v>
      </c>
      <c r="K15" s="1575">
        <f t="shared" si="14"/>
        <v>0</v>
      </c>
      <c r="L15" s="1576">
        <f t="shared" si="14"/>
        <v>0</v>
      </c>
      <c r="M15" s="1578">
        <f t="shared" si="14"/>
        <v>0</v>
      </c>
      <c r="N15" s="1579">
        <f t="shared" si="14"/>
        <v>50</v>
      </c>
      <c r="O15" s="1580">
        <f t="shared" si="14"/>
        <v>0</v>
      </c>
      <c r="P15" s="1581">
        <f t="shared" si="14"/>
        <v>50</v>
      </c>
      <c r="Q15" s="396"/>
      <c r="R15" s="1573" t="s">
        <v>182</v>
      </c>
      <c r="S15" s="1582">
        <f t="shared" ref="S15:AG15" si="15">sum(S10:S14)</f>
        <v>2</v>
      </c>
      <c r="T15" s="1583">
        <f t="shared" si="15"/>
        <v>0</v>
      </c>
      <c r="U15" s="1584">
        <f t="shared" si="15"/>
        <v>5</v>
      </c>
      <c r="V15" s="1583">
        <f t="shared" si="15"/>
        <v>0</v>
      </c>
      <c r="W15" s="1582">
        <f t="shared" si="15"/>
        <v>0</v>
      </c>
      <c r="X15" s="1583">
        <f t="shared" si="15"/>
        <v>0</v>
      </c>
      <c r="Y15" s="1584">
        <f t="shared" si="15"/>
        <v>0</v>
      </c>
      <c r="Z15" s="1583">
        <f t="shared" si="15"/>
        <v>0</v>
      </c>
      <c r="AA15" s="1582">
        <f t="shared" si="15"/>
        <v>0</v>
      </c>
      <c r="AB15" s="1583">
        <f t="shared" si="15"/>
        <v>0</v>
      </c>
      <c r="AC15" s="1584">
        <f t="shared" si="15"/>
        <v>0</v>
      </c>
      <c r="AD15" s="1583">
        <f t="shared" si="15"/>
        <v>0</v>
      </c>
      <c r="AE15" s="1585">
        <f t="shared" si="15"/>
        <v>7</v>
      </c>
      <c r="AF15" s="1586">
        <f t="shared" si="15"/>
        <v>0</v>
      </c>
      <c r="AG15" s="1587">
        <f t="shared" si="15"/>
        <v>7</v>
      </c>
      <c r="AH15" s="396"/>
      <c r="AI15" s="396"/>
      <c r="AJ15" s="396"/>
      <c r="AK15" s="396"/>
      <c r="AL15" s="396"/>
      <c r="AM15" s="396"/>
      <c r="AN15" s="396"/>
    </row>
    <row r="16">
      <c r="A16" s="396"/>
      <c r="B16" s="396"/>
      <c r="C16" s="396"/>
      <c r="D16" s="396"/>
      <c r="E16" s="396"/>
      <c r="F16" s="396"/>
      <c r="G16" s="396"/>
      <c r="H16" s="396"/>
      <c r="I16" s="396"/>
      <c r="J16" s="396"/>
      <c r="K16" s="396"/>
      <c r="L16" s="396"/>
      <c r="M16" s="396"/>
      <c r="N16" s="396"/>
      <c r="O16" s="396"/>
      <c r="P16" s="1588"/>
      <c r="Q16" s="396"/>
      <c r="R16" s="1539"/>
      <c r="S16" s="396"/>
      <c r="T16" s="396"/>
      <c r="U16" s="396"/>
      <c r="V16" s="396"/>
      <c r="W16" s="396"/>
      <c r="X16" s="396"/>
      <c r="Y16" s="396"/>
      <c r="Z16" s="396"/>
      <c r="AA16" s="396"/>
      <c r="AB16" s="396"/>
      <c r="AC16" s="396"/>
      <c r="AD16" s="396"/>
      <c r="AE16" s="1589"/>
      <c r="AF16" s="1589"/>
      <c r="AG16" s="1590"/>
      <c r="AH16" s="396"/>
      <c r="AI16" s="396"/>
      <c r="AJ16" s="396"/>
      <c r="AK16" s="396"/>
      <c r="AL16" s="396"/>
      <c r="AM16" s="396"/>
      <c r="AN16" s="396"/>
    </row>
    <row r="17">
      <c r="A17" s="1540">
        <v>45323.0</v>
      </c>
      <c r="B17" s="396"/>
      <c r="C17" s="396"/>
      <c r="D17" s="396"/>
      <c r="E17" s="396"/>
      <c r="F17" s="396"/>
      <c r="G17" s="396"/>
      <c r="H17" s="396"/>
      <c r="I17" s="396"/>
      <c r="J17" s="396"/>
      <c r="K17" s="396"/>
      <c r="L17" s="396"/>
      <c r="M17" s="396"/>
      <c r="N17" s="396"/>
      <c r="O17" s="396"/>
      <c r="P17" s="396"/>
      <c r="Q17" s="1541"/>
      <c r="R17" s="1591">
        <v>45505.0</v>
      </c>
      <c r="S17" s="396"/>
      <c r="T17" s="396"/>
      <c r="U17" s="396"/>
      <c r="V17" s="396"/>
      <c r="W17" s="396"/>
      <c r="X17" s="396"/>
      <c r="Y17" s="396"/>
      <c r="Z17" s="396"/>
      <c r="AA17" s="396"/>
      <c r="AB17" s="396"/>
      <c r="AC17" s="396"/>
      <c r="AD17" s="396"/>
      <c r="AE17" s="396"/>
      <c r="AF17" s="396"/>
      <c r="AG17" s="396"/>
      <c r="AH17" s="396"/>
      <c r="AI17" s="396"/>
      <c r="AJ17" s="396"/>
      <c r="AK17" s="396"/>
      <c r="AL17" s="396"/>
      <c r="AM17" s="396"/>
      <c r="AN17" s="396"/>
    </row>
    <row r="18">
      <c r="A18" s="396"/>
      <c r="B18" s="396"/>
      <c r="C18" s="396"/>
      <c r="D18" s="396"/>
      <c r="E18" s="396"/>
      <c r="F18" s="396"/>
      <c r="G18" s="396"/>
      <c r="H18" s="396"/>
      <c r="I18" s="396"/>
      <c r="J18" s="396"/>
      <c r="K18" s="396"/>
      <c r="L18" s="396"/>
      <c r="M18" s="396"/>
      <c r="N18" s="396"/>
      <c r="O18" s="396"/>
      <c r="P18" s="396"/>
      <c r="Q18" s="396"/>
      <c r="R18" s="396"/>
      <c r="S18" s="396"/>
      <c r="T18" s="396"/>
      <c r="U18" s="396"/>
      <c r="V18" s="396"/>
      <c r="W18" s="396"/>
      <c r="X18" s="396"/>
      <c r="Y18" s="396"/>
      <c r="Z18" s="396"/>
      <c r="AA18" s="396"/>
      <c r="AB18" s="396"/>
      <c r="AC18" s="396"/>
      <c r="AD18" s="396"/>
      <c r="AE18" s="396"/>
      <c r="AF18" s="396"/>
      <c r="AG18" s="396"/>
      <c r="AH18" s="396"/>
      <c r="AI18" s="396"/>
      <c r="AJ18" s="396"/>
      <c r="AK18" s="396"/>
      <c r="AL18" s="396"/>
      <c r="AM18" s="396"/>
      <c r="AN18" s="396"/>
    </row>
    <row r="19">
      <c r="A19" s="1549" t="s">
        <v>2388</v>
      </c>
      <c r="B19" s="1544" t="s">
        <v>2381</v>
      </c>
      <c r="C19" s="1545"/>
      <c r="D19" s="1544" t="s">
        <v>2382</v>
      </c>
      <c r="E19" s="1545"/>
      <c r="F19" s="1544" t="s">
        <v>2383</v>
      </c>
      <c r="G19" s="1545"/>
      <c r="H19" s="1544" t="s">
        <v>2384</v>
      </c>
      <c r="I19" s="1545"/>
      <c r="J19" s="1544" t="s">
        <v>2385</v>
      </c>
      <c r="K19" s="1545"/>
      <c r="L19" s="1544" t="s">
        <v>2386</v>
      </c>
      <c r="M19" s="1545"/>
      <c r="N19" s="1547" t="s">
        <v>182</v>
      </c>
      <c r="O19" s="1545"/>
      <c r="P19" s="1548" t="s">
        <v>2387</v>
      </c>
      <c r="Q19" s="396"/>
      <c r="R19" s="1549" t="s">
        <v>2388</v>
      </c>
      <c r="S19" s="1544" t="s">
        <v>2381</v>
      </c>
      <c r="T19" s="1545"/>
      <c r="U19" s="1544" t="s">
        <v>2382</v>
      </c>
      <c r="V19" s="1545"/>
      <c r="W19" s="1544" t="s">
        <v>2383</v>
      </c>
      <c r="X19" s="1545"/>
      <c r="Y19" s="1544" t="s">
        <v>2384</v>
      </c>
      <c r="Z19" s="1545"/>
      <c r="AA19" s="1544" t="s">
        <v>2385</v>
      </c>
      <c r="AB19" s="1545"/>
      <c r="AC19" s="1544" t="s">
        <v>2386</v>
      </c>
      <c r="AD19" s="1545"/>
      <c r="AE19" s="1547" t="s">
        <v>182</v>
      </c>
      <c r="AF19" s="1545"/>
      <c r="AG19" s="1548" t="s">
        <v>2387</v>
      </c>
      <c r="AH19" s="396"/>
      <c r="AI19" s="396"/>
      <c r="AJ19" s="396"/>
      <c r="AK19" s="396"/>
      <c r="AL19" s="396"/>
      <c r="AM19" s="396"/>
      <c r="AN19" s="396"/>
    </row>
    <row r="20">
      <c r="A20" s="1550"/>
      <c r="B20" s="1557" t="s">
        <v>2389</v>
      </c>
      <c r="C20" s="1552" t="s">
        <v>2390</v>
      </c>
      <c r="D20" s="1557" t="s">
        <v>2389</v>
      </c>
      <c r="E20" s="1552" t="s">
        <v>2390</v>
      </c>
      <c r="F20" s="1557" t="s">
        <v>2389</v>
      </c>
      <c r="G20" s="1552" t="s">
        <v>2390</v>
      </c>
      <c r="H20" s="1557" t="s">
        <v>2389</v>
      </c>
      <c r="I20" s="1552" t="s">
        <v>2390</v>
      </c>
      <c r="J20" s="1557" t="s">
        <v>2389</v>
      </c>
      <c r="K20" s="1552" t="s">
        <v>2390</v>
      </c>
      <c r="L20" s="1557" t="s">
        <v>2389</v>
      </c>
      <c r="M20" s="1552" t="s">
        <v>2390</v>
      </c>
      <c r="N20" s="1554" t="s">
        <v>2389</v>
      </c>
      <c r="O20" s="1555" t="s">
        <v>2390</v>
      </c>
      <c r="P20" s="1556"/>
      <c r="Q20" s="396"/>
      <c r="R20" s="1550"/>
      <c r="S20" s="1557" t="s">
        <v>2389</v>
      </c>
      <c r="T20" s="1552" t="s">
        <v>2390</v>
      </c>
      <c r="U20" s="1557" t="s">
        <v>2389</v>
      </c>
      <c r="V20" s="1552" t="s">
        <v>2390</v>
      </c>
      <c r="W20" s="1557" t="s">
        <v>2389</v>
      </c>
      <c r="X20" s="1552" t="s">
        <v>2390</v>
      </c>
      <c r="Y20" s="1557" t="s">
        <v>2389</v>
      </c>
      <c r="Z20" s="1552" t="s">
        <v>2390</v>
      </c>
      <c r="AA20" s="1557" t="s">
        <v>2389</v>
      </c>
      <c r="AB20" s="1552" t="s">
        <v>2390</v>
      </c>
      <c r="AC20" s="1557" t="s">
        <v>2389</v>
      </c>
      <c r="AD20" s="1552" t="s">
        <v>2390</v>
      </c>
      <c r="AE20" s="1592" t="s">
        <v>2389</v>
      </c>
      <c r="AF20" s="1593" t="s">
        <v>2390</v>
      </c>
      <c r="AG20" s="1594"/>
      <c r="AH20" s="396"/>
      <c r="AI20" s="396"/>
      <c r="AJ20" s="396"/>
      <c r="AK20" s="396"/>
      <c r="AL20" s="396"/>
      <c r="AM20" s="396"/>
      <c r="AN20" s="396"/>
    </row>
    <row r="21">
      <c r="A21" s="1515" t="s">
        <v>2401</v>
      </c>
      <c r="B21" s="1558">
        <f>countifs(JoinG1,"&gt;="&amp;DATE(2024,2,1),JoinG1,"&lt;="&amp;DATE(2024,2,2))+countifs(QuitGrade,"1",QStart,"&gt;="&amp;DATE(2024,2,1),QStart,"&lt;="&amp;DATE(2024,2,2))</f>
        <v>0</v>
      </c>
      <c r="C21" s="1559">
        <f>countifs(QuitGrade,"1",QuitDate,"&gt;="&amp;DATE(2024,2,1),QuitDate,"&lt;="&amp;DATE(2024,2,2))</f>
        <v>0</v>
      </c>
      <c r="D21" s="1558">
        <f>countifs(JoinG2,"&gt;="&amp;DATE(2024,2,1),JoinG2,"&lt;="&amp;DATE(2024,2,2))+countifs(QuitGrade,"2",QStart,"&gt;="&amp;DATE(2024,2,1),QStart,"&lt;="&amp;DATE(2024,2,2))</f>
        <v>0</v>
      </c>
      <c r="E21" s="1559">
        <f>countifs(QuitGrade,"2",QuitDate,"&gt;="&amp;DATE(2024,2,1),QuitDate,"&lt;="&amp;DATE(2024,2,2))</f>
        <v>0</v>
      </c>
      <c r="F21" s="1558">
        <f>countifs(JoinG3,"&gt;="&amp;DATE(2024,2,1),JoinG3,"&lt;="&amp;DATE(2024,2,2))+countifs(QuitGrade,"3",QStart,"&gt;="&amp;DATE(2024,2,1),QStart,"&lt;="&amp;DATE(2024,2,2))</f>
        <v>3</v>
      </c>
      <c r="G21" s="1559">
        <f>countifs(QuitGrade,"3",QuitDate,"&gt;="&amp;DATE(2024,2,1),QuitDate,"&lt;="&amp;DATE(2024,2,2))</f>
        <v>0</v>
      </c>
      <c r="H21" s="1558">
        <f>countifs(JoinG4,"&gt;="&amp;DATE(2024,2,1),JoinG4,"&lt;="&amp;DATE(2024,2,2))+countifs(QuitGrade,"4",QStart,"&gt;="&amp;DATE(2024,2,1),QStart,"&lt;="&amp;DATE(2024,2,2))</f>
        <v>2</v>
      </c>
      <c r="I21" s="1559">
        <f>countifs(QuitGrade,"4",QuitDate,"&gt;="&amp;DATE(2024,2,1),QuitDate,"&lt;="&amp;DATE(2024,2,2))</f>
        <v>0</v>
      </c>
      <c r="J21" s="1558">
        <f>countifs(JoinG5,"&gt;="&amp;DATE(2024,2,1),JoinG5,"&lt;="&amp;DATE(2024,2,2))+countifs(QuitGrade,"5",QStart,"&gt;="&amp;DATE(2024,2,1),QStart,"&lt;="&amp;DATE(2024,2,2))</f>
        <v>0</v>
      </c>
      <c r="K21" s="1559">
        <f>countifs(QuitGrade,"5",QuitDate,"&gt;="&amp;DATE(2024,2,1),QuitDate,"&lt;="&amp;DATE(2024,2,2))</f>
        <v>0</v>
      </c>
      <c r="L21" s="1558">
        <f>countifs(JoinG7,"&gt;="&amp;DATE(2024,2,1),JoinG7,"&lt;="&amp;DATE(2024,2,2))+countifs(QuitGrade,"7",QStart,"&gt;="&amp;DATE(2024,2,1),QStart,"&lt;="&amp;DATE(2024,2,2))</f>
        <v>0</v>
      </c>
      <c r="M21" s="1559">
        <f>countifs(QuitGrade,"7",QuitDate,"&gt;="&amp;DATE(2024,2,1),QuitDate,"&lt;="&amp;DATE(2024,2,2))</f>
        <v>0</v>
      </c>
      <c r="N21" s="1560">
        <f t="shared" ref="N21:O21" si="16">sum(B21,D21,F21,H21,J21,L21)</f>
        <v>5</v>
      </c>
      <c r="O21" s="1561">
        <f t="shared" si="16"/>
        <v>0</v>
      </c>
      <c r="P21" s="1564">
        <f t="shared" ref="P21:P25" si="19">minus(N21,O21)</f>
        <v>5</v>
      </c>
      <c r="Q21" s="396"/>
      <c r="R21" s="1595" t="s">
        <v>2402</v>
      </c>
      <c r="S21" s="1558">
        <f>countifs(JoinG1,"&gt;="&amp;DATE(2024,8,1),JoinG1,"&lt;="&amp;DATE(2024,8,2))+countifs(QuitGrade,"1",QStart,"&gt;="&amp;DATE(2024,8,1),QStart,"&lt;="&amp;DATE(2024,8,2))</f>
        <v>0</v>
      </c>
      <c r="T21" s="1559">
        <f>countifs(QuitGrade,"1",QuitDate,"&gt;="&amp;DATE(2024,8,1),QuitDate,"&lt;="&amp;DATE(2024,8,2))</f>
        <v>0</v>
      </c>
      <c r="U21" s="1558">
        <f>countifs(JoinG2,"&gt;="&amp;DATE(2024,8,1),JoinG2,"&lt;="&amp;DATE(2024,8,2))+countifs(QuitGrade,"2",QStart,"&gt;="&amp;DATE(2024,8,1),QStart,"&lt;="&amp;DATE(2024,8,2))</f>
        <v>0</v>
      </c>
      <c r="V21" s="1559">
        <f>countifs(QuitGrade,"2",QuitDate,"&gt;="&amp;DATE(2024,8,1),QuitDate,"&lt;="&amp;DATE(2024,8,2))</f>
        <v>0</v>
      </c>
      <c r="W21" s="1558">
        <f>countifs(JoinG3,"&gt;="&amp;DATE(2024,8,1),JoinG3,"&lt;="&amp;DATE(2024,8,2))+countifs(QuitGrade,"3",QStart,"&gt;="&amp;DATE(2024,8,1),QStart,"&lt;="&amp;DATE(2024,8,2))</f>
        <v>2</v>
      </c>
      <c r="X21" s="1559">
        <f>countifs(QuitGrade,"3",QuitDate,"&gt;="&amp;DATE(2024,8,1),QuitDate,"&lt;="&amp;DATE(2024,8,2))</f>
        <v>0</v>
      </c>
      <c r="Y21" s="1558">
        <f>countifs(JoinG4,"&gt;="&amp;DATE(2024,8,1),JoinG4,"&lt;="&amp;DATE(2024,8,2))+countifs(QuitGrade,"4",QStart,"&gt;="&amp;DATE(2024,8,1),QStart,"&lt;="&amp;DATE(2024,8,2))</f>
        <v>0</v>
      </c>
      <c r="Z21" s="1559">
        <f>countifs(QuitGrade,"4",QuitDate,"&gt;="&amp;DATE(2024,8,1),QuitDate,"&lt;="&amp;DATE(2024,8,2))</f>
        <v>0</v>
      </c>
      <c r="AA21" s="1558">
        <f>countifs(JoinG5,"&gt;="&amp;DATE(2024,8,1),JoinG5,"&lt;="&amp;DATE(2024,8,2))+countifs(QuitGrade,"5",QStart,"&gt;="&amp;DATE(2024,8,1),QStart,"&lt;="&amp;DATE(2024,8,2))</f>
        <v>0</v>
      </c>
      <c r="AB21" s="1559">
        <f>countifs(QuitGrade,"5",QuitDate,"&gt;="&amp;DATE(2024,8,1),QuitDate,"&lt;="&amp;DATE(2024,8,2))</f>
        <v>0</v>
      </c>
      <c r="AC21" s="1558">
        <f>countifs(JoinG7,"&gt;="&amp;DATE(2024,8,1),JoinG7,"&lt;="&amp;DATE(2024,8,2))+countifs(QuitGrade,"7",QStart,"&gt;="&amp;DATE(2024,8,1),QStart,"&lt;="&amp;DATE(2024,8,2))</f>
        <v>0</v>
      </c>
      <c r="AD21" s="1559">
        <f>countifs(QuitGrade,"7",QuitDate,"&gt;="&amp;DATE(2024,8,1),QuitDate,"&lt;="&amp;DATE(2024,8,2))</f>
        <v>0</v>
      </c>
      <c r="AE21" s="1596">
        <f t="shared" ref="AE21:AF21" si="17">sum(S21,U21,W21,Y21,AA21,AC21)</f>
        <v>2</v>
      </c>
      <c r="AF21" s="1597">
        <f t="shared" si="17"/>
        <v>0</v>
      </c>
      <c r="AG21" s="1598">
        <f t="shared" ref="AG21:AG25" si="21">minus(AE21,AF21)</f>
        <v>2</v>
      </c>
      <c r="AH21" s="396"/>
      <c r="AI21" s="396"/>
      <c r="AJ21" s="396"/>
      <c r="AK21" s="396"/>
      <c r="AL21" s="396"/>
      <c r="AM21" s="396"/>
      <c r="AN21" s="396"/>
    </row>
    <row r="22">
      <c r="A22" s="1234" t="s">
        <v>2403</v>
      </c>
      <c r="B22" s="1558">
        <f>countifs(JoinG1,"&gt;="&amp;DATE(2024,2,5),JoinG1,"&lt;="&amp;DATE(2024,2,9))+countifs(QuitGrade,"1",QStart,"&gt;="&amp;DATE(2024,2,5),QStart,"&lt;="&amp;DATE(2024,2,9))</f>
        <v>0</v>
      </c>
      <c r="C22" s="1559">
        <f>countifs(QuitGrade,"1",QuitDate,"&gt;="&amp;DATE(2024,2,5),QuitDate,"&lt;="&amp;DATE(2024,2,9))</f>
        <v>0</v>
      </c>
      <c r="D22" s="1558">
        <f>countifs(JoinG2,"&gt;="&amp;DATE(2024,2,5),JoinG2,"&lt;="&amp;DATE(2024,2,9))+countifs(QuitGrade,"2",QStart,"&gt;="&amp;DATE(2024,2,5),QStart,"&lt;="&amp;DATE(2024,2,9))</f>
        <v>0</v>
      </c>
      <c r="E22" s="1559">
        <f>countifs(QuitGrade,"2",QuitDate,"&gt;="&amp;DATE(2024,2,5),QuitDate,"&lt;="&amp;DATE(2024,2,9))</f>
        <v>0</v>
      </c>
      <c r="F22" s="1558">
        <f>countifs(JoinG3,"&gt;="&amp;DATE(2024,2,5),JoinG3,"&lt;="&amp;DATE(2024,2,9))+countifs(QuitGrade,"3",QStart,"&gt;="&amp;DATE(2024,2,5),QStart,"&lt;="&amp;DATE(2024,2,9))</f>
        <v>0</v>
      </c>
      <c r="G22" s="1559">
        <f>countifs(QuitGrade,"3",QuitDate,"&gt;="&amp;DATE(2024,2,5),QuitDate,"&lt;="&amp;DATE(2024,2,9))</f>
        <v>0</v>
      </c>
      <c r="H22" s="1558">
        <f>countifs(JoinG4,"&gt;="&amp;DATE(2024,2,5),JoinG4,"&lt;="&amp;DATE(2024,2,9))+countifs(QuitGrade,"4",QStart,"&gt;="&amp;DATE(2024,2,5),QStart,"&lt;="&amp;DATE(2024,2,9))</f>
        <v>0</v>
      </c>
      <c r="I22" s="1559">
        <f>countifs(QuitGrade,"4",QuitDate,"&gt;="&amp;DATE(2024,2,5),QuitDate,"&lt;="&amp;DATE(2024,2,9))</f>
        <v>0</v>
      </c>
      <c r="J22" s="1558">
        <f>countifs(JoinG5,"&gt;="&amp;DATE(2024,2,5),JoinG5,"&lt;="&amp;DATE(2024,2,9))+countifs(QuitGrade,"5",QStart,"&gt;="&amp;DATE(2024,2,5),QStart,"&lt;="&amp;DATE(2024,2,9))</f>
        <v>0</v>
      </c>
      <c r="K22" s="1559">
        <f>countifs(QuitGrade,"5",QuitDate,"&gt;="&amp;DATE(2024,2,5),QuitDate,"&lt;="&amp;DATE(2024,2,9))</f>
        <v>0</v>
      </c>
      <c r="L22" s="1558">
        <f>countifs(JoinG7,"&gt;="&amp;DATE(2024,2,5),JoinG7,"&lt;="&amp;DATE(2024,2,9))+countifs(QuitGrade,"7",QStart,"&gt;="&amp;DATE(2024,2,5),QStart,"&lt;="&amp;DATE(2024,2,9))</f>
        <v>0</v>
      </c>
      <c r="M22" s="1559">
        <f>countifs(QuitGrade,"7",QuitDate,"&gt;="&amp;DATE(2024,2,5),QuitDate,"&lt;="&amp;DATE(2024,2,9))</f>
        <v>0</v>
      </c>
      <c r="N22" s="1566">
        <f t="shared" ref="N22:O22" si="18">sum(B22,D22,F22,H22,J22,L22)</f>
        <v>0</v>
      </c>
      <c r="O22" s="1567">
        <f t="shared" si="18"/>
        <v>0</v>
      </c>
      <c r="P22" s="1564">
        <f t="shared" si="19"/>
        <v>0</v>
      </c>
      <c r="Q22" s="396"/>
      <c r="R22" s="1568" t="s">
        <v>2404</v>
      </c>
      <c r="S22" s="1558">
        <f>countifs(JoinG1,"&gt;="&amp;DATE(2024,8,5),JoinG1,"&lt;="&amp;DATE(2024,8,9))+countifs(QuitGrade,"1",QStart,"&gt;="&amp;DATE(2024,8,5),QStart,"&lt;="&amp;DATE(2024,8,9))</f>
        <v>0</v>
      </c>
      <c r="T22" s="1559">
        <f>countifs(QuitGrade,"1",QuitDate,"&gt;="&amp;DATE(2024,8,5),QuitDate,"&lt;="&amp;DATE(2024,8,9))</f>
        <v>0</v>
      </c>
      <c r="U22" s="1558">
        <f>countifs(JoinG2,"&gt;="&amp;DATE(2024,8,5),JoinG2,"&lt;="&amp;DATE(2024,8,9))+countifs(QuitGrade,"2",QStart,"&gt;="&amp;DATE(2024,8,5),QStart,"&lt;="&amp;DATE(2024,8,9))</f>
        <v>1</v>
      </c>
      <c r="V22" s="1559">
        <f>countifs(QuitGrade,"2",QuitDate,"&gt;="&amp;DATE(2024,8,5),QuitDate,"&lt;="&amp;DATE(2024,8,9))</f>
        <v>0</v>
      </c>
      <c r="W22" s="1558">
        <f>countifs(JoinG3,"&gt;="&amp;DATE(2024,8,5),JoinG3,"&lt;="&amp;DATE(2024,8,9))+countifs(QuitGrade,"3",QStart,"&gt;="&amp;DATE(2024,8,5),QStart,"&lt;="&amp;DATE(2024,8,9))</f>
        <v>0</v>
      </c>
      <c r="X22" s="1559">
        <f>countifs(QuitGrade,"3",QuitDate,"&gt;="&amp;DATE(2024,8,5),QuitDate,"&lt;="&amp;DATE(2024,8,9))</f>
        <v>0</v>
      </c>
      <c r="Y22" s="1558">
        <f>countifs(JoinG4,"&gt;="&amp;DATE(2024,8,5),JoinG4,"&lt;="&amp;DATE(2024,8,9))+countifs(QuitGrade,"4",QStart,"&gt;="&amp;DATE(2024,8,5),QStart,"&lt;="&amp;DATE(2024,8,9))</f>
        <v>0</v>
      </c>
      <c r="Z22" s="1559">
        <f>countifs(QuitGrade,"4",QuitDate,"&gt;="&amp;DATE(2024,8,5),QuitDate,"&lt;="&amp;DATE(2024,8,9))</f>
        <v>0</v>
      </c>
      <c r="AA22" s="1558">
        <f>countifs(JoinG5,"&gt;="&amp;DATE(2024,8,5),JoinG5,"&lt;="&amp;DATE(2024,8,9))+countifs(QuitGrade,"5",QStart,"&gt;="&amp;DATE(2024,8,5),QStart,"&lt;="&amp;DATE(2024,8,9))</f>
        <v>0</v>
      </c>
      <c r="AB22" s="1559">
        <f>countifs(QuitGrade,"5",QuitDate,"&gt;="&amp;DATE(2024,8,5),QuitDate,"&lt;="&amp;DATE(2024,8,9))</f>
        <v>0</v>
      </c>
      <c r="AC22" s="1558">
        <f>countifs(JoinG7,"&gt;="&amp;DATE(2024,8,5),JoinG7,"&lt;="&amp;DATE(2024,8,9))+countifs(QuitGrade,"7",QStart,"&gt;="&amp;DATE(2024,8,5),QStart,"&lt;="&amp;DATE(2024,8,9))</f>
        <v>0</v>
      </c>
      <c r="AD22" s="1559">
        <f>countifs(QuitGrade,"7",QuitDate,"&gt;="&amp;DATE(2024,8,5),QuitDate,"&lt;="&amp;DATE(2024,8,9))</f>
        <v>0</v>
      </c>
      <c r="AE22" s="1566">
        <f t="shared" ref="AE22:AF22" si="20">sum(S22,U22,W22,Y22,AA22,AC22)</f>
        <v>1</v>
      </c>
      <c r="AF22" s="1567">
        <f t="shared" si="20"/>
        <v>0</v>
      </c>
      <c r="AG22" s="1564">
        <f t="shared" si="21"/>
        <v>1</v>
      </c>
      <c r="AH22" s="396"/>
      <c r="AI22" s="396"/>
      <c r="AJ22" s="396"/>
      <c r="AK22" s="396"/>
      <c r="AL22" s="396"/>
      <c r="AM22" s="396"/>
      <c r="AN22" s="396"/>
    </row>
    <row r="23">
      <c r="A23" s="1234" t="s">
        <v>2405</v>
      </c>
      <c r="B23" s="1558">
        <f>countifs(JoinG1,"&gt;="&amp;DATE(2024,2,12),JoinG1,"&lt;="&amp;DATE(2024,2,16))+countifs(QuitGrade,"1",QStart,"&gt;="&amp;DATE(2024,2,12),QStart,"&lt;="&amp;DATE(2024,2,16))</f>
        <v>1</v>
      </c>
      <c r="C23" s="1559">
        <f>countifs(QuitGrade,"1",QuitDate,"&gt;="&amp;DATE(2024,2,12),QuitDate,"&lt;="&amp;DATE(2024,2,16))</f>
        <v>0</v>
      </c>
      <c r="D23" s="1558">
        <f>countifs(JoinG2,"&gt;="&amp;DATE(2024,2,12),JoinG2,"&lt;="&amp;DATE(2024,2,16))+countifs(QuitGrade,"2",QStart,"&gt;="&amp;DATE(2024,2,12),QStart,"&lt;="&amp;DATE(2024,2,16))</f>
        <v>2</v>
      </c>
      <c r="E23" s="1559">
        <f>countifs(QuitGrade,"2",QuitDate,"&gt;="&amp;DATE(2024,2,12),QuitDate,"&lt;="&amp;DATE(2024,2,16))</f>
        <v>0</v>
      </c>
      <c r="F23" s="1558">
        <f>countifs(JoinG3,"&gt;="&amp;DATE(2024,2,12),JoinG3,"&lt;="&amp;DATE(2024,2,16))+countifs(QuitGrade,"3",QStart,"&gt;="&amp;DATE(2024,2,12),QStart,"&lt;="&amp;DATE(2024,2,16))</f>
        <v>1</v>
      </c>
      <c r="G23" s="1559">
        <f>countifs(QuitGrade,"3",QuitDate,"&gt;="&amp;DATE(2024,2,12),QuitDate,"&lt;="&amp;DATE(2024,2,16))</f>
        <v>0</v>
      </c>
      <c r="H23" s="1558">
        <f>countifs(JoinG4,"&gt;="&amp;DATE(2024,2,12),JoinG4,"&lt;="&amp;DATE(2024,2,16))+countifs(QuitGrade,"4",QStart,"&gt;="&amp;DATE(2024,2,12),QStart,"&lt;="&amp;DATE(2024,2,16))</f>
        <v>0</v>
      </c>
      <c r="I23" s="1559">
        <f>countifs(QuitGrade,"4",QuitDate,"&gt;="&amp;DATE(2024,2,12),QuitDate,"&lt;="&amp;DATE(2024,2,16))</f>
        <v>0</v>
      </c>
      <c r="J23" s="1558">
        <f>countifs(JoinG5,"&gt;="&amp;DATE(2024,2,12),JoinG5,"&lt;="&amp;DATE(2024,2,16))+countifs(QuitGrade,"5",QStart,"&gt;="&amp;DATE(2024,2,12),QStart,"&lt;="&amp;DATE(2024,2,16))</f>
        <v>0</v>
      </c>
      <c r="K23" s="1559">
        <f>countifs(QuitGrade,"5",QuitDate,"&gt;="&amp;DATE(2024,2,12),QuitDate,"&lt;="&amp;DATE(2024,2,16))</f>
        <v>0</v>
      </c>
      <c r="L23" s="1558">
        <f>countifs(JoinG7,"&gt;="&amp;DATE(2024,2,12),JoinG7,"&lt;="&amp;DATE(2024,2,16))+countifs(QuitGrade,"7",QStart,"&gt;="&amp;DATE(2024,2,12),QStart,"&lt;="&amp;DATE(2024,2,16))</f>
        <v>0</v>
      </c>
      <c r="M23" s="1559">
        <f>countifs(QuitGrade,"7",QuitDate,"&gt;="&amp;DATE(2024,2,12),QuitDate,"&lt;="&amp;DATE(2024,2,16))</f>
        <v>0</v>
      </c>
      <c r="N23" s="1566">
        <f t="shared" ref="N23:O23" si="22">sum(B23,D23,F23,H23,J23,L23)</f>
        <v>4</v>
      </c>
      <c r="O23" s="1567">
        <f t="shared" si="22"/>
        <v>0</v>
      </c>
      <c r="P23" s="1564">
        <f t="shared" si="19"/>
        <v>4</v>
      </c>
      <c r="Q23" s="396"/>
      <c r="R23" s="1568" t="s">
        <v>2406</v>
      </c>
      <c r="S23" s="1558">
        <f>countifs(JoinG1,"&gt;="&amp;DATE(2024,8,12),JoinG1,"&lt;="&amp;DATE(2024,8,16))+countifs(QuitGrade,"1",QStart,"&gt;="&amp;DATE(2024,8,12),QStart,"&lt;="&amp;DATE(2024,8,16))</f>
        <v>1</v>
      </c>
      <c r="T23" s="1559">
        <f>countifs(QuitGrade,"1",QuitDate,"&gt;="&amp;DATE(2024,8,12),QuitDate,"&lt;="&amp;DATE(2024,8,16))</f>
        <v>0</v>
      </c>
      <c r="U23" s="1558">
        <f>countifs(JoinG2,"&gt;="&amp;DATE(2024,8,12),JoinG2,"&lt;="&amp;DATE(2024,8,16))+countifs(QuitGrade,"2",QStart,"&gt;="&amp;DATE(2024,8,12),QStart,"&lt;="&amp;DATE(2024,8,16))</f>
        <v>1</v>
      </c>
      <c r="V23" s="1559">
        <f>countifs(QuitGrade,"2",QuitDate,"&gt;="&amp;DATE(2024,8,12),QuitDate,"&lt;="&amp;DATE(2024,8,16))</f>
        <v>0</v>
      </c>
      <c r="W23" s="1558">
        <f>countifs(JoinG3,"&gt;="&amp;DATE(2024,8,12),JoinG3,"&lt;="&amp;DATE(2024,8,16))+countifs(QuitGrade,"3",QStart,"&gt;="&amp;DATE(2024,8,12),QStart,"&lt;="&amp;DATE(2024,8,16))</f>
        <v>1</v>
      </c>
      <c r="X23" s="1559">
        <f>countifs(QuitGrade,"3",QuitDate,"&gt;="&amp;DATE(2024,8,12),QuitDate,"&lt;="&amp;DATE(2024,8,16))</f>
        <v>0</v>
      </c>
      <c r="Y23" s="1558">
        <f>countifs(JoinG4,"&gt;="&amp;DATE(2024,8,12),JoinG4,"&lt;="&amp;DATE(2024,8,16))+countifs(QuitGrade,"4",QStart,"&gt;="&amp;DATE(2024,8,12),QStart,"&lt;="&amp;DATE(2024,8,16))</f>
        <v>2</v>
      </c>
      <c r="Z23" s="1559">
        <f>countifs(QuitGrade,"4",QuitDate,"&gt;="&amp;DATE(2024,8,12),QuitDate,"&lt;="&amp;DATE(2024,8,16))</f>
        <v>0</v>
      </c>
      <c r="AA23" s="1558">
        <f>countifs(JoinG5,"&gt;="&amp;DATE(2024,8,12),JoinG5,"&lt;="&amp;DATE(2024,8,16))+countifs(QuitGrade,"5",QStart,"&gt;="&amp;DATE(2024,8,12),QStart,"&lt;="&amp;DATE(2024,8,16))</f>
        <v>1</v>
      </c>
      <c r="AB23" s="1559">
        <f>countifs(QuitGrade,"5",QuitDate,"&gt;="&amp;DATE(2024,8,12),QuitDate,"&lt;="&amp;DATE(2024,8,16))</f>
        <v>0</v>
      </c>
      <c r="AC23" s="1558">
        <f>countifs(JoinG7,"&gt;="&amp;DATE(2024,8,12),JoinG7,"&lt;="&amp;DATE(2024,8,16))+countifs(QuitGrade,"7",QStart,"&gt;="&amp;DATE(2024,8,12),QStart,"&lt;="&amp;DATE(2024,8,16))</f>
        <v>0</v>
      </c>
      <c r="AD23" s="1559">
        <f>countifs(QuitGrade,"7",QuitDate,"&gt;="&amp;DATE(2024,8,12),QuitDate,"&lt;="&amp;DATE(2024,8,16))</f>
        <v>0</v>
      </c>
      <c r="AE23" s="1566">
        <f t="shared" ref="AE23:AF23" si="23">sum(S23,U23,W23,Y23,AA23,AC23)</f>
        <v>6</v>
      </c>
      <c r="AF23" s="1567">
        <f t="shared" si="23"/>
        <v>0</v>
      </c>
      <c r="AG23" s="1564">
        <f t="shared" si="21"/>
        <v>6</v>
      </c>
      <c r="AH23" s="396"/>
      <c r="AI23" s="396"/>
      <c r="AJ23" s="396"/>
      <c r="AK23" s="396"/>
      <c r="AL23" s="396"/>
      <c r="AM23" s="396"/>
      <c r="AN23" s="396"/>
    </row>
    <row r="24">
      <c r="A24" s="1234" t="s">
        <v>2407</v>
      </c>
      <c r="B24" s="1558">
        <f>countifs(JoinG1,"&gt;="&amp;DATE(2024,2,19),JoinG1,"&lt;="&amp;DATE(2024,2,23))+countifs(QuitGrade,"1",QStart,"&gt;="&amp;DATE(2024,2,19),QStart,"&lt;="&amp;DATE(2024,2,23))</f>
        <v>0</v>
      </c>
      <c r="C24" s="1559">
        <f>countifs(QuitGrade,"1",QuitDate,"&gt;="&amp;DATE(2024,2,19),QuitDate,"&lt;="&amp;DATE(2024,2,23))</f>
        <v>0</v>
      </c>
      <c r="D24" s="1558">
        <f>countifs(JoinG2,"&gt;="&amp;DATE(2024,2,19),JoinG2,"&lt;="&amp;DATE(2024,2,23))+countifs(QuitGrade,"2",QStart,"&gt;="&amp;DATE(2024,2,19),QStart,"&lt;="&amp;DATE(2024,2,23))</f>
        <v>0</v>
      </c>
      <c r="E24" s="1559">
        <f>countifs(QuitGrade,"2",QuitDate,"&gt;="&amp;DATE(2024,2,19),QuitDate,"&lt;="&amp;DATE(2024,2,23))</f>
        <v>0</v>
      </c>
      <c r="F24" s="1558">
        <f>countifs(JoinG3,"&gt;="&amp;DATE(2024,2,19),JoinG3,"&lt;="&amp;DATE(2024,2,23))+countifs(QuitGrade,"3",QStart,"&gt;="&amp;DATE(2024,2,19),QStart,"&lt;="&amp;DATE(2024,2,23))</f>
        <v>0</v>
      </c>
      <c r="G24" s="1559">
        <f>countifs(QuitGrade,"3",QuitDate,"&gt;="&amp;DATE(2024,2,19),QuitDate,"&lt;="&amp;DATE(2024,2,23))</f>
        <v>0</v>
      </c>
      <c r="H24" s="1558">
        <f>countifs(JoinG4,"&gt;="&amp;DATE(2024,2,19),JoinG4,"&lt;="&amp;DATE(2024,2,23))+countifs(QuitGrade,"4",QStart,"&gt;="&amp;DATE(2024,2,19),QStart,"&lt;="&amp;DATE(2024,2,23))</f>
        <v>0</v>
      </c>
      <c r="I24" s="1559">
        <f>countifs(QuitGrade,"4",QuitDate,"&gt;="&amp;DATE(2024,2,19),QuitDate,"&lt;="&amp;DATE(2024,2,23))</f>
        <v>0</v>
      </c>
      <c r="J24" s="1558">
        <f>countifs(JoinG5,"&gt;="&amp;DATE(2024,2,19),JoinG5,"&lt;="&amp;DATE(2024,2,23))+countifs(QuitGrade,"5",QStart,"&gt;="&amp;DATE(2024,2,19),QStart,"&lt;="&amp;DATE(2024,2,23))</f>
        <v>1</v>
      </c>
      <c r="K24" s="1559">
        <f>countifs(QuitGrade,"5",QuitDate,"&gt;="&amp;DATE(2024,2,19),QuitDate,"&lt;="&amp;DATE(2024,2,23))</f>
        <v>0</v>
      </c>
      <c r="L24" s="1558">
        <f>countifs(JoinG7,"&gt;="&amp;DATE(2024,2,19),JoinG7,"&lt;="&amp;DATE(2024,2,23))+countifs(QuitGrade,"7",QStart,"&gt;="&amp;DATE(2024,2,19),QStart,"&lt;="&amp;DATE(2024,2,23))</f>
        <v>0</v>
      </c>
      <c r="M24" s="1559">
        <f>countifs(QuitGrade,"7",QuitDate,"&gt;="&amp;DATE(2024,2,19),QuitDate,"&lt;="&amp;DATE(2024,2,23))</f>
        <v>0</v>
      </c>
      <c r="N24" s="1566">
        <f t="shared" ref="N24:O24" si="24">sum(B24,D24,F24,H24,J24,L24)</f>
        <v>1</v>
      </c>
      <c r="O24" s="1567">
        <f t="shared" si="24"/>
        <v>0</v>
      </c>
      <c r="P24" s="1564">
        <f t="shared" si="19"/>
        <v>1</v>
      </c>
      <c r="Q24" s="396"/>
      <c r="R24" s="1568" t="s">
        <v>2408</v>
      </c>
      <c r="S24" s="1558">
        <f>countifs(JoinG1,"&gt;="&amp;DATE(2024,8,19),JoinG1,"&lt;="&amp;DATE(2024,8,23))+countifs(QuitGrade,"1",QStart,"&gt;="&amp;DATE(2024,8,19),QStart,"&lt;="&amp;DATE(2024,8,23))</f>
        <v>1</v>
      </c>
      <c r="T24" s="1559">
        <f>countifs(QuitGrade,"1",QuitDate,"&gt;="&amp;DATE(2024,8,19),QuitDate,"&lt;="&amp;DATE(2024,8,23))</f>
        <v>0</v>
      </c>
      <c r="U24" s="1558">
        <f>countifs(JoinG2,"&gt;="&amp;DATE(2024,8,19),JoinG2,"&lt;="&amp;DATE(2024,8,23))+countifs(QuitGrade,"2",QStart,"&gt;="&amp;DATE(2024,8,19),QStart,"&lt;="&amp;DATE(2024,8,23))</f>
        <v>0</v>
      </c>
      <c r="V24" s="1559">
        <f>countifs(QuitGrade,"2",QuitDate,"&gt;="&amp;DATE(2024,8,19),QuitDate,"&lt;="&amp;DATE(2024,8,23))</f>
        <v>0</v>
      </c>
      <c r="W24" s="1558">
        <f>countifs(JoinG3,"&gt;="&amp;DATE(2024,8,19),JoinG3,"&lt;="&amp;DATE(2024,8,23))+countifs(QuitGrade,"3",QStart,"&gt;="&amp;DATE(2024,8,19),QStart,"&lt;="&amp;DATE(2024,8,23))</f>
        <v>1</v>
      </c>
      <c r="X24" s="1559">
        <f>countifs(QuitGrade,"3",QuitDate,"&gt;="&amp;DATE(2024,8,19),QuitDate,"&lt;="&amp;DATE(2024,8,23))</f>
        <v>0</v>
      </c>
      <c r="Y24" s="1558">
        <f>countifs(JoinG4,"&gt;="&amp;DATE(2024,8,19),JoinG4,"&lt;="&amp;DATE(2024,8,23))+countifs(QuitGrade,"4",QStart,"&gt;="&amp;DATE(2024,8,19),QStart,"&lt;="&amp;DATE(2024,8,23))</f>
        <v>1</v>
      </c>
      <c r="Z24" s="1559">
        <f>countifs(QuitGrade,"4",QuitDate,"&gt;="&amp;DATE(2024,8,19),QuitDate,"&lt;="&amp;DATE(2024,8,23))</f>
        <v>0</v>
      </c>
      <c r="AA24" s="1558">
        <f>countifs(JoinG5,"&gt;="&amp;DATE(2024,8,19),JoinG5,"&lt;="&amp;DATE(2024,8,23))+countifs(QuitGrade,"5",QStart,"&gt;="&amp;DATE(2024,8,19),QStart,"&lt;="&amp;DATE(2024,8,23))</f>
        <v>0</v>
      </c>
      <c r="AB24" s="1559">
        <f>countifs(QuitGrade,"5",QuitDate,"&gt;="&amp;DATE(2024,8,19),QuitDate,"&lt;="&amp;DATE(2024,8,23))</f>
        <v>0</v>
      </c>
      <c r="AC24" s="1558">
        <f>countifs(JoinG7,"&gt;="&amp;DATE(2024,8,19),JoinG7,"&lt;="&amp;DATE(2024,8,23))+countifs(QuitGrade,"7",QStart,"&gt;="&amp;DATE(2024,8,19),QStart,"&lt;="&amp;DATE(2024,8,23))</f>
        <v>0</v>
      </c>
      <c r="AD24" s="1559">
        <f>countifs(QuitGrade,"7",QuitDate,"&gt;="&amp;DATE(2024,8,19),QuitDate,"&lt;="&amp;DATE(2024,8,23))</f>
        <v>0</v>
      </c>
      <c r="AE24" s="1566">
        <f t="shared" ref="AE24:AF24" si="25">sum(S24,U24,W24,Y24,AA24,AC24)</f>
        <v>3</v>
      </c>
      <c r="AF24" s="1567">
        <f t="shared" si="25"/>
        <v>0</v>
      </c>
      <c r="AG24" s="1564">
        <f t="shared" si="21"/>
        <v>3</v>
      </c>
      <c r="AH24" s="396"/>
      <c r="AI24" s="396"/>
      <c r="AJ24" s="396"/>
      <c r="AK24" s="396"/>
      <c r="AL24" s="396"/>
      <c r="AM24" s="396"/>
      <c r="AN24" s="396"/>
    </row>
    <row r="25">
      <c r="A25" s="1234" t="s">
        <v>2409</v>
      </c>
      <c r="B25" s="1558">
        <f>countifs(JoinG1,"&gt;="&amp;DATE(2024,2,26),JoinG1,"&lt;="&amp;DATE(2024,2,29))+countifs(QuitGrade,"1",QStart,"&gt;="&amp;DATE(2024,2,26),QStart,"&lt;="&amp;DATE(2024,2,29))</f>
        <v>10</v>
      </c>
      <c r="C25" s="1559">
        <f>countifs(QuitGrade,"1",QuitDate,"&gt;="&amp;DATE(2024,2,26),QuitDate,"&lt;="&amp;DATE(2024,2,29))</f>
        <v>0</v>
      </c>
      <c r="D25" s="1558">
        <f>countifs(JoinG2,"&gt;="&amp;DATE(2024,2,26),JoinG2,"&lt;="&amp;DATE(2024,2,29))+countifs(QuitGrade,"2",QStart,"&gt;="&amp;DATE(2024,2,26),QStart,"&lt;="&amp;DATE(2024,2,29))</f>
        <v>4</v>
      </c>
      <c r="E25" s="1559">
        <f>countifs(QuitGrade,"2",QuitDate,"&gt;="&amp;DATE(2024,2,26),QuitDate,"&lt;="&amp;DATE(2024,2,29))</f>
        <v>0</v>
      </c>
      <c r="F25" s="1558">
        <f>countifs(JoinG3,"&gt;="&amp;DATE(2024,2,26),JoinG3,"&lt;="&amp;DATE(2024,2,29))+countifs(QuitGrade,"3",QStart,"&gt;="&amp;DATE(2024,2,26),QStart,"&lt;="&amp;DATE(2024,2,29))</f>
        <v>1</v>
      </c>
      <c r="G25" s="1559">
        <f>countifs(QuitGrade,"3",QuitDate,"&gt;="&amp;DATE(2024,2,26),QuitDate,"&lt;="&amp;DATE(2024,2,29))</f>
        <v>0</v>
      </c>
      <c r="H25" s="1558">
        <f>countifs(JoinG4,"&gt;="&amp;DATE(2024,2,26),JoinG4,"&lt;="&amp;DATE(2024,2,29))+countifs(QuitGrade,"4",QStart,"&gt;="&amp;DATE(2024,2,26),QStart,"&lt;="&amp;DATE(2024,2,29))</f>
        <v>0</v>
      </c>
      <c r="I25" s="1559">
        <f>countifs(QuitGrade,"4",QuitDate,"&gt;="&amp;DATE(2024,2,26),QuitDate,"&lt;="&amp;DATE(2024,2,29))</f>
        <v>0</v>
      </c>
      <c r="J25" s="1558">
        <f>countifs(JoinG5,"&gt;="&amp;DATE(2024,2,26),JoinG5,"&lt;="&amp;DATE(2024,2,29))+countifs(QuitGrade,"5",QStart,"&gt;="&amp;DATE(2024,2,26),QStart,"&lt;="&amp;DATE(2024,2,29))</f>
        <v>0</v>
      </c>
      <c r="K25" s="1559">
        <f>countifs(QuitGrade,"5",QuitDate,"&gt;="&amp;DATE(2024,2,26),QuitDate,"&lt;="&amp;DATE(2024,2,29))</f>
        <v>0</v>
      </c>
      <c r="L25" s="1558">
        <f>countifs(JoinG7,"&gt;="&amp;DATE(2024,2,26),JoinG7,"&lt;="&amp;DATE(2024,2,29))+countifs(QuitGrade,"7",QStart,"&gt;="&amp;DATE(2024,2,26),QStart,"&lt;="&amp;DATE(2024,2,29))</f>
        <v>0</v>
      </c>
      <c r="M25" s="1559">
        <f>countifs(QuitGrade,"7",QuitDate,"&gt;="&amp;DATE(2024,2,26),QuitDate,"&lt;="&amp;DATE(2024,2,29))</f>
        <v>0</v>
      </c>
      <c r="N25" s="1566">
        <f t="shared" ref="N25:O25" si="26">sum(B25,D25,F25,H25,J25,L25)</f>
        <v>15</v>
      </c>
      <c r="O25" s="1599">
        <f t="shared" si="26"/>
        <v>0</v>
      </c>
      <c r="P25" s="1600">
        <f t="shared" si="19"/>
        <v>15</v>
      </c>
      <c r="Q25" s="396"/>
      <c r="R25" s="1572" t="s">
        <v>2410</v>
      </c>
      <c r="S25" s="1558">
        <f>countifs(JoinG1,"&gt;="&amp;DATE(2024,8,26),JoinG1,"&lt;="&amp;DATE(2024,8,30))+countifs(QuitGrade,"1",QStart,"&gt;="&amp;DATE(2024,8,26),QStart,"&lt;="&amp;DATE(2024,8,30))</f>
        <v>0</v>
      </c>
      <c r="T25" s="1559">
        <f>countifs(QuitGrade,"1",QuitDate,"&gt;="&amp;DATE(2024,8,26),QuitDate,"&lt;="&amp;DATE(2024,8,30))</f>
        <v>0</v>
      </c>
      <c r="U25" s="1558">
        <f>countifs(JoinG2,"&gt;="&amp;DATE(2024,8,26),JoinG2,"&lt;="&amp;DATE(2024,8,30))+countifs(QuitGrade,"2",QStart,"&gt;="&amp;DATE(2024,8,26),QStart,"&lt;="&amp;DATE(2024,8,30))</f>
        <v>1</v>
      </c>
      <c r="V25" s="1559">
        <f>countifs(QuitGrade,"2",QuitDate,"&gt;="&amp;DATE(2024,8,26),QuitDate,"&lt;="&amp;DATE(2024,8,30))</f>
        <v>0</v>
      </c>
      <c r="W25" s="1558">
        <f>countifs(JoinG3,"&gt;="&amp;DATE(2024,8,26),JoinG3,"&lt;="&amp;DATE(2024,8,30))+countifs(QuitGrade,"3",QStart,"&gt;="&amp;DATE(2024,8,26),QStart,"&lt;="&amp;DATE(2024,8,30))</f>
        <v>0</v>
      </c>
      <c r="X25" s="1559">
        <f>countifs(QuitGrade,"3",QuitDate,"&gt;="&amp;DATE(2024,8,26),QuitDate,"&lt;="&amp;DATE(2024,8,30))</f>
        <v>0</v>
      </c>
      <c r="Y25" s="1558">
        <f>countifs(JoinG4,"&gt;="&amp;DATE(2024,8,26),JoinG4,"&lt;="&amp;DATE(2024,8,30))+countifs(QuitGrade,"4",QStart,"&gt;="&amp;DATE(2024,8,26),QStart,"&lt;="&amp;DATE(2024,8,30))</f>
        <v>0</v>
      </c>
      <c r="Z25" s="1559">
        <f>countifs(QuitGrade,"4",QuitDate,"&gt;="&amp;DATE(2024,8,26),QuitDate,"&lt;="&amp;DATE(2024,8,30))</f>
        <v>0</v>
      </c>
      <c r="AA25" s="1558">
        <f>countifs(JoinG5,"&gt;="&amp;DATE(2024,8,26),JoinG5,"&lt;="&amp;DATE(2024,8,30))+countifs(QuitGrade,"5",QStart,"&gt;="&amp;DATE(2024,8,26),QStart,"&lt;="&amp;DATE(2024,8,30))</f>
        <v>0</v>
      </c>
      <c r="AB25" s="1559">
        <f>countifs(QuitGrade,"5",QuitDate,"&gt;="&amp;DATE(2024,8,26),QuitDate,"&lt;="&amp;DATE(2024,8,30))</f>
        <v>0</v>
      </c>
      <c r="AC25" s="1558">
        <f>countifs(JoinG7,"&gt;="&amp;DATE(2024,8,26),JoinG7,"&lt;="&amp;DATE(2024,8,30))+countifs(QuitGrade,"7",QStart,"&gt;="&amp;DATE(2024,8,26),QStart,"&lt;="&amp;DATE(2024,8,30))</f>
        <v>0</v>
      </c>
      <c r="AD25" s="1559">
        <f>countifs(QuitGrade,"7",QuitDate,"&gt;="&amp;DATE(2024,8,26),QuitDate,"&lt;="&amp;DATE(2024,8,30))</f>
        <v>0</v>
      </c>
      <c r="AE25" s="1601">
        <f t="shared" ref="AE25:AF25" si="27">sum(S25,U25,W25,Y25,AA25,AC25)</f>
        <v>1</v>
      </c>
      <c r="AF25" s="1602">
        <f t="shared" si="27"/>
        <v>0</v>
      </c>
      <c r="AG25" s="1564">
        <f t="shared" si="21"/>
        <v>1</v>
      </c>
      <c r="AH25" s="396"/>
      <c r="AI25" s="396"/>
      <c r="AJ25" s="396"/>
      <c r="AK25" s="396"/>
      <c r="AL25" s="396"/>
      <c r="AM25" s="396"/>
      <c r="AN25" s="396"/>
    </row>
    <row r="26">
      <c r="A26" s="1573" t="s">
        <v>182</v>
      </c>
      <c r="B26" s="1582">
        <f t="shared" ref="B26:P26" si="28">sum(B21:B25)</f>
        <v>11</v>
      </c>
      <c r="C26" s="1583">
        <f t="shared" si="28"/>
        <v>0</v>
      </c>
      <c r="D26" s="1584">
        <f t="shared" si="28"/>
        <v>6</v>
      </c>
      <c r="E26" s="1603">
        <f t="shared" si="28"/>
        <v>0</v>
      </c>
      <c r="F26" s="1582">
        <f t="shared" si="28"/>
        <v>5</v>
      </c>
      <c r="G26" s="1583">
        <f t="shared" si="28"/>
        <v>0</v>
      </c>
      <c r="H26" s="1584">
        <f t="shared" si="28"/>
        <v>2</v>
      </c>
      <c r="I26" s="1603">
        <f t="shared" si="28"/>
        <v>0</v>
      </c>
      <c r="J26" s="1582">
        <f t="shared" si="28"/>
        <v>1</v>
      </c>
      <c r="K26" s="1583">
        <f t="shared" si="28"/>
        <v>0</v>
      </c>
      <c r="L26" s="1584">
        <f t="shared" si="28"/>
        <v>0</v>
      </c>
      <c r="M26" s="1604">
        <f t="shared" si="28"/>
        <v>0</v>
      </c>
      <c r="N26" s="1585">
        <f t="shared" si="28"/>
        <v>25</v>
      </c>
      <c r="O26" s="1586">
        <f t="shared" si="28"/>
        <v>0</v>
      </c>
      <c r="P26" s="1587">
        <f t="shared" si="28"/>
        <v>25</v>
      </c>
      <c r="Q26" s="396"/>
      <c r="R26" s="1573" t="s">
        <v>182</v>
      </c>
      <c r="S26" s="1582">
        <f t="shared" ref="S26:AG26" si="29">sum(S21:S25)</f>
        <v>2</v>
      </c>
      <c r="T26" s="1583">
        <f t="shared" si="29"/>
        <v>0</v>
      </c>
      <c r="U26" s="1584">
        <f t="shared" si="29"/>
        <v>3</v>
      </c>
      <c r="V26" s="1583">
        <f t="shared" si="29"/>
        <v>0</v>
      </c>
      <c r="W26" s="1582">
        <f t="shared" si="29"/>
        <v>4</v>
      </c>
      <c r="X26" s="1583">
        <f t="shared" si="29"/>
        <v>0</v>
      </c>
      <c r="Y26" s="1584">
        <f t="shared" si="29"/>
        <v>3</v>
      </c>
      <c r="Z26" s="1583">
        <f t="shared" si="29"/>
        <v>0</v>
      </c>
      <c r="AA26" s="1582">
        <f t="shared" si="29"/>
        <v>1</v>
      </c>
      <c r="AB26" s="1583">
        <f t="shared" si="29"/>
        <v>0</v>
      </c>
      <c r="AC26" s="1584">
        <f t="shared" si="29"/>
        <v>0</v>
      </c>
      <c r="AD26" s="1583">
        <f t="shared" si="29"/>
        <v>0</v>
      </c>
      <c r="AE26" s="1605">
        <f t="shared" si="29"/>
        <v>13</v>
      </c>
      <c r="AF26" s="1606">
        <f t="shared" si="29"/>
        <v>0</v>
      </c>
      <c r="AG26" s="1587">
        <f t="shared" si="29"/>
        <v>13</v>
      </c>
      <c r="AH26" s="396"/>
      <c r="AI26" s="396"/>
      <c r="AJ26" s="396"/>
      <c r="AK26" s="396"/>
      <c r="AL26" s="396"/>
      <c r="AM26" s="396"/>
      <c r="AN26" s="396"/>
    </row>
    <row r="27">
      <c r="A27" s="1539"/>
      <c r="B27" s="396"/>
      <c r="C27" s="396"/>
      <c r="D27" s="396"/>
      <c r="E27" s="396"/>
      <c r="F27" s="396"/>
      <c r="G27" s="396"/>
      <c r="H27" s="396"/>
      <c r="I27" s="396"/>
      <c r="J27" s="396"/>
      <c r="K27" s="396"/>
      <c r="L27" s="1607"/>
      <c r="M27" s="1607"/>
      <c r="N27" s="1589"/>
      <c r="O27" s="1589"/>
      <c r="P27" s="1589"/>
      <c r="Q27" s="396"/>
      <c r="R27" s="1539"/>
      <c r="S27" s="396"/>
      <c r="T27" s="396"/>
      <c r="U27" s="396"/>
      <c r="V27" s="396"/>
      <c r="W27" s="396"/>
      <c r="X27" s="396"/>
      <c r="Y27" s="396"/>
      <c r="Z27" s="396"/>
      <c r="AA27" s="396"/>
      <c r="AB27" s="396"/>
      <c r="AC27" s="1607"/>
      <c r="AD27" s="396"/>
      <c r="AE27" s="1589"/>
      <c r="AF27" s="1589"/>
      <c r="AG27" s="1589"/>
      <c r="AH27" s="396"/>
      <c r="AI27" s="396"/>
      <c r="AJ27" s="396"/>
      <c r="AK27" s="396"/>
      <c r="AL27" s="396"/>
      <c r="AM27" s="396"/>
      <c r="AN27" s="396"/>
    </row>
    <row r="28">
      <c r="A28" s="1540">
        <v>45352.0</v>
      </c>
      <c r="B28" s="396"/>
      <c r="C28" s="396"/>
      <c r="D28" s="396"/>
      <c r="E28" s="396"/>
      <c r="F28" s="396"/>
      <c r="G28" s="396"/>
      <c r="H28" s="396"/>
      <c r="I28" s="396"/>
      <c r="J28" s="396"/>
      <c r="K28" s="396"/>
      <c r="L28" s="396"/>
      <c r="M28" s="396"/>
      <c r="N28" s="396"/>
      <c r="O28" s="396"/>
      <c r="P28" s="396"/>
      <c r="Q28" s="1541"/>
      <c r="R28" s="1542">
        <v>45536.0</v>
      </c>
      <c r="S28" s="396"/>
      <c r="T28" s="396"/>
      <c r="U28" s="396"/>
      <c r="V28" s="396"/>
      <c r="W28" s="396"/>
      <c r="X28" s="396"/>
      <c r="Y28" s="396"/>
      <c r="Z28" s="396"/>
      <c r="AA28" s="396"/>
      <c r="AB28" s="396"/>
      <c r="AC28" s="396"/>
      <c r="AD28" s="396"/>
      <c r="AE28" s="396"/>
      <c r="AF28" s="396"/>
      <c r="AG28" s="396"/>
      <c r="AH28" s="396"/>
      <c r="AI28" s="396"/>
      <c r="AJ28" s="396"/>
      <c r="AK28" s="396"/>
      <c r="AL28" s="396"/>
      <c r="AM28" s="396"/>
      <c r="AN28" s="396"/>
    </row>
    <row r="29">
      <c r="A29" s="396"/>
      <c r="B29" s="396"/>
      <c r="C29" s="396"/>
      <c r="D29" s="396"/>
      <c r="E29" s="396"/>
      <c r="F29" s="396"/>
      <c r="G29" s="396"/>
      <c r="H29" s="396"/>
      <c r="I29" s="396"/>
      <c r="J29" s="396"/>
      <c r="K29" s="396"/>
      <c r="L29" s="396"/>
      <c r="M29" s="396"/>
      <c r="N29" s="396"/>
      <c r="O29" s="396"/>
      <c r="P29" s="396"/>
      <c r="Q29" s="396"/>
      <c r="R29" s="396"/>
      <c r="S29" s="396"/>
      <c r="T29" s="396"/>
      <c r="U29" s="396"/>
      <c r="V29" s="396"/>
      <c r="W29" s="396"/>
      <c r="X29" s="396"/>
      <c r="Y29" s="396"/>
      <c r="Z29" s="396"/>
      <c r="AA29" s="396"/>
      <c r="AB29" s="396"/>
      <c r="AC29" s="396"/>
      <c r="AD29" s="396"/>
      <c r="AE29" s="396"/>
      <c r="AF29" s="396"/>
      <c r="AG29" s="396"/>
      <c r="AH29" s="396"/>
      <c r="AI29" s="396"/>
      <c r="AJ29" s="396"/>
      <c r="AK29" s="396"/>
      <c r="AL29" s="396"/>
      <c r="AM29" s="396"/>
      <c r="AN29" s="396"/>
    </row>
    <row r="30">
      <c r="A30" s="1549" t="s">
        <v>2388</v>
      </c>
      <c r="B30" s="1544" t="s">
        <v>2381</v>
      </c>
      <c r="C30" s="1545"/>
      <c r="D30" s="1544" t="s">
        <v>2382</v>
      </c>
      <c r="E30" s="1545"/>
      <c r="F30" s="1544" t="s">
        <v>2383</v>
      </c>
      <c r="G30" s="1545"/>
      <c r="H30" s="1544" t="s">
        <v>2384</v>
      </c>
      <c r="I30" s="1545"/>
      <c r="J30" s="1544" t="s">
        <v>2385</v>
      </c>
      <c r="K30" s="1545"/>
      <c r="L30" s="1544" t="s">
        <v>2386</v>
      </c>
      <c r="M30" s="1545"/>
      <c r="N30" s="1547" t="s">
        <v>182</v>
      </c>
      <c r="O30" s="1545"/>
      <c r="P30" s="1548" t="s">
        <v>2387</v>
      </c>
      <c r="Q30" s="396"/>
      <c r="R30" s="1549" t="s">
        <v>2388</v>
      </c>
      <c r="S30" s="1544" t="s">
        <v>2381</v>
      </c>
      <c r="T30" s="1545"/>
      <c r="U30" s="1544" t="s">
        <v>2382</v>
      </c>
      <c r="V30" s="1545"/>
      <c r="W30" s="1544" t="s">
        <v>2383</v>
      </c>
      <c r="X30" s="1545"/>
      <c r="Y30" s="1544" t="s">
        <v>2384</v>
      </c>
      <c r="Z30" s="1545"/>
      <c r="AA30" s="1544" t="s">
        <v>2385</v>
      </c>
      <c r="AB30" s="1545"/>
      <c r="AC30" s="1544" t="s">
        <v>2386</v>
      </c>
      <c r="AD30" s="1545"/>
      <c r="AE30" s="1547" t="s">
        <v>182</v>
      </c>
      <c r="AF30" s="1545"/>
      <c r="AG30" s="1548" t="s">
        <v>2387</v>
      </c>
      <c r="AH30" s="396"/>
      <c r="AI30" s="396"/>
      <c r="AJ30" s="396"/>
      <c r="AK30" s="396"/>
      <c r="AL30" s="396"/>
      <c r="AM30" s="396"/>
      <c r="AN30" s="396"/>
    </row>
    <row r="31">
      <c r="A31" s="1550"/>
      <c r="B31" s="1557" t="s">
        <v>2389</v>
      </c>
      <c r="C31" s="1552" t="s">
        <v>2390</v>
      </c>
      <c r="D31" s="1557" t="s">
        <v>2389</v>
      </c>
      <c r="E31" s="1552" t="s">
        <v>2390</v>
      </c>
      <c r="F31" s="1557" t="s">
        <v>2389</v>
      </c>
      <c r="G31" s="1552" t="s">
        <v>2390</v>
      </c>
      <c r="H31" s="1557" t="s">
        <v>2389</v>
      </c>
      <c r="I31" s="1552" t="s">
        <v>2390</v>
      </c>
      <c r="J31" s="1557" t="s">
        <v>2389</v>
      </c>
      <c r="K31" s="1552" t="s">
        <v>2390</v>
      </c>
      <c r="L31" s="1557" t="s">
        <v>2389</v>
      </c>
      <c r="M31" s="1552" t="s">
        <v>2390</v>
      </c>
      <c r="N31" s="1554" t="s">
        <v>2389</v>
      </c>
      <c r="O31" s="1555" t="s">
        <v>2390</v>
      </c>
      <c r="P31" s="1556"/>
      <c r="Q31" s="396"/>
      <c r="R31" s="1550"/>
      <c r="S31" s="1557" t="s">
        <v>2389</v>
      </c>
      <c r="T31" s="1552" t="s">
        <v>2390</v>
      </c>
      <c r="U31" s="1557" t="s">
        <v>2389</v>
      </c>
      <c r="V31" s="1552" t="s">
        <v>2390</v>
      </c>
      <c r="W31" s="1557" t="s">
        <v>2389</v>
      </c>
      <c r="X31" s="1552" t="s">
        <v>2390</v>
      </c>
      <c r="Y31" s="1557" t="s">
        <v>2389</v>
      </c>
      <c r="Z31" s="1552" t="s">
        <v>2390</v>
      </c>
      <c r="AA31" s="1557" t="s">
        <v>2389</v>
      </c>
      <c r="AB31" s="1552" t="s">
        <v>2390</v>
      </c>
      <c r="AC31" s="1557" t="s">
        <v>2389</v>
      </c>
      <c r="AD31" s="1552" t="s">
        <v>2390</v>
      </c>
      <c r="AE31" s="1554" t="s">
        <v>2389</v>
      </c>
      <c r="AF31" s="1555" t="s">
        <v>2390</v>
      </c>
      <c r="AG31" s="1556"/>
      <c r="AH31" s="396"/>
      <c r="AI31" s="396"/>
      <c r="AJ31" s="396"/>
      <c r="AK31" s="396"/>
      <c r="AL31" s="396"/>
      <c r="AM31" s="396"/>
      <c r="AN31" s="396"/>
    </row>
    <row r="32">
      <c r="A32" s="1515" t="s">
        <v>2411</v>
      </c>
      <c r="B32" s="1558">
        <f>countifs(JoinG1,"&gt;="&amp;DATE(2024,3,1),JoinG1,"&lt;="&amp;DATE(2024,3,1))+countifs(QuitGrade,"1",QStart,"&gt;="&amp;DATE(2024,3,1),QStart,"&lt;="&amp;DATE(2024,3,1))</f>
        <v>0</v>
      </c>
      <c r="C32" s="1559">
        <f>countifs(QuitGrade,"1",QuitDate,"&gt;="&amp;DATE(2024,3,1),QuitDate,"&lt;="&amp;DATE(2024,3,1))</f>
        <v>0</v>
      </c>
      <c r="D32" s="1558">
        <f>countifs(JoinG2,"&gt;="&amp;DATE(2024,3,1),JoinG2,"&lt;="&amp;DATE(2024,3,1))+countifs(QuitGrade,"2",QStart,"&gt;="&amp;DATE(2024,3,1),QStart,"&lt;="&amp;DATE(2024,3,1))</f>
        <v>2</v>
      </c>
      <c r="E32" s="1559">
        <f>countifs(QuitGrade,"2",QuitDate,"&gt;="&amp;DATE(2024,3,1),QuitDate,"&lt;="&amp;DATE(2024,3,1))</f>
        <v>0</v>
      </c>
      <c r="F32" s="1558">
        <f>countifs(JoinG3,"&gt;="&amp;DATE(2024,3,1),JoinG3,"&lt;="&amp;DATE(2024,3,1))+countifs(QuitGrade,"3",QStart,"&gt;="&amp;DATE(2024,3,1),QStart,"&lt;="&amp;DATE(2024,3,1))</f>
        <v>0</v>
      </c>
      <c r="G32" s="1559">
        <f>countifs(QuitGrade,"3",QuitDate,"&gt;="&amp;DATE(2024,3,1),QuitDate,"&lt;="&amp;DATE(2024,3,1))</f>
        <v>0</v>
      </c>
      <c r="H32" s="1558">
        <f>countifs(JoinG4,"&gt;="&amp;DATE(2024,3,1),JoinG4,"&lt;="&amp;DATE(2024,3,1))+countifs(QuitGrade,"4",QStart,"&gt;="&amp;DATE(2024,3,1),QStart,"&lt;="&amp;DATE(2024,3,1))</f>
        <v>0</v>
      </c>
      <c r="I32" s="1559">
        <f>countifs(QuitGrade,"4",QuitDate,"&gt;="&amp;DATE(2024,3,1),QuitDate,"&lt;="&amp;DATE(2024,3,1))</f>
        <v>0</v>
      </c>
      <c r="J32" s="1558">
        <f>countifs(JoinG5,"&gt;="&amp;DATE(2024,3,1),JoinG5,"&lt;="&amp;DATE(2024,3,1))+countifs(QuitGrade,"5",QStart,"&gt;="&amp;DATE(2024,3,1),QStart,"&lt;="&amp;DATE(2024,3,1))</f>
        <v>0</v>
      </c>
      <c r="K32" s="1559">
        <f>countifs(QuitGrade,"5",QuitDate,"&gt;="&amp;DATE(2024,3,1),QuitDate,"&lt;="&amp;DATE(2024,3,1))</f>
        <v>0</v>
      </c>
      <c r="L32" s="1558">
        <f>countifs(JoinG7,"&gt;="&amp;DATE(2024,3,1),JoinG7,"&lt;="&amp;DATE(2024,3,1))+countifs(QuitGrade,"7",QStart,"&gt;="&amp;DATE(2024,3,1),QStart,"&lt;="&amp;DATE(2024,3,1))</f>
        <v>0</v>
      </c>
      <c r="M32" s="1559">
        <f>countifs(QuitGrade,"7",QuitDate,"&gt;="&amp;DATE(2024,3,1),QuitDate,"&lt;="&amp;DATE(2024,3,1))</f>
        <v>0</v>
      </c>
      <c r="N32" s="1560">
        <f t="shared" ref="N32:O32" si="30">sum(B32,D32,F32,H32,J32,L32)</f>
        <v>2</v>
      </c>
      <c r="O32" s="1561">
        <f t="shared" si="30"/>
        <v>0</v>
      </c>
      <c r="P32" s="1564">
        <f t="shared" ref="P32:P36" si="33">minus(N32,O32)</f>
        <v>2</v>
      </c>
      <c r="Q32" s="396"/>
      <c r="R32" s="1563" t="s">
        <v>2412</v>
      </c>
      <c r="S32" s="1558">
        <f>countifs(JoinG1,"&gt;="&amp;DATE(2024,9,2),JoinG1,"&lt;="&amp;DATE(2024,9,6))+countifs(QuitGrade,"1",QStart,"&gt;="&amp;DATE(2024,9,2),QStart,"&lt;="&amp;DATE(2024,9,6))</f>
        <v>0</v>
      </c>
      <c r="T32" s="1559">
        <f>countifs(QuitGrade,"1",QuitDate,"&gt;="&amp;DATE(2024,9,2),QuitDate,"&lt;="&amp;DATE(2024,9,6))</f>
        <v>0</v>
      </c>
      <c r="U32" s="1558">
        <f>countifs(JoinG2,"&gt;="&amp;DATE(2024,9,2),JoinG2,"&lt;="&amp;DATE(2024,9,6))+countifs(QuitGrade,"2",QStart,"&gt;="&amp;DATE(2024,9,2),QStart,"&lt;="&amp;DATE(2024,9,6))</f>
        <v>1</v>
      </c>
      <c r="V32" s="1559">
        <f>countifs(QuitGrade,"2",QuitDate,"&gt;="&amp;DATE(2024,9,2),QuitDate,"&lt;="&amp;DATE(2024,9,6))</f>
        <v>0</v>
      </c>
      <c r="W32" s="1558">
        <f>countifs(JoinG3,"&gt;="&amp;DATE(2024,9,2),JoinG3,"&lt;="&amp;DATE(2024,9,6))+countifs(QuitGrade,"3",QStart,"&gt;="&amp;DATE(2024,9,2),QStart,"&lt;="&amp;DATE(2024,9,6))</f>
        <v>1</v>
      </c>
      <c r="X32" s="1559">
        <f>countifs(QuitGrade,"3",QuitDate,"&gt;="&amp;DATE(2024,9,2),QuitDate,"&lt;="&amp;DATE(2024,9,6))</f>
        <v>0</v>
      </c>
      <c r="Y32" s="1558">
        <f>countifs(JoinG4,"&gt;="&amp;DATE(2024,9,2),JoinG4,"&lt;="&amp;DATE(2024,9,6))+countifs(QuitGrade,"4",QStart,"&gt;="&amp;DATE(2024,9,2),QStart,"&lt;="&amp;DATE(2024,9,6))</f>
        <v>0</v>
      </c>
      <c r="Z32" s="1559">
        <f>countifs(QuitGrade,"4",QuitDate,"&gt;="&amp;DATE(2024,9,2),QuitDate,"&lt;="&amp;DATE(2024,9,6))</f>
        <v>0</v>
      </c>
      <c r="AA32" s="1558">
        <f>countifs(JoinG5,"&gt;="&amp;DATE(2024,9,2),JoinG5,"&lt;="&amp;DATE(2024,9,6))+countifs(QuitGrade,"5",QStart,"&gt;="&amp;DATE(2024,9,2),QStart,"&lt;="&amp;DATE(2024,9,6))</f>
        <v>0</v>
      </c>
      <c r="AB32" s="1559">
        <f>countifs(QuitGrade,"5",QuitDate,"&gt;="&amp;DATE(2024,9,2),QuitDate,"&lt;="&amp;DATE(2024,9,6))</f>
        <v>0</v>
      </c>
      <c r="AC32" s="1558">
        <f>countifs(JoinG7,"&gt;="&amp;DATE(2024,9,2),JoinG7,"&lt;="&amp;DATE(2024,9,6))+countifs(QuitGrade,"7",QStart,"&gt;="&amp;DATE(2024,9,2),QStart,"&lt;="&amp;DATE(2024,9,6))</f>
        <v>0</v>
      </c>
      <c r="AD32" s="1559">
        <f>countifs(QuitGrade,"7",QuitDate,"&gt;="&amp;DATE(2024,9,2),QuitDate,"&lt;="&amp;DATE(2024,9,6))</f>
        <v>0</v>
      </c>
      <c r="AE32" s="1560">
        <f t="shared" ref="AE32:AF32" si="31">sum(S32,U32,W32,Y32,AA32,AC32)</f>
        <v>2</v>
      </c>
      <c r="AF32" s="1561">
        <f t="shared" si="31"/>
        <v>0</v>
      </c>
      <c r="AG32" s="1564">
        <f t="shared" ref="AG32:AG36" si="35">minus(AE32,AF32)</f>
        <v>2</v>
      </c>
      <c r="AH32" s="396"/>
      <c r="AI32" s="396"/>
      <c r="AJ32" s="396"/>
      <c r="AK32" s="396"/>
      <c r="AL32" s="396"/>
      <c r="AM32" s="396"/>
      <c r="AN32" s="396"/>
    </row>
    <row r="33">
      <c r="A33" s="1234" t="s">
        <v>2413</v>
      </c>
      <c r="B33" s="1558">
        <f>countifs(JoinG1,"&gt;="&amp;DATE(2024,3,4),JoinG1,"&lt;="&amp;DATE(2024,3,8))+countifs(QuitGrade,"1",QStart,"&gt;="&amp;DATE(2024,3,4),QStart,"&lt;="&amp;DATE(2024,3,8))</f>
        <v>2</v>
      </c>
      <c r="C33" s="1559">
        <f>countifs(QuitGrade,"1",QuitDate,"&gt;="&amp;DATE(2024,3,4),QuitDate,"&lt;="&amp;DATE(2024,3,8))</f>
        <v>0</v>
      </c>
      <c r="D33" s="1558">
        <f>countifs(JoinG2,"&gt;="&amp;DATE(2024,3,4),JoinG2,"&lt;="&amp;DATE(2024,3,8))+countifs(QuitGrade,"2",QStart,"&gt;="&amp;DATE(2024,3,4),QStart,"&lt;="&amp;DATE(2024,3,8))</f>
        <v>1</v>
      </c>
      <c r="E33" s="1559">
        <f>countifs(QuitGrade,"2",QuitDate,"&gt;="&amp;DATE(2024,3,4),QuitDate,"&lt;="&amp;DATE(2024,3,8))</f>
        <v>0</v>
      </c>
      <c r="F33" s="1558">
        <f>countifs(JoinG3,"&gt;="&amp;DATE(2024,3,4),JoinG3,"&lt;="&amp;DATE(2024,3,8))+countifs(QuitGrade,"3",QStart,"&gt;="&amp;DATE(2024,3,4),QStart,"&lt;="&amp;DATE(2024,3,8))</f>
        <v>1</v>
      </c>
      <c r="G33" s="1559">
        <f>countifs(QuitGrade,"3",QuitDate,"&gt;="&amp;DATE(2024,3,4),QuitDate,"&lt;="&amp;DATE(2024,3,8))</f>
        <v>0</v>
      </c>
      <c r="H33" s="1558">
        <f>countifs(JoinG4,"&gt;="&amp;DATE(2024,3,4),JoinG4,"&lt;="&amp;DATE(2024,3,8))+countifs(QuitGrade,"4",QStart,"&gt;="&amp;DATE(2024,3,4),QStart,"&lt;="&amp;DATE(2024,3,8))</f>
        <v>0</v>
      </c>
      <c r="I33" s="1559">
        <f>countifs(QuitGrade,"4",QuitDate,"&gt;="&amp;DATE(2024,3,4),QuitDate,"&lt;="&amp;DATE(2024,3,8))</f>
        <v>0</v>
      </c>
      <c r="J33" s="1558">
        <f>countifs(JoinG5,"&gt;="&amp;DATE(2024,3,4),JoinG5,"&lt;="&amp;DATE(2024,3,8))+countifs(QuitGrade,"5",QStart,"&gt;="&amp;DATE(2024,3,4),QStart,"&lt;="&amp;DATE(2024,3,8))</f>
        <v>0</v>
      </c>
      <c r="K33" s="1559">
        <f>countifs(QuitGrade,"5",QuitDate,"&gt;="&amp;DATE(2024,3,4),QuitDate,"&lt;="&amp;DATE(2024,3,8))</f>
        <v>0</v>
      </c>
      <c r="L33" s="1558">
        <f>countifs(JoinG7,"&gt;="&amp;DATE(2024,3,4),JoinG7,"&lt;="&amp;DATE(2024,3,8))+countifs(QuitGrade,"7",QStart,"&gt;="&amp;DATE(2024,3,4),QStart,"&lt;="&amp;DATE(2024,3,8))</f>
        <v>0</v>
      </c>
      <c r="M33" s="1559">
        <f>countifs(QuitGrade,"7",QuitDate,"&gt;="&amp;DATE(2024,3,4),QuitDate,"&lt;="&amp;DATE(2024,3,8))</f>
        <v>0</v>
      </c>
      <c r="N33" s="1566">
        <f t="shared" ref="N33:O33" si="32">sum(B33,D33,F33,H33,J33,L33)</f>
        <v>4</v>
      </c>
      <c r="O33" s="1567">
        <f t="shared" si="32"/>
        <v>0</v>
      </c>
      <c r="P33" s="1564">
        <f t="shared" si="33"/>
        <v>4</v>
      </c>
      <c r="Q33" s="396"/>
      <c r="R33" s="1568" t="s">
        <v>2414</v>
      </c>
      <c r="S33" s="1558">
        <f>countifs(JoinG1,"&gt;="&amp;DATE(2024,9,9),JoinG1,"&lt;="&amp;DATE(2024,9,13))+countifs(QuitGrade,"1",QStart,"&gt;="&amp;DATE(2024,9,9),QStart,"&lt;="&amp;DATE(2024,9,13))</f>
        <v>0</v>
      </c>
      <c r="T33" s="1559">
        <f>countifs(QuitGrade,"1",QuitDate,"&gt;="&amp;DATE(2024,9,9),QuitDate,"&lt;="&amp;DATE(2024,9,13))</f>
        <v>0</v>
      </c>
      <c r="U33" s="1558">
        <f>countifs(JoinG2,"&gt;="&amp;DATE(2024,9,9),JoinG2,"&lt;="&amp;DATE(2024,9,13))+countifs(QuitGrade,"2",QStart,"&gt;="&amp;DATE(2024,9,9),QStart,"&lt;="&amp;DATE(2024,9,13))</f>
        <v>0</v>
      </c>
      <c r="V33" s="1559">
        <f>countifs(QuitGrade,"2",QuitDate,"&gt;="&amp;DATE(2024,9,9),QuitDate,"&lt;="&amp;DATE(2024,9,13))</f>
        <v>0</v>
      </c>
      <c r="W33" s="1558">
        <f>countifs(JoinG3,"&gt;="&amp;DATE(2024,9,9),JoinG3,"&lt;="&amp;DATE(2024,9,13))+countifs(QuitGrade,"3",QStart,"&gt;="&amp;DATE(2024,9,9),QStart,"&lt;="&amp;DATE(2024,9,13))</f>
        <v>0</v>
      </c>
      <c r="X33" s="1559">
        <f>countifs(QuitGrade,"3",QuitDate,"&gt;="&amp;DATE(2024,9,9),QuitDate,"&lt;="&amp;DATE(2024,9,13))</f>
        <v>0</v>
      </c>
      <c r="Y33" s="1558">
        <f>countifs(JoinG4,"&gt;="&amp;DATE(2024,9,9),JoinG4,"&lt;="&amp;DATE(2024,9,13))+countifs(QuitGrade,"4",QStart,"&gt;="&amp;DATE(2024,9,9),QStart,"&lt;="&amp;DATE(2024,9,13))</f>
        <v>0</v>
      </c>
      <c r="Z33" s="1559">
        <f>countifs(QuitGrade,"4",QuitDate,"&gt;="&amp;DATE(2024,9,9),QuitDate,"&lt;="&amp;DATE(2024,9,13))</f>
        <v>0</v>
      </c>
      <c r="AA33" s="1558">
        <f>countifs(JoinG5,"&gt;="&amp;DATE(2024,9,9),JoinG5,"&lt;="&amp;DATE(2024,9,13))+countifs(QuitGrade,"5",QStart,"&gt;="&amp;DATE(2024,9,9),QStart,"&lt;="&amp;DATE(2024,9,13))</f>
        <v>0</v>
      </c>
      <c r="AB33" s="1559">
        <f>countifs(QuitGrade,"5",QuitDate,"&gt;="&amp;DATE(2024,9,9),QuitDate,"&lt;="&amp;DATE(2024,9,13))</f>
        <v>0</v>
      </c>
      <c r="AC33" s="1558">
        <f>countifs(JoinG7,"&gt;="&amp;DATE(2024,9,9),JoinG7,"&lt;="&amp;DATE(2024,9,13))+countifs(QuitGrade,"7",QStart,"&gt;="&amp;DATE(2024,9,9),QStart,"&lt;="&amp;DATE(2024,9,13))</f>
        <v>0</v>
      </c>
      <c r="AD33" s="1559">
        <f>countifs(QuitGrade,"7",QuitDate,"&gt;="&amp;DATE(2024,9,9),QuitDate,"&lt;="&amp;DATE(2024,9,13))</f>
        <v>0</v>
      </c>
      <c r="AE33" s="1560">
        <f t="shared" ref="AE33:AF33" si="34">sum(S33,U33,W33,Y33,AA33,AC33)</f>
        <v>0</v>
      </c>
      <c r="AF33" s="1567">
        <f t="shared" si="34"/>
        <v>0</v>
      </c>
      <c r="AG33" s="1564">
        <f t="shared" si="35"/>
        <v>0</v>
      </c>
      <c r="AH33" s="396"/>
      <c r="AI33" s="396"/>
      <c r="AJ33" s="396"/>
      <c r="AK33" s="396"/>
      <c r="AL33" s="396"/>
      <c r="AM33" s="396"/>
      <c r="AN33" s="396"/>
    </row>
    <row r="34">
      <c r="A34" s="1234" t="s">
        <v>2415</v>
      </c>
      <c r="B34" s="1558">
        <f>countifs(JoinG1,"&gt;="&amp;DATE(2024,3,11),JoinG1,"&lt;="&amp;DATE(2024,3,15))+countifs(QuitGrade,"1",QStart,"&gt;="&amp;DATE(2024,3,11),QStart,"&lt;="&amp;DATE(2024,3,15))</f>
        <v>4</v>
      </c>
      <c r="C34" s="1559">
        <f>countifs(QuitGrade,"1",QuitDate,"&gt;="&amp;DATE(2024,3,11),QuitDate,"&lt;="&amp;DATE(2024,3,15))</f>
        <v>0</v>
      </c>
      <c r="D34" s="1558">
        <f>countifs(JoinG2,"&gt;="&amp;DATE(2024,3,11),JoinG2,"&lt;="&amp;DATE(2024,3,15))+countifs(QuitGrade,"2",QStart,"&gt;="&amp;DATE(2024,3,11),QStart,"&lt;="&amp;DATE(2024,3,15))</f>
        <v>2</v>
      </c>
      <c r="E34" s="1559">
        <f>countifs(QuitGrade,"2",QuitDate,"&gt;="&amp;DATE(2024,3,11),QuitDate,"&lt;="&amp;DATE(2024,3,15))</f>
        <v>0</v>
      </c>
      <c r="F34" s="1558">
        <f>countifs(JoinG3,"&gt;="&amp;DATE(2024,3,11),JoinG3,"&lt;="&amp;DATE(2024,3,15))+countifs(QuitGrade,"3",QStart,"&gt;="&amp;DATE(2024,3,11),QStart,"&lt;="&amp;DATE(2024,3,15))</f>
        <v>0</v>
      </c>
      <c r="G34" s="1559">
        <f>countifs(QuitGrade,"3",QuitDate,"&gt;="&amp;DATE(2024,3,11),QuitDate,"&lt;="&amp;DATE(2024,3,15))</f>
        <v>0</v>
      </c>
      <c r="H34" s="1558">
        <f>countifs(JoinG4,"&gt;="&amp;DATE(2024,3,11),JoinG4,"&lt;="&amp;DATE(2024,3,15))+countifs(QuitGrade,"4",QStart,"&gt;="&amp;DATE(2024,3,11),QStart,"&lt;="&amp;DATE(2024,3,15))</f>
        <v>0</v>
      </c>
      <c r="I34" s="1559">
        <f>countifs(QuitGrade,"4",QuitDate,"&gt;="&amp;DATE(2024,3,11),QuitDate,"&lt;="&amp;DATE(2024,3,15))</f>
        <v>0</v>
      </c>
      <c r="J34" s="1558">
        <f>countifs(JoinG5,"&gt;="&amp;DATE(2024,3,11),JoinG5,"&lt;="&amp;DATE(2024,3,15))+countifs(QuitGrade,"5",QStart,"&gt;="&amp;DATE(2024,3,11),QStart,"&lt;="&amp;DATE(2024,3,15))</f>
        <v>0</v>
      </c>
      <c r="K34" s="1559">
        <f>countifs(QuitGrade,"5",QuitDate,"&gt;="&amp;DATE(2024,3,11),QuitDate,"&lt;="&amp;DATE(2024,3,15))</f>
        <v>0</v>
      </c>
      <c r="L34" s="1558">
        <f>countifs(JoinG7,"&gt;="&amp;DATE(2024,3,11),JoinG7,"&lt;="&amp;DATE(2024,3,15))+countifs(QuitGrade,"7",QStart,"&gt;="&amp;DATE(2024,3,11),QStart,"&lt;="&amp;DATE(2024,3,15))</f>
        <v>0</v>
      </c>
      <c r="M34" s="1559">
        <f>countifs(QuitGrade,"7",QuitDate,"&gt;="&amp;DATE(2024,3,11),QuitDate,"&lt;="&amp;DATE(2024,3,15))</f>
        <v>0</v>
      </c>
      <c r="N34" s="1566">
        <f t="shared" ref="N34:O34" si="36">sum(B34,D34,F34,H34,J34,L34)</f>
        <v>6</v>
      </c>
      <c r="O34" s="1567">
        <f t="shared" si="36"/>
        <v>0</v>
      </c>
      <c r="P34" s="1564">
        <f t="shared" si="33"/>
        <v>6</v>
      </c>
      <c r="Q34" s="396"/>
      <c r="R34" s="1568" t="s">
        <v>2416</v>
      </c>
      <c r="S34" s="1558"/>
      <c r="T34" s="1565"/>
      <c r="U34" s="1558"/>
      <c r="V34" s="1565"/>
      <c r="W34" s="1558"/>
      <c r="X34" s="1565"/>
      <c r="Y34" s="1558"/>
      <c r="Z34" s="1565"/>
      <c r="AA34" s="1558"/>
      <c r="AB34" s="1565"/>
      <c r="AC34" s="1558"/>
      <c r="AD34" s="1565"/>
      <c r="AE34" s="1560">
        <f t="shared" ref="AE34:AF34" si="37">sum(S34,U34,W34,Y34,AA34,AC34)</f>
        <v>0</v>
      </c>
      <c r="AF34" s="1567">
        <f t="shared" si="37"/>
        <v>0</v>
      </c>
      <c r="AG34" s="1564">
        <f t="shared" si="35"/>
        <v>0</v>
      </c>
      <c r="AH34" s="396"/>
      <c r="AI34" s="396"/>
      <c r="AJ34" s="396"/>
      <c r="AK34" s="396"/>
      <c r="AL34" s="396"/>
      <c r="AM34" s="396"/>
      <c r="AN34" s="396"/>
    </row>
    <row r="35">
      <c r="A35" s="1234" t="s">
        <v>2417</v>
      </c>
      <c r="B35" s="1558">
        <f>countifs(JoinG1,"&gt;="&amp;DATE(2024,3,18),JoinG1,"&lt;="&amp;DATE(2024,3,22))+countifs(QuitGrade,"1",QStart,"&gt;="&amp;DATE(2024,3,18),QStart,"&lt;="&amp;DATE(2024,3,22))</f>
        <v>0</v>
      </c>
      <c r="C35" s="1559">
        <f>countifs(QuitGrade,"1",QuitDate,"&gt;="&amp;DATE(2024,3,18),QuitDate,"&lt;="&amp;DATE(2024,3,22))</f>
        <v>0</v>
      </c>
      <c r="D35" s="1558">
        <f>countifs(JoinG2,"&gt;="&amp;DATE(2024,3,18),JoinG2,"&lt;="&amp;DATE(2024,3,22))+countifs(QuitGrade,"2",QStart,"&gt;="&amp;DATE(2024,3,18),QStart,"&lt;="&amp;DATE(2024,3,22))</f>
        <v>0</v>
      </c>
      <c r="E35" s="1559">
        <f>countifs(QuitGrade,"2",QuitDate,"&gt;="&amp;DATE(2024,3,18),QuitDate,"&lt;="&amp;DATE(2024,3,22))</f>
        <v>0</v>
      </c>
      <c r="F35" s="1558">
        <f>countifs(JoinG3,"&gt;="&amp;DATE(2024,3,18),JoinG3,"&lt;="&amp;DATE(2024,3,22))+countifs(QuitGrade,"3",QStart,"&gt;="&amp;DATE(2024,3,18),QStart,"&lt;="&amp;DATE(2024,3,22))</f>
        <v>0</v>
      </c>
      <c r="G35" s="1559">
        <f>countifs(QuitGrade,"3",QuitDate,"&gt;="&amp;DATE(2024,3,18),QuitDate,"&lt;="&amp;DATE(2024,3,22))</f>
        <v>0</v>
      </c>
      <c r="H35" s="1558">
        <f>countifs(JoinG4,"&gt;="&amp;DATE(2024,3,18),JoinG4,"&lt;="&amp;DATE(2024,3,22))+countifs(QuitGrade,"4",QStart,"&gt;="&amp;DATE(2024,3,18),QStart,"&lt;="&amp;DATE(2024,3,22))</f>
        <v>0</v>
      </c>
      <c r="I35" s="1559">
        <f>countifs(QuitGrade,"4",QuitDate,"&gt;="&amp;DATE(2024,3,18),QuitDate,"&lt;="&amp;DATE(2024,3,22))</f>
        <v>0</v>
      </c>
      <c r="J35" s="1558">
        <f>countifs(JoinG5,"&gt;="&amp;DATE(2024,3,18),JoinG5,"&lt;="&amp;DATE(2024,3,22))+countifs(QuitGrade,"5",QStart,"&gt;="&amp;DATE(2024,3,18),QStart,"&lt;="&amp;DATE(2024,3,22))</f>
        <v>0</v>
      </c>
      <c r="K35" s="1559">
        <f>countifs(QuitGrade,"5",QuitDate,"&gt;="&amp;DATE(2024,3,18),QuitDate,"&lt;="&amp;DATE(2024,3,22))</f>
        <v>0</v>
      </c>
      <c r="L35" s="1558">
        <f>countifs(JoinG7,"&gt;="&amp;DATE(2024,3,18),JoinG7,"&lt;="&amp;DATE(2024,3,22))+countifs(QuitGrade,"7",QStart,"&gt;="&amp;DATE(2024,3,18),QStart,"&lt;="&amp;DATE(2024,3,22))</f>
        <v>0</v>
      </c>
      <c r="M35" s="1559">
        <f>countifs(QuitGrade,"7",QuitDate,"&gt;="&amp;DATE(2024,3,18),QuitDate,"&lt;="&amp;DATE(2024,3,22))</f>
        <v>0</v>
      </c>
      <c r="N35" s="1566">
        <f t="shared" ref="N35:O35" si="38">sum(B35,D35,F35,H35,J35,L35)</f>
        <v>0</v>
      </c>
      <c r="O35" s="1567">
        <f t="shared" si="38"/>
        <v>0</v>
      </c>
      <c r="P35" s="1564">
        <f t="shared" si="33"/>
        <v>0</v>
      </c>
      <c r="Q35" s="396"/>
      <c r="R35" s="1568" t="s">
        <v>2418</v>
      </c>
      <c r="S35" s="1558">
        <f>countifs(JoinG1,"&gt;="&amp;DATE(2024,9,23),JoinG1,"&lt;="&amp;DATE(2024,9,27))+countifs(QuitGrade,"1",QStart,"&gt;="&amp;DATE(2024,9,23),QStart,"&lt;="&amp;DATE(2024,9,27))</f>
        <v>3</v>
      </c>
      <c r="T35" s="1559">
        <f>countifs(QuitGrade,"1",QuitDate,"&gt;="&amp;DATE(2024,9,23),QuitDate,"&lt;="&amp;DATE(2024,9,27))</f>
        <v>0</v>
      </c>
      <c r="U35" s="1558">
        <f>countifs(JoinG2,"&gt;="&amp;DATE(2024,9,23),JoinG2,"&lt;="&amp;DATE(2024,9,27))+countifs(QuitGrade,"2",QStart,"&gt;="&amp;DATE(2024,9,23),QStart,"&lt;="&amp;DATE(2024,9,27))</f>
        <v>3</v>
      </c>
      <c r="V35" s="1559">
        <f>countifs(QuitGrade,"2",QuitDate,"&gt;="&amp;DATE(2024,9,23),QuitDate,"&lt;="&amp;DATE(2024,9,27))</f>
        <v>0</v>
      </c>
      <c r="W35" s="1558">
        <f>countifs(JoinG3,"&gt;="&amp;DATE(2024,9,23),JoinG3,"&lt;="&amp;DATE(2024,9,27))+countifs(QuitGrade,"3",QStart,"&gt;="&amp;DATE(2024,9,23),QStart,"&lt;="&amp;DATE(2024,9,27))</f>
        <v>4</v>
      </c>
      <c r="X35" s="1559">
        <f>countifs(QuitGrade,"3",QuitDate,"&gt;="&amp;DATE(2024,9,23),QuitDate,"&lt;="&amp;DATE(2024,9,27))</f>
        <v>0</v>
      </c>
      <c r="Y35" s="1558">
        <f>countifs(JoinG4,"&gt;="&amp;DATE(2024,9,23),JoinG4,"&lt;="&amp;DATE(2024,9,27))+countifs(QuitGrade,"4",QStart,"&gt;="&amp;DATE(2024,9,23),QStart,"&lt;="&amp;DATE(2024,9,27))</f>
        <v>2</v>
      </c>
      <c r="Z35" s="1559">
        <f>countifs(QuitGrade,"4",QuitDate,"&gt;="&amp;DATE(2024,9,23),QuitDate,"&lt;="&amp;DATE(2024,9,27))</f>
        <v>0</v>
      </c>
      <c r="AA35" s="1558">
        <f>countifs(JoinG5,"&gt;="&amp;DATE(2024,9,23),JoinG5,"&lt;="&amp;DATE(2024,9,27))+countifs(QuitGrade,"5",QStart,"&gt;="&amp;DATE(2024,9,23),QStart,"&lt;="&amp;DATE(2024,9,27))</f>
        <v>0</v>
      </c>
      <c r="AB35" s="1559">
        <f>countifs(QuitGrade,"5",QuitDate,"&gt;="&amp;DATE(2024,9,23),QuitDate,"&lt;="&amp;DATE(2024,9,27))</f>
        <v>0</v>
      </c>
      <c r="AC35" s="1558">
        <f>countifs(JoinG7,"&gt;="&amp;DATE(2024,9,23),JoinG7,"&lt;="&amp;DATE(2024,9,27))+countifs(QuitGrade,"7",QStart,"&gt;="&amp;DATE(2024,9,23),QStart,"&lt;="&amp;DATE(2024,9,27))</f>
        <v>0</v>
      </c>
      <c r="AD35" s="1559">
        <f>countifs(QuitGrade,"7",QuitDate,"&gt;="&amp;DATE(2024,9,23),QuitDate,"&lt;="&amp;DATE(2024,9,27))</f>
        <v>0</v>
      </c>
      <c r="AE35" s="1560">
        <f t="shared" ref="AE35:AF35" si="39">sum(S35,U35,W35,Y35,AA35,AC35)</f>
        <v>12</v>
      </c>
      <c r="AF35" s="1567">
        <f t="shared" si="39"/>
        <v>0</v>
      </c>
      <c r="AG35" s="1564">
        <f t="shared" si="35"/>
        <v>12</v>
      </c>
      <c r="AH35" s="396"/>
      <c r="AI35" s="396"/>
      <c r="AJ35" s="396"/>
      <c r="AK35" s="396"/>
      <c r="AL35" s="396"/>
      <c r="AM35" s="396"/>
      <c r="AN35" s="396"/>
    </row>
    <row r="36">
      <c r="A36" s="1234" t="s">
        <v>2419</v>
      </c>
      <c r="B36" s="1558">
        <f>countifs(JoinG1,"&gt;="&amp;DATE(2024,3,25),JoinG1,"&lt;="&amp;DATE(2024,3,29))+countifs(QuitGrade,"1",QStart,"&gt;="&amp;DATE(2024,3,25),QStart,"&lt;="&amp;DATE(2024,3,29))</f>
        <v>0</v>
      </c>
      <c r="C36" s="1559">
        <f>countifs(QuitGrade,"1",QuitDate,"&gt;="&amp;DATE(2024,3,25),QuitDate,"&lt;="&amp;DATE(2024,3,29))</f>
        <v>0</v>
      </c>
      <c r="D36" s="1558">
        <f>countifs(JoinG2,"&gt;="&amp;DATE(2024,3,25),JoinG2,"&lt;="&amp;DATE(2024,3,29))+countifs(QuitGrade,"2",QStart,"&gt;="&amp;DATE(2024,3,25),QStart,"&lt;="&amp;DATE(2024,3,29))</f>
        <v>0</v>
      </c>
      <c r="E36" s="1559">
        <f>countifs(QuitGrade,"2",QuitDate,"&gt;="&amp;DATE(2024,3,25),QuitDate,"&lt;="&amp;DATE(2024,3,29))</f>
        <v>0</v>
      </c>
      <c r="F36" s="1558">
        <f>countifs(JoinG3,"&gt;="&amp;DATE(2024,3,25),JoinG3,"&lt;="&amp;DATE(2024,3,29))+countifs(QuitGrade,"3",QStart,"&gt;="&amp;DATE(2024,3,25),QStart,"&lt;="&amp;DATE(2024,3,29))</f>
        <v>0</v>
      </c>
      <c r="G36" s="1559">
        <f>countifs(QuitGrade,"3",QuitDate,"&gt;="&amp;DATE(2024,3,25),QuitDate,"&lt;="&amp;DATE(2024,3,29))</f>
        <v>0</v>
      </c>
      <c r="H36" s="1558">
        <f>countifs(JoinG4,"&gt;="&amp;DATE(2024,3,25),JoinG4,"&lt;="&amp;DATE(2024,3,29))+countifs(QuitGrade,"4",QStart,"&gt;="&amp;DATE(2024,3,25),QStart,"&lt;="&amp;DATE(2024,3,29))</f>
        <v>0</v>
      </c>
      <c r="I36" s="1559">
        <f>countifs(QuitGrade,"4",QuitDate,"&gt;="&amp;DATE(2024,3,25),QuitDate,"&lt;="&amp;DATE(2024,3,29))</f>
        <v>0</v>
      </c>
      <c r="J36" s="1558">
        <f>countifs(JoinG5,"&gt;="&amp;DATE(2024,3,25),JoinG5,"&lt;="&amp;DATE(2024,3,29))+countifs(QuitGrade,"5",QStart,"&gt;="&amp;DATE(2024,3,25),QStart,"&lt;="&amp;DATE(2024,3,29))</f>
        <v>0</v>
      </c>
      <c r="K36" s="1559">
        <f>countifs(QuitGrade,"5",QuitDate,"&gt;="&amp;DATE(2024,3,25),QuitDate,"&lt;="&amp;DATE(2024,3,29))</f>
        <v>0</v>
      </c>
      <c r="L36" s="1558">
        <f>countifs(JoinG7,"&gt;="&amp;DATE(2024,3,25),JoinG7,"&lt;="&amp;DATE(2024,3,29))+countifs(QuitGrade,"7",QStart,"&gt;="&amp;DATE(2024,3,25),QStart,"&lt;="&amp;DATE(2024,3,29))</f>
        <v>0</v>
      </c>
      <c r="M36" s="1559">
        <f>countifs(QuitGrade,"7",QuitDate,"&gt;="&amp;DATE(2024,3,25),QuitDate,"&lt;="&amp;DATE(2024,3,29))</f>
        <v>0</v>
      </c>
      <c r="N36" s="1566">
        <f t="shared" ref="N36:O36" si="40">sum(B36,D36,F36,H36,J36,L36)</f>
        <v>0</v>
      </c>
      <c r="O36" s="1599">
        <f t="shared" si="40"/>
        <v>0</v>
      </c>
      <c r="P36" s="1600">
        <f t="shared" si="33"/>
        <v>0</v>
      </c>
      <c r="Q36" s="396"/>
      <c r="R36" s="1572" t="s">
        <v>2420</v>
      </c>
      <c r="S36" s="1558">
        <f>countifs(JoinG1,"&gt;="&amp;DATE(2024,9,30),JoinG1,"&lt;="&amp;DATE(2024,9,30))+countifs(QuitGrade,"1",QStart,"&gt;="&amp;DATE(2024,9,30),QStart,"&lt;="&amp;DATE(2024,9,30))</f>
        <v>0</v>
      </c>
      <c r="T36" s="1559">
        <f>countifs(QuitGrade,"1",QuitDate,"&gt;="&amp;DATE(2024,9,30),QuitDate,"&lt;="&amp;DATE(2024,9,30))</f>
        <v>0</v>
      </c>
      <c r="U36" s="1558">
        <f>countifs(JoinG2,"&gt;="&amp;DATE(2024,9,30),JoinG2,"&lt;="&amp;DATE(2024,9,30))+countifs(QuitGrade,"2",QStart,"&gt;="&amp;DATE(2024,9,30),QStart,"&lt;="&amp;DATE(2024,9,30))</f>
        <v>0</v>
      </c>
      <c r="V36" s="1559">
        <f>countifs(QuitGrade,"2",QuitDate,"&gt;="&amp;DATE(2024,9,30),QuitDate,"&lt;="&amp;DATE(2024,9,30))</f>
        <v>0</v>
      </c>
      <c r="W36" s="1558">
        <f>countifs(JoinG3,"&gt;="&amp;DATE(2024,9,30),JoinG3,"&lt;="&amp;DATE(2024,9,30))+countifs(QuitGrade,"3",QStart,"&gt;="&amp;DATE(2024,9,30),QStart,"&lt;="&amp;DATE(2024,9,30))</f>
        <v>0</v>
      </c>
      <c r="X36" s="1559">
        <f>countifs(QuitGrade,"3",QuitDate,"&gt;="&amp;DATE(2024,9,30),QuitDate,"&lt;="&amp;DATE(2024,9,30))</f>
        <v>0</v>
      </c>
      <c r="Y36" s="1558">
        <f>countifs(JoinG4,"&gt;="&amp;DATE(2024,9,30),JoinG4,"&lt;="&amp;DATE(2024,9,30))+countifs(QuitGrade,"4",QStart,"&gt;="&amp;DATE(2024,9,30),QStart,"&lt;="&amp;DATE(2024,9,30))</f>
        <v>0</v>
      </c>
      <c r="Z36" s="1559">
        <f>countifs(QuitGrade,"4",QuitDate,"&gt;="&amp;DATE(2024,9,30),QuitDate,"&lt;="&amp;DATE(2024,9,30))</f>
        <v>0</v>
      </c>
      <c r="AA36" s="1558">
        <f>countifs(JoinG5,"&gt;="&amp;DATE(2024,9,30),JoinG5,"&lt;="&amp;DATE(2024,9,30))+countifs(QuitGrade,"5",QStart,"&gt;="&amp;DATE(2024,9,30),QStart,"&lt;="&amp;DATE(2024,9,30))</f>
        <v>0</v>
      </c>
      <c r="AB36" s="1559">
        <f>countifs(QuitGrade,"5",QuitDate,"&gt;="&amp;DATE(2024,9,30),QuitDate,"&lt;="&amp;DATE(2024,9,30))</f>
        <v>0</v>
      </c>
      <c r="AC36" s="1558">
        <f>countifs(JoinG7,"&gt;="&amp;DATE(2024,9,30),JoinG7,"&lt;="&amp;DATE(2024,9,30))+countifs(QuitGrade,"7",QStart,"&gt;="&amp;DATE(2024,9,30),QStart,"&lt;="&amp;DATE(2024,9,30))</f>
        <v>0</v>
      </c>
      <c r="AD36" s="1559">
        <f>countifs(QuitGrade,"7",QuitDate,"&gt;="&amp;DATE(2024,9,30),QuitDate,"&lt;="&amp;DATE(2024,9,30))</f>
        <v>0</v>
      </c>
      <c r="AE36" s="1560">
        <f t="shared" ref="AE36:AF36" si="41">sum(S36,U36,W36,Y36,AA36,AC36)</f>
        <v>0</v>
      </c>
      <c r="AF36" s="1599">
        <f t="shared" si="41"/>
        <v>0</v>
      </c>
      <c r="AG36" s="1600">
        <f t="shared" si="35"/>
        <v>0</v>
      </c>
      <c r="AH36" s="396"/>
      <c r="AI36" s="396"/>
      <c r="AJ36" s="396"/>
      <c r="AK36" s="396"/>
      <c r="AL36" s="396"/>
      <c r="AM36" s="396"/>
      <c r="AN36" s="396"/>
    </row>
    <row r="37">
      <c r="A37" s="1573" t="s">
        <v>182</v>
      </c>
      <c r="B37" s="1582">
        <f t="shared" ref="B37:P37" si="42">sum(B32:B36)</f>
        <v>6</v>
      </c>
      <c r="C37" s="1583">
        <f t="shared" si="42"/>
        <v>0</v>
      </c>
      <c r="D37" s="1584">
        <f t="shared" si="42"/>
        <v>5</v>
      </c>
      <c r="E37" s="1603">
        <f t="shared" si="42"/>
        <v>0</v>
      </c>
      <c r="F37" s="1582">
        <f t="shared" si="42"/>
        <v>1</v>
      </c>
      <c r="G37" s="1583">
        <f t="shared" si="42"/>
        <v>0</v>
      </c>
      <c r="H37" s="1584">
        <f t="shared" si="42"/>
        <v>0</v>
      </c>
      <c r="I37" s="1603">
        <f t="shared" si="42"/>
        <v>0</v>
      </c>
      <c r="J37" s="1582">
        <f t="shared" si="42"/>
        <v>0</v>
      </c>
      <c r="K37" s="1583">
        <f t="shared" si="42"/>
        <v>0</v>
      </c>
      <c r="L37" s="1584">
        <f t="shared" si="42"/>
        <v>0</v>
      </c>
      <c r="M37" s="1604">
        <f t="shared" si="42"/>
        <v>0</v>
      </c>
      <c r="N37" s="1585">
        <f t="shared" si="42"/>
        <v>12</v>
      </c>
      <c r="O37" s="1586">
        <f t="shared" si="42"/>
        <v>0</v>
      </c>
      <c r="P37" s="1587">
        <f t="shared" si="42"/>
        <v>12</v>
      </c>
      <c r="Q37" s="396"/>
      <c r="R37" s="1573" t="s">
        <v>182</v>
      </c>
      <c r="S37" s="1582">
        <f t="shared" ref="S37:AG37" si="43">sum(S32:S36)</f>
        <v>3</v>
      </c>
      <c r="T37" s="1583">
        <f t="shared" si="43"/>
        <v>0</v>
      </c>
      <c r="U37" s="1584">
        <f t="shared" si="43"/>
        <v>4</v>
      </c>
      <c r="V37" s="1583">
        <f t="shared" si="43"/>
        <v>0</v>
      </c>
      <c r="W37" s="1582">
        <f t="shared" si="43"/>
        <v>5</v>
      </c>
      <c r="X37" s="1583">
        <f t="shared" si="43"/>
        <v>0</v>
      </c>
      <c r="Y37" s="1584">
        <f t="shared" si="43"/>
        <v>2</v>
      </c>
      <c r="Z37" s="1583">
        <f t="shared" si="43"/>
        <v>0</v>
      </c>
      <c r="AA37" s="1582">
        <f t="shared" si="43"/>
        <v>0</v>
      </c>
      <c r="AB37" s="1583">
        <f t="shared" si="43"/>
        <v>0</v>
      </c>
      <c r="AC37" s="1584">
        <f t="shared" si="43"/>
        <v>0</v>
      </c>
      <c r="AD37" s="1583">
        <f t="shared" si="43"/>
        <v>0</v>
      </c>
      <c r="AE37" s="1585">
        <f t="shared" si="43"/>
        <v>14</v>
      </c>
      <c r="AF37" s="1586">
        <f t="shared" si="43"/>
        <v>0</v>
      </c>
      <c r="AG37" s="1587">
        <f t="shared" si="43"/>
        <v>14</v>
      </c>
      <c r="AH37" s="396"/>
      <c r="AI37" s="396"/>
      <c r="AJ37" s="396"/>
      <c r="AK37" s="396"/>
      <c r="AL37" s="396"/>
      <c r="AM37" s="396"/>
      <c r="AN37" s="396"/>
    </row>
    <row r="38">
      <c r="A38" s="1539"/>
      <c r="B38" s="396"/>
      <c r="C38" s="396"/>
      <c r="D38" s="396"/>
      <c r="E38" s="396"/>
      <c r="F38" s="396"/>
      <c r="G38" s="396"/>
      <c r="H38" s="396"/>
      <c r="I38" s="396"/>
      <c r="J38" s="396"/>
      <c r="K38" s="396"/>
      <c r="L38" s="396"/>
      <c r="M38" s="396"/>
      <c r="N38" s="396"/>
      <c r="O38" s="396"/>
      <c r="P38" s="396"/>
      <c r="Q38" s="396"/>
      <c r="R38" s="1539"/>
      <c r="S38" s="396"/>
      <c r="T38" s="396"/>
      <c r="U38" s="396"/>
      <c r="V38" s="396"/>
      <c r="W38" s="396"/>
      <c r="X38" s="396"/>
      <c r="Y38" s="396"/>
      <c r="Z38" s="396"/>
      <c r="AA38" s="396"/>
      <c r="AB38" s="396"/>
      <c r="AC38" s="396"/>
      <c r="AD38" s="396"/>
      <c r="AE38" s="396"/>
      <c r="AF38" s="396"/>
      <c r="AG38" s="396"/>
      <c r="AH38" s="396"/>
      <c r="AI38" s="396"/>
      <c r="AJ38" s="396"/>
      <c r="AK38" s="396"/>
      <c r="AL38" s="396"/>
      <c r="AM38" s="396"/>
      <c r="AN38" s="396"/>
    </row>
    <row r="39">
      <c r="A39" s="1540">
        <v>45383.0</v>
      </c>
      <c r="B39" s="396"/>
      <c r="C39" s="396"/>
      <c r="D39" s="396"/>
      <c r="E39" s="396"/>
      <c r="F39" s="396"/>
      <c r="G39" s="396"/>
      <c r="H39" s="396"/>
      <c r="I39" s="396"/>
      <c r="J39" s="396"/>
      <c r="K39" s="396"/>
      <c r="L39" s="396"/>
      <c r="M39" s="396"/>
      <c r="N39" s="396"/>
      <c r="O39" s="396"/>
      <c r="P39" s="396"/>
      <c r="Q39" s="1541"/>
      <c r="R39" s="1542">
        <v>45566.0</v>
      </c>
      <c r="S39" s="396"/>
      <c r="T39" s="396"/>
      <c r="U39" s="699"/>
      <c r="V39" s="396"/>
      <c r="W39" s="396"/>
      <c r="X39" s="396"/>
      <c r="Y39" s="396"/>
      <c r="Z39" s="396"/>
      <c r="AA39" s="396"/>
      <c r="AB39" s="396"/>
      <c r="AC39" s="396"/>
      <c r="AD39" s="396"/>
      <c r="AE39" s="396"/>
      <c r="AF39" s="396"/>
      <c r="AG39" s="396"/>
      <c r="AH39" s="396"/>
      <c r="AI39" s="396"/>
      <c r="AJ39" s="396"/>
      <c r="AK39" s="396"/>
      <c r="AL39" s="396"/>
      <c r="AM39" s="396"/>
      <c r="AN39" s="396"/>
    </row>
    <row r="40">
      <c r="A40" s="396"/>
      <c r="B40" s="396"/>
      <c r="C40" s="396"/>
      <c r="D40" s="396"/>
      <c r="E40" s="396"/>
      <c r="F40" s="396"/>
      <c r="G40" s="396"/>
      <c r="H40" s="396"/>
      <c r="I40" s="396"/>
      <c r="J40" s="396"/>
      <c r="K40" s="396"/>
      <c r="L40" s="396"/>
      <c r="M40" s="396"/>
      <c r="N40" s="396"/>
      <c r="O40" s="396"/>
      <c r="P40" s="1539"/>
      <c r="Q40" s="396"/>
      <c r="R40" s="396"/>
      <c r="S40" s="396"/>
      <c r="T40" s="396"/>
      <c r="U40" s="396"/>
      <c r="V40" s="396"/>
      <c r="W40" s="396"/>
      <c r="X40" s="396"/>
      <c r="Y40" s="396"/>
      <c r="Z40" s="396"/>
      <c r="AA40" s="396"/>
      <c r="AB40" s="396"/>
      <c r="AC40" s="396"/>
      <c r="AD40" s="396"/>
      <c r="AE40" s="396"/>
      <c r="AF40" s="396"/>
      <c r="AG40" s="396"/>
      <c r="AH40" s="396"/>
      <c r="AI40" s="396"/>
      <c r="AJ40" s="396"/>
      <c r="AK40" s="396"/>
      <c r="AL40" s="396"/>
      <c r="AM40" s="396"/>
      <c r="AN40" s="396"/>
    </row>
    <row r="41">
      <c r="A41" s="1549" t="s">
        <v>2388</v>
      </c>
      <c r="B41" s="1544" t="s">
        <v>2381</v>
      </c>
      <c r="C41" s="1545"/>
      <c r="D41" s="1544" t="s">
        <v>2382</v>
      </c>
      <c r="E41" s="1545"/>
      <c r="F41" s="1544" t="s">
        <v>2383</v>
      </c>
      <c r="G41" s="1545"/>
      <c r="H41" s="1544" t="s">
        <v>2384</v>
      </c>
      <c r="I41" s="1545"/>
      <c r="J41" s="1544" t="s">
        <v>2385</v>
      </c>
      <c r="K41" s="1545"/>
      <c r="L41" s="1544" t="s">
        <v>2386</v>
      </c>
      <c r="M41" s="1545"/>
      <c r="N41" s="1547" t="s">
        <v>182</v>
      </c>
      <c r="O41" s="1545"/>
      <c r="P41" s="1548" t="s">
        <v>2387</v>
      </c>
      <c r="Q41" s="396"/>
      <c r="R41" s="1549" t="s">
        <v>2388</v>
      </c>
      <c r="S41" s="1544" t="s">
        <v>2381</v>
      </c>
      <c r="T41" s="1545"/>
      <c r="U41" s="1544" t="s">
        <v>2382</v>
      </c>
      <c r="V41" s="1545"/>
      <c r="W41" s="1544" t="s">
        <v>2383</v>
      </c>
      <c r="X41" s="1545"/>
      <c r="Y41" s="1544" t="s">
        <v>2384</v>
      </c>
      <c r="Z41" s="1545"/>
      <c r="AA41" s="1544" t="s">
        <v>2385</v>
      </c>
      <c r="AB41" s="1545"/>
      <c r="AC41" s="1544" t="s">
        <v>2386</v>
      </c>
      <c r="AD41" s="1545"/>
      <c r="AE41" s="1547" t="s">
        <v>182</v>
      </c>
      <c r="AF41" s="1545"/>
      <c r="AG41" s="1548" t="s">
        <v>2387</v>
      </c>
      <c r="AH41" s="396"/>
      <c r="AI41" s="396"/>
      <c r="AJ41" s="396"/>
      <c r="AK41" s="396"/>
      <c r="AL41" s="396"/>
      <c r="AM41" s="396"/>
      <c r="AN41" s="396"/>
    </row>
    <row r="42">
      <c r="A42" s="1550"/>
      <c r="B42" s="1557" t="s">
        <v>2389</v>
      </c>
      <c r="C42" s="1552" t="s">
        <v>2390</v>
      </c>
      <c r="D42" s="1557" t="s">
        <v>2389</v>
      </c>
      <c r="E42" s="1552" t="s">
        <v>2390</v>
      </c>
      <c r="F42" s="1557" t="s">
        <v>2389</v>
      </c>
      <c r="G42" s="1552" t="s">
        <v>2390</v>
      </c>
      <c r="H42" s="1557" t="s">
        <v>2389</v>
      </c>
      <c r="I42" s="1552" t="s">
        <v>2390</v>
      </c>
      <c r="J42" s="1557" t="s">
        <v>2389</v>
      </c>
      <c r="K42" s="1552" t="s">
        <v>2390</v>
      </c>
      <c r="L42" s="1557" t="s">
        <v>2389</v>
      </c>
      <c r="M42" s="1552" t="s">
        <v>2390</v>
      </c>
      <c r="N42" s="1554" t="s">
        <v>2389</v>
      </c>
      <c r="O42" s="1555" t="s">
        <v>2390</v>
      </c>
      <c r="P42" s="1556"/>
      <c r="Q42" s="396"/>
      <c r="R42" s="1550"/>
      <c r="S42" s="1557" t="s">
        <v>2389</v>
      </c>
      <c r="T42" s="1552" t="s">
        <v>2390</v>
      </c>
      <c r="U42" s="1557" t="s">
        <v>2389</v>
      </c>
      <c r="V42" s="1552" t="s">
        <v>2390</v>
      </c>
      <c r="W42" s="1557" t="s">
        <v>2389</v>
      </c>
      <c r="X42" s="1552" t="s">
        <v>2390</v>
      </c>
      <c r="Y42" s="1557" t="s">
        <v>2389</v>
      </c>
      <c r="Z42" s="1552" t="s">
        <v>2390</v>
      </c>
      <c r="AA42" s="1557" t="s">
        <v>2389</v>
      </c>
      <c r="AB42" s="1552" t="s">
        <v>2390</v>
      </c>
      <c r="AC42" s="1557" t="s">
        <v>2389</v>
      </c>
      <c r="AD42" s="1552" t="s">
        <v>2390</v>
      </c>
      <c r="AE42" s="1554" t="s">
        <v>2389</v>
      </c>
      <c r="AF42" s="1555" t="s">
        <v>2390</v>
      </c>
      <c r="AG42" s="1556"/>
      <c r="AH42" s="396"/>
      <c r="AI42" s="396"/>
      <c r="AJ42" s="396"/>
      <c r="AK42" s="396"/>
      <c r="AL42" s="396"/>
      <c r="AM42" s="396"/>
      <c r="AN42" s="396"/>
    </row>
    <row r="43">
      <c r="A43" s="1515" t="s">
        <v>2421</v>
      </c>
      <c r="B43" s="1558">
        <f>countifs(JoinG1,"&gt;="&amp;DATE(2024,4,1),JoinG1,"&lt;="&amp;DATE(2024,4,5))+countifs(QuitGrade,"1",QStart,"&gt;="&amp;DATE(2024,4,1),QStart,"&lt;="&amp;DATE(2024,4,5))</f>
        <v>23</v>
      </c>
      <c r="C43" s="1559">
        <f>countifs(QuitGrade,"1",QuitDate,"&gt;="&amp;DATE(2024,4,1),QuitDate,"&lt;="&amp;DATE(2024,4,5))</f>
        <v>0</v>
      </c>
      <c r="D43" s="1558">
        <f>countifs(JoinG2,"&gt;="&amp;DATE(2024,4,1),JoinG2,"&lt;="&amp;DATE(2024,4,5))+countifs(QuitGrade,"2",QStart,"&gt;="&amp;DATE(2024,4,1),QStart,"&lt;="&amp;DATE(2024,4,5))</f>
        <v>11</v>
      </c>
      <c r="E43" s="1559">
        <f>countifs(QuitGrade,"2",QuitDate,"&gt;="&amp;DATE(2024,4,1),QuitDate,"&lt;="&amp;DATE(2024,4,5))</f>
        <v>0</v>
      </c>
      <c r="F43" s="1558">
        <f>countifs(JoinG3,"&gt;="&amp;DATE(2024,4,1),JoinG3,"&lt;="&amp;DATE(2024,4,5))+countifs(QuitGrade,"3",QStart,"&gt;="&amp;DATE(2024,4,1),QStart,"&lt;="&amp;DATE(2024,4,5))</f>
        <v>5</v>
      </c>
      <c r="G43" s="1559">
        <f>countifs(QuitGrade,"3",QuitDate,"&gt;="&amp;DATE(2024,4,1),QuitDate,"&lt;="&amp;DATE(2024,4,5))</f>
        <v>0</v>
      </c>
      <c r="H43" s="1558">
        <f>countifs(JoinG4,"&gt;="&amp;DATE(2024,4,1),JoinG4,"&lt;="&amp;DATE(2024,4,5))+countifs(QuitGrade,"4",QStart,"&gt;="&amp;DATE(2024,4,1),QStart,"&lt;="&amp;DATE(2024,4,5))</f>
        <v>0</v>
      </c>
      <c r="I43" s="1559">
        <f>countifs(QuitGrade,"4",QuitDate,"&gt;="&amp;DATE(2024,4,1),QuitDate,"&lt;="&amp;DATE(2024,4,5))</f>
        <v>0</v>
      </c>
      <c r="J43" s="1558">
        <f>countifs(JoinG5,"&gt;="&amp;DATE(2024,4,1),JoinG5,"&lt;="&amp;DATE(2024,4,5))+countifs(QuitGrade,"5",QStart,"&gt;="&amp;DATE(2024,4,1),QStart,"&lt;="&amp;DATE(2024,4,5))</f>
        <v>0</v>
      </c>
      <c r="K43" s="1559">
        <f>countifs(QuitGrade,"5",QuitDate,"&gt;="&amp;DATE(2024,4,1),QuitDate,"&lt;="&amp;DATE(2024,4,5))</f>
        <v>0</v>
      </c>
      <c r="L43" s="1558">
        <f>countifs(JoinG7,"&gt;="&amp;DATE(2024,4,1),JoinG7,"&lt;="&amp;DATE(2024,4,5))+countifs(QuitGrade,"7",QStart,"&gt;="&amp;DATE(2024,4,1),QStart,"&lt;="&amp;DATE(2024,4,5))</f>
        <v>0</v>
      </c>
      <c r="M43" s="1559">
        <f>countifs(QuitGrade,"7",QuitDate,"&gt;="&amp;DATE(2024,4,1),QuitDate,"&lt;="&amp;DATE(2024,4,5))</f>
        <v>0</v>
      </c>
      <c r="N43" s="1560">
        <f t="shared" ref="N43:O43" si="44">sum(B43,D43,F43,H43,J43,L43)</f>
        <v>39</v>
      </c>
      <c r="O43" s="1561">
        <f t="shared" si="44"/>
        <v>0</v>
      </c>
      <c r="P43" s="1564">
        <f t="shared" ref="P43:P47" si="47">minus(N43,O43)</f>
        <v>39</v>
      </c>
      <c r="Q43" s="396"/>
      <c r="R43" s="1563" t="s">
        <v>2422</v>
      </c>
      <c r="S43" s="1558">
        <f>countifs(JoinG1,"&gt;="&amp;DATE(2024,10,1),JoinG1,"&lt;="&amp;DATE(2024,10,4))+countifs(QuitGrade,"1",QStart,"&gt;="&amp;DATE(2024,10,1),QStart,"&lt;="&amp;DATE(2024,10,4))</f>
        <v>2</v>
      </c>
      <c r="T43" s="1559">
        <f>countifs(QuitGrade,"1",QuitDate,"&gt;="&amp;DATE(2024,10,1),QuitDate,"&lt;="&amp;DATE(2024,10,4))</f>
        <v>0</v>
      </c>
      <c r="U43" s="1558">
        <f>countifs(JoinG2,"&gt;="&amp;DATE(2024,10,1),JoinG2,"&lt;="&amp;DATE(2024,10,4))+countifs(QuitGrade,"2",QStart,"&gt;="&amp;DATE(2024,10,1),QStart,"&lt;="&amp;DATE(2024,10,4))</f>
        <v>0</v>
      </c>
      <c r="V43" s="1559">
        <f>countifs(QuitGrade,"2",QuitDate,"&gt;="&amp;DATE(2024,10,1),QuitDate,"&lt;="&amp;DATE(2024,10,4))</f>
        <v>0</v>
      </c>
      <c r="W43" s="1558">
        <f>countifs(JoinG3,"&gt;="&amp;DATE(2024,10,1),JoinG3,"&lt;="&amp;DATE(2024,10,4))+countifs(QuitGrade,"3",QStart,"&gt;="&amp;DATE(2024,10,1),QStart,"&lt;="&amp;DATE(2024,10,4))</f>
        <v>0</v>
      </c>
      <c r="X43" s="1559">
        <f>countifs(QuitGrade,"3",QuitDate,"&gt;="&amp;DATE(2024,10,1),QuitDate,"&lt;="&amp;DATE(2024,10,4))</f>
        <v>0</v>
      </c>
      <c r="Y43" s="1558">
        <f>countifs(JoinG4,"&gt;="&amp;DATE(2024,10,1),JoinG4,"&lt;="&amp;DATE(2024,10,4))+countifs(QuitGrade,"4",QStart,"&gt;="&amp;DATE(2024,10,1),QStart,"&lt;="&amp;DATE(2024,10,4))</f>
        <v>0</v>
      </c>
      <c r="Z43" s="1559">
        <f>countifs(QuitGrade,"4",QuitDate,"&gt;="&amp;DATE(2024,10,1),QuitDate,"&lt;="&amp;DATE(2024,10,4))</f>
        <v>0</v>
      </c>
      <c r="AA43" s="1558">
        <f>countifs(JoinG5,"&gt;="&amp;DATE(2024,10,1),JoinG5,"&lt;="&amp;DATE(2024,10,4))+countifs(QuitGrade,"5",QStart,"&gt;="&amp;DATE(2024,10,1),QStart,"&lt;="&amp;DATE(2024,10,4))</f>
        <v>0</v>
      </c>
      <c r="AB43" s="1559">
        <f>countifs(QuitGrade,"5",QuitDate,"&gt;="&amp;DATE(2024,10,1),QuitDate,"&lt;="&amp;DATE(2024,10,4))</f>
        <v>0</v>
      </c>
      <c r="AC43" s="1558">
        <f>countifs(JoinG7,"&gt;="&amp;DATE(2024,10,1),JoinG7,"&lt;="&amp;DATE(2024,10,4))+countifs(QuitGrade,"7",QStart,"&gt;="&amp;DATE(2024,10,1),QStart,"&lt;="&amp;DATE(2024,10,4))</f>
        <v>0</v>
      </c>
      <c r="AD43" s="1559">
        <f>countifs(QuitGrade,"7",QuitDate,"&gt;="&amp;DATE(2024,10,1),QuitDate,"&lt;="&amp;DATE(2024,10,4))</f>
        <v>0</v>
      </c>
      <c r="AE43" s="1560">
        <f t="shared" ref="AE43:AF43" si="45">sum(S43,U43,W43,Y43,AA43,AC43)</f>
        <v>2</v>
      </c>
      <c r="AF43" s="1561">
        <f t="shared" si="45"/>
        <v>0</v>
      </c>
      <c r="AG43" s="1564">
        <f t="shared" ref="AG43:AG47" si="49">minus(AE43,AF43)</f>
        <v>2</v>
      </c>
      <c r="AH43" s="396"/>
      <c r="AI43" s="396"/>
      <c r="AJ43" s="396"/>
      <c r="AK43" s="396"/>
      <c r="AL43" s="396"/>
      <c r="AM43" s="396"/>
      <c r="AN43" s="396"/>
    </row>
    <row r="44">
      <c r="A44" s="1234" t="s">
        <v>2423</v>
      </c>
      <c r="B44" s="1558">
        <f>countifs(JoinG1,"&gt;="&amp;DATE(2024,4,8),JoinG1,"&lt;="&amp;DATE(2024,4,12))+countifs(QuitGrade,"1",QStart,"&gt;="&amp;DATE(2024,4,8),QStart,"&lt;="&amp;DATE(2024,4,12))</f>
        <v>1</v>
      </c>
      <c r="C44" s="1559">
        <f>countifs(QuitGrade,"1",QuitDate,"&gt;="&amp;DATE(2024,4,8),QuitDate,"&lt;="&amp;DATE(2024,4,12))</f>
        <v>0</v>
      </c>
      <c r="D44" s="1558">
        <f>countifs(JoinG2,"&gt;="&amp;DATE(2024,4,8),JoinG2,"&lt;="&amp;DATE(2024,4,12))+countifs(QuitGrade,"2",QStart,"&gt;="&amp;DATE(2024,4,8),QStart,"&lt;="&amp;DATE(2024,4,12))</f>
        <v>2</v>
      </c>
      <c r="E44" s="1559">
        <f>countifs(QuitGrade,"2",QuitDate,"&gt;="&amp;DATE(2024,4,8),QuitDate,"&lt;="&amp;DATE(2024,4,12))</f>
        <v>0</v>
      </c>
      <c r="F44" s="1558">
        <f>countifs(JoinG3,"&gt;="&amp;DATE(2024,4,8),JoinG3,"&lt;="&amp;DATE(2024,4,12))+countifs(QuitGrade,"3",QStart,"&gt;="&amp;DATE(2024,4,8),QStart,"&lt;="&amp;DATE(2024,4,12))</f>
        <v>0</v>
      </c>
      <c r="G44" s="1559">
        <f>countifs(QuitGrade,"3",QuitDate,"&gt;="&amp;DATE(2024,4,8),QuitDate,"&lt;="&amp;DATE(2024,4,12))</f>
        <v>0</v>
      </c>
      <c r="H44" s="1558">
        <f>countifs(JoinG4,"&gt;="&amp;DATE(2024,4,8),JoinG4,"&lt;="&amp;DATE(2024,4,12))+countifs(QuitGrade,"4",QStart,"&gt;="&amp;DATE(2024,4,8),QStart,"&lt;="&amp;DATE(2024,4,12))</f>
        <v>0</v>
      </c>
      <c r="I44" s="1559">
        <f>countifs(QuitGrade,"4",QuitDate,"&gt;="&amp;DATE(2024,4,8),QuitDate,"&lt;="&amp;DATE(2024,4,12))</f>
        <v>0</v>
      </c>
      <c r="J44" s="1558">
        <f>countifs(JoinG5,"&gt;="&amp;DATE(2024,4,8),JoinG5,"&lt;="&amp;DATE(2024,4,12))+countifs(QuitGrade,"5",QStart,"&gt;="&amp;DATE(2024,4,8),QStart,"&lt;="&amp;DATE(2024,4,12))</f>
        <v>0</v>
      </c>
      <c r="K44" s="1559">
        <f>countifs(QuitGrade,"5",QuitDate,"&gt;="&amp;DATE(2024,4,8),QuitDate,"&lt;="&amp;DATE(2024,4,12))</f>
        <v>0</v>
      </c>
      <c r="L44" s="1558">
        <f>countifs(JoinG7,"&gt;="&amp;DATE(2024,4,8),JoinG7,"&lt;="&amp;DATE(2024,4,12))+countifs(QuitGrade,"7",QStart,"&gt;="&amp;DATE(2024,4,8),QStart,"&lt;="&amp;DATE(2024,4,12))</f>
        <v>0</v>
      </c>
      <c r="M44" s="1559">
        <f>countifs(QuitGrade,"7",QuitDate,"&gt;="&amp;DATE(2024,4,8),QuitDate,"&lt;="&amp;DATE(2024,4,12))</f>
        <v>0</v>
      </c>
      <c r="N44" s="1560">
        <f t="shared" ref="N44:O44" si="46">sum(B44,D44,F44,H44,J44,L44)</f>
        <v>3</v>
      </c>
      <c r="O44" s="1567">
        <f t="shared" si="46"/>
        <v>0</v>
      </c>
      <c r="P44" s="1564">
        <f t="shared" si="47"/>
        <v>3</v>
      </c>
      <c r="Q44" s="396"/>
      <c r="R44" s="1568" t="s">
        <v>2424</v>
      </c>
      <c r="S44" s="1558">
        <f>countifs(JoinG1,"&gt;="&amp;DATE(2024,10,7),JoinG1,"&lt;="&amp;DATE(2024,10,11))+countifs(QuitGrade,"1",QStart,"&gt;="&amp;DATE(2024,10,7),QStart,"&lt;="&amp;DATE(2024,10,11))</f>
        <v>1</v>
      </c>
      <c r="T44" s="1559">
        <f>countifs(QuitGrade,"1",QuitDate,"&gt;="&amp;DATE(2024,10,7),QuitDate,"&lt;="&amp;DATE(2024,10,11))</f>
        <v>0</v>
      </c>
      <c r="U44" s="1558">
        <f>countifs(JoinG2,"&gt;="&amp;DATE(2024,10,7),JoinG2,"&lt;="&amp;DATE(2024,10,11))+countifs(QuitGrade,"2",QStart,"&gt;="&amp;DATE(2024,10,7),QStart,"&lt;="&amp;DATE(2024,10,11))</f>
        <v>0</v>
      </c>
      <c r="V44" s="1559">
        <f>countifs(QuitGrade,"2",QuitDate,"&gt;="&amp;DATE(2024,10,7),QuitDate,"&lt;="&amp;DATE(2024,10,11))</f>
        <v>0</v>
      </c>
      <c r="W44" s="1558">
        <f>countifs(JoinG3,"&gt;="&amp;DATE(2024,10,7),JoinG3,"&lt;="&amp;DATE(2024,10,11))+countifs(QuitGrade,"3",QStart,"&gt;="&amp;DATE(2024,10,7),QStart,"&lt;="&amp;DATE(2024,10,11))</f>
        <v>2</v>
      </c>
      <c r="X44" s="1559">
        <f>countifs(QuitGrade,"3",QuitDate,"&gt;="&amp;DATE(2024,10,7),QuitDate,"&lt;="&amp;DATE(2024,10,11))</f>
        <v>0</v>
      </c>
      <c r="Y44" s="1558">
        <f>countifs(JoinG4,"&gt;="&amp;DATE(2024,10,7),JoinG4,"&lt;="&amp;DATE(2024,10,11))+countifs(QuitGrade,"4",QStart,"&gt;="&amp;DATE(2024,10,7),QStart,"&lt;="&amp;DATE(2024,10,11))</f>
        <v>0</v>
      </c>
      <c r="Z44" s="1559">
        <f>countifs(QuitGrade,"4",QuitDate,"&gt;="&amp;DATE(2024,10,7),QuitDate,"&lt;="&amp;DATE(2024,10,11))</f>
        <v>0</v>
      </c>
      <c r="AA44" s="1558">
        <f>countifs(JoinG5,"&gt;="&amp;DATE(2024,10,7),JoinG5,"&lt;="&amp;DATE(2024,10,11))+countifs(QuitGrade,"5",QStart,"&gt;="&amp;DATE(2024,10,7),QStart,"&lt;="&amp;DATE(2024,10,11))</f>
        <v>0</v>
      </c>
      <c r="AB44" s="1559">
        <f>countifs(QuitGrade,"5",QuitDate,"&gt;="&amp;DATE(2024,10,7),QuitDate,"&lt;="&amp;DATE(2024,10,11))</f>
        <v>0</v>
      </c>
      <c r="AC44" s="1558">
        <f>countifs(JoinG7,"&gt;="&amp;DATE(2024,10,7),JoinG7,"&lt;="&amp;DATE(2024,10,11))+countifs(QuitGrade,"7",QStart,"&gt;="&amp;DATE(2024,10,7),QStart,"&lt;="&amp;DATE(2024,10,11))</f>
        <v>0</v>
      </c>
      <c r="AD44" s="1559">
        <f>countifs(QuitGrade,"7",QuitDate,"&gt;="&amp;DATE(2024,10,7),QuitDate,"&lt;="&amp;DATE(2024,10,11))</f>
        <v>0</v>
      </c>
      <c r="AE44" s="1560">
        <f t="shared" ref="AE44:AF44" si="48">sum(S44,U44,W44,Y44,AA44,AC44)</f>
        <v>3</v>
      </c>
      <c r="AF44" s="1567">
        <f t="shared" si="48"/>
        <v>0</v>
      </c>
      <c r="AG44" s="1564">
        <f t="shared" si="49"/>
        <v>3</v>
      </c>
      <c r="AH44" s="396"/>
      <c r="AI44" s="396"/>
      <c r="AJ44" s="396"/>
      <c r="AK44" s="396"/>
      <c r="AL44" s="396"/>
      <c r="AM44" s="396"/>
      <c r="AN44" s="396"/>
    </row>
    <row r="45">
      <c r="A45" s="1234" t="s">
        <v>2425</v>
      </c>
      <c r="B45" s="1558">
        <f>countifs(JoinG1,"&gt;="&amp;DATE(2024,4,15),JoinG1,"&lt;="&amp;DATE(2024,4,19))+countifs(QuitGrade,"1",QStart,"&gt;="&amp;DATE(2024,4,15),QStart,"&lt;="&amp;DATE(2024,4,19))</f>
        <v>0</v>
      </c>
      <c r="C45" s="1559">
        <f>countifs(QuitGrade,"1",QuitDate,"&gt;="&amp;DATE(2024,4,15),QuitDate,"&lt;="&amp;DATE(2024,4,19))</f>
        <v>0</v>
      </c>
      <c r="D45" s="1558">
        <f>countifs(JoinG2,"&gt;="&amp;DATE(2024,4,15),JoinG2,"&lt;="&amp;DATE(2024,4,19))+countifs(QuitGrade,"2",QStart,"&gt;="&amp;DATE(2024,4,15),QStart,"&lt;="&amp;DATE(2024,4,19))</f>
        <v>2</v>
      </c>
      <c r="E45" s="1559">
        <f>countifs(QuitGrade,"2",QuitDate,"&gt;="&amp;DATE(2024,4,15),QuitDate,"&lt;="&amp;DATE(2024,4,19))</f>
        <v>0</v>
      </c>
      <c r="F45" s="1558">
        <f>countifs(JoinG3,"&gt;="&amp;DATE(2024,4,15),JoinG3,"&lt;="&amp;DATE(2024,4,19))+countifs(QuitGrade,"3",QStart,"&gt;="&amp;DATE(2024,4,15),QStart,"&lt;="&amp;DATE(2024,4,19))</f>
        <v>0</v>
      </c>
      <c r="G45" s="1559">
        <f>countifs(QuitGrade,"3",QuitDate,"&gt;="&amp;DATE(2024,4,15),QuitDate,"&lt;="&amp;DATE(2024,4,19))</f>
        <v>0</v>
      </c>
      <c r="H45" s="1558">
        <f>countifs(JoinG4,"&gt;="&amp;DATE(2024,4,15),JoinG4,"&lt;="&amp;DATE(2024,4,19))+countifs(QuitGrade,"4",QStart,"&gt;="&amp;DATE(2024,4,15),QStart,"&lt;="&amp;DATE(2024,4,19))</f>
        <v>0</v>
      </c>
      <c r="I45" s="1559">
        <f>countifs(QuitGrade,"4",QuitDate,"&gt;="&amp;DATE(2024,4,15),QuitDate,"&lt;="&amp;DATE(2024,4,19))</f>
        <v>0</v>
      </c>
      <c r="J45" s="1558">
        <f>countifs(JoinG5,"&gt;="&amp;DATE(2024,4,15),JoinG5,"&lt;="&amp;DATE(2024,4,19))+countifs(QuitGrade,"5",QStart,"&gt;="&amp;DATE(2024,4,15),QStart,"&lt;="&amp;DATE(2024,4,19))</f>
        <v>0</v>
      </c>
      <c r="K45" s="1559">
        <f>countifs(QuitGrade,"5",QuitDate,"&gt;="&amp;DATE(2024,4,15),QuitDate,"&lt;="&amp;DATE(2024,4,19))</f>
        <v>0</v>
      </c>
      <c r="L45" s="1558">
        <f>countifs(JoinG7,"&gt;="&amp;DATE(2024,4,15),JoinG7,"&lt;="&amp;DATE(2024,4,19))+countifs(QuitGrade,"7",QStart,"&gt;="&amp;DATE(2024,4,15),QStart,"&lt;="&amp;DATE(2024,4,19))</f>
        <v>0</v>
      </c>
      <c r="M45" s="1559">
        <f>countifs(QuitGrade,"7",QuitDate,"&gt;="&amp;DATE(2024,4,15),QuitDate,"&lt;="&amp;DATE(2024,4,19))</f>
        <v>0</v>
      </c>
      <c r="N45" s="1560">
        <f t="shared" ref="N45:O45" si="50">sum(B45,D45,F45,H45,J45,L45)</f>
        <v>2</v>
      </c>
      <c r="O45" s="1567">
        <f t="shared" si="50"/>
        <v>0</v>
      </c>
      <c r="P45" s="1564">
        <f t="shared" si="47"/>
        <v>2</v>
      </c>
      <c r="Q45" s="396"/>
      <c r="R45" s="1568" t="s">
        <v>2426</v>
      </c>
      <c r="S45" s="1558">
        <f>countifs(JoinG1,"&gt;="&amp;DATE(2024,10,14),JoinG1,"&lt;="&amp;DATE(2024,10,18))+countifs(QuitGrade,"1",QStart,"&gt;="&amp;DATE(2024,10,14),QStart,"&lt;="&amp;DATE(2024,10,18))</f>
        <v>2</v>
      </c>
      <c r="T45" s="1559">
        <f>countifs(QuitGrade,"1",QuitDate,"&gt;="&amp;DATE(2024,10,14),QuitDate,"&lt;="&amp;DATE(2024,10,18))</f>
        <v>0</v>
      </c>
      <c r="U45" s="1558">
        <f>countifs(JoinG2,"&gt;="&amp;DATE(2024,10,14),JoinG2,"&lt;="&amp;DATE(2024,10,18))+countifs(QuitGrade,"2",QStart,"&gt;="&amp;DATE(2024,10,14),QStart,"&lt;="&amp;DATE(2024,10,18))</f>
        <v>1</v>
      </c>
      <c r="V45" s="1559">
        <f>countifs(QuitGrade,"2",QuitDate,"&gt;="&amp;DATE(2024,10,14),QuitDate,"&lt;="&amp;DATE(2024,10,18))</f>
        <v>0</v>
      </c>
      <c r="W45" s="1558">
        <f>countifs(JoinG3,"&gt;="&amp;DATE(2024,10,14),JoinG3,"&lt;="&amp;DATE(2024,10,18))+countifs(QuitGrade,"3",QStart,"&gt;="&amp;DATE(2024,10,14),QStart,"&lt;="&amp;DATE(2024,10,18))</f>
        <v>1</v>
      </c>
      <c r="X45" s="1559">
        <f>countifs(QuitGrade,"3",QuitDate,"&gt;="&amp;DATE(2024,10,14),QuitDate,"&lt;="&amp;DATE(2024,10,18))</f>
        <v>0</v>
      </c>
      <c r="Y45" s="1558">
        <f>countifs(JoinG4,"&gt;="&amp;DATE(2024,10,14),JoinG4,"&lt;="&amp;DATE(2024,10,18))+countifs(QuitGrade,"4",QStart,"&gt;="&amp;DATE(2024,10,14),QStart,"&lt;="&amp;DATE(2024,10,18))</f>
        <v>0</v>
      </c>
      <c r="Z45" s="1559">
        <f>countifs(QuitGrade,"4",QuitDate,"&gt;="&amp;DATE(2024,10,14),QuitDate,"&lt;="&amp;DATE(2024,10,18))</f>
        <v>0</v>
      </c>
      <c r="AA45" s="1558">
        <f>countifs(JoinG5,"&gt;="&amp;DATE(2024,10,14),JoinG5,"&lt;="&amp;DATE(2024,10,18))+countifs(QuitGrade,"5",QStart,"&gt;="&amp;DATE(2024,10,14),QStart,"&lt;="&amp;DATE(2024,10,18))</f>
        <v>0</v>
      </c>
      <c r="AB45" s="1559">
        <f>countifs(QuitGrade,"5",QuitDate,"&gt;="&amp;DATE(2024,10,14),QuitDate,"&lt;="&amp;DATE(2024,10,18))</f>
        <v>0</v>
      </c>
      <c r="AC45" s="1558">
        <f>countifs(JoinG7,"&gt;="&amp;DATE(2024,10,14),JoinG7,"&lt;="&amp;DATE(2024,10,18))+countifs(QuitGrade,"7",QStart,"&gt;="&amp;DATE(2024,10,14),QStart,"&lt;="&amp;DATE(2024,10,18))</f>
        <v>0</v>
      </c>
      <c r="AD45" s="1559">
        <f>countifs(QuitGrade,"7",QuitDate,"&gt;="&amp;DATE(2024,10,14),QuitDate,"&lt;="&amp;DATE(2024,10,18))</f>
        <v>0</v>
      </c>
      <c r="AE45" s="1560">
        <f t="shared" ref="AE45:AF45" si="51">sum(S45,U45,W45,Y45,AA45,AC45)</f>
        <v>4</v>
      </c>
      <c r="AF45" s="1567">
        <f t="shared" si="51"/>
        <v>0</v>
      </c>
      <c r="AG45" s="1564">
        <f t="shared" si="49"/>
        <v>4</v>
      </c>
      <c r="AH45" s="396"/>
      <c r="AI45" s="396"/>
      <c r="AJ45" s="396"/>
      <c r="AK45" s="396"/>
      <c r="AL45" s="396"/>
      <c r="AM45" s="396"/>
      <c r="AN45" s="396"/>
    </row>
    <row r="46">
      <c r="A46" s="1234" t="s">
        <v>2427</v>
      </c>
      <c r="B46" s="1558">
        <f>countifs(JoinG1,"&gt;="&amp;DATE(2024,4,22),JoinG1,"&lt;="&amp;DATE(2024,4,26))+countifs(QuitGrade,"1",QStart,"&gt;="&amp;DATE(2024,4,22),QStart,"&lt;="&amp;DATE(2024,4,26))</f>
        <v>2</v>
      </c>
      <c r="C46" s="1559">
        <f>countifs(QuitGrade,"1",QuitDate,"&gt;="&amp;DATE(2024,4,22),QuitDate,"&lt;="&amp;DATE(2024,4,26))</f>
        <v>0</v>
      </c>
      <c r="D46" s="1558">
        <f>countifs(JoinG2,"&gt;="&amp;DATE(2024,4,22),JoinG2,"&lt;="&amp;DATE(2024,4,26))+countifs(QuitGrade,"2",QStart,"&gt;="&amp;DATE(2024,4,22),QStart,"&lt;="&amp;DATE(2024,4,26))</f>
        <v>0</v>
      </c>
      <c r="E46" s="1559">
        <f>countifs(QuitGrade,"2",QuitDate,"&gt;="&amp;DATE(2024,4,22),QuitDate,"&lt;="&amp;DATE(2024,4,26))</f>
        <v>0</v>
      </c>
      <c r="F46" s="1558">
        <f>countifs(JoinG3,"&gt;="&amp;DATE(2024,4,22),JoinG3,"&lt;="&amp;DATE(2024,4,26))+countifs(QuitGrade,"3",QStart,"&gt;="&amp;DATE(2024,4,22),QStart,"&lt;="&amp;DATE(2024,4,26))</f>
        <v>0</v>
      </c>
      <c r="G46" s="1559">
        <f>countifs(QuitGrade,"3",QuitDate,"&gt;="&amp;DATE(2024,4,22),QuitDate,"&lt;="&amp;DATE(2024,4,26))</f>
        <v>0</v>
      </c>
      <c r="H46" s="1558">
        <f>countifs(JoinG4,"&gt;="&amp;DATE(2024,4,22),JoinG4,"&lt;="&amp;DATE(2024,4,26))+countifs(QuitGrade,"4",QStart,"&gt;="&amp;DATE(2024,4,22),QStart,"&lt;="&amp;DATE(2024,4,26))</f>
        <v>0</v>
      </c>
      <c r="I46" s="1559">
        <f>countifs(QuitGrade,"4",QuitDate,"&gt;="&amp;DATE(2024,4,22),QuitDate,"&lt;="&amp;DATE(2024,4,26))</f>
        <v>0</v>
      </c>
      <c r="J46" s="1558">
        <f>countifs(JoinG5,"&gt;="&amp;DATE(2024,4,22),JoinG5,"&lt;="&amp;DATE(2024,4,26))+countifs(QuitGrade,"5",QStart,"&gt;="&amp;DATE(2024,4,22),QStart,"&lt;="&amp;DATE(2024,4,26))</f>
        <v>0</v>
      </c>
      <c r="K46" s="1559">
        <f>countifs(QuitGrade,"5",QuitDate,"&gt;="&amp;DATE(2024,4,22),QuitDate,"&lt;="&amp;DATE(2024,4,26))</f>
        <v>0</v>
      </c>
      <c r="L46" s="1558">
        <f>countifs(JoinG7,"&gt;="&amp;DATE(2024,4,22),JoinG7,"&lt;="&amp;DATE(2024,4,26))+countifs(QuitGrade,"7",QStart,"&gt;="&amp;DATE(2024,4,22),QStart,"&lt;="&amp;DATE(2024,4,26))</f>
        <v>0</v>
      </c>
      <c r="M46" s="1559">
        <f>countifs(QuitGrade,"7",QuitDate,"&gt;="&amp;DATE(2024,4,22),QuitDate,"&lt;="&amp;DATE(2024,4,26))</f>
        <v>0</v>
      </c>
      <c r="N46" s="1560">
        <f t="shared" ref="N46:O46" si="52">sum(B46,D46,F46,H46,J46,L46)</f>
        <v>2</v>
      </c>
      <c r="O46" s="1567">
        <f t="shared" si="52"/>
        <v>0</v>
      </c>
      <c r="P46" s="1564">
        <f t="shared" si="47"/>
        <v>2</v>
      </c>
      <c r="Q46" s="396"/>
      <c r="R46" s="1568" t="s">
        <v>2428</v>
      </c>
      <c r="S46" s="1558">
        <f>countifs(JoinG1,"&gt;="&amp;DATE(2024,10,21),JoinG1,"&lt;="&amp;DATE(2024,10,25))+countifs(QuitGrade,"1",QStart,"&gt;="&amp;DATE(2024,10,21),QStart,"&lt;="&amp;DATE(2024,10,25))</f>
        <v>1</v>
      </c>
      <c r="T46" s="1559">
        <f>countifs(QuitGrade,"1",QuitDate,"&gt;="&amp;DATE(2024,10,21),QuitDate,"&lt;="&amp;DATE(2024,10,25))</f>
        <v>0</v>
      </c>
      <c r="U46" s="1558">
        <f>countifs(JoinG2,"&gt;="&amp;DATE(2024,10,21),JoinG2,"&lt;="&amp;DATE(2024,10,25))+countifs(QuitGrade,"2",QStart,"&gt;="&amp;DATE(2024,10,21),QStart,"&lt;="&amp;DATE(2024,10,25))</f>
        <v>0</v>
      </c>
      <c r="V46" s="1559">
        <f>countifs(QuitGrade,"2",QuitDate,"&gt;="&amp;DATE(2024,10,21),QuitDate,"&lt;="&amp;DATE(2024,10,25))</f>
        <v>0</v>
      </c>
      <c r="W46" s="1558">
        <f>countifs(JoinG3,"&gt;="&amp;DATE(2024,10,21),JoinG3,"&lt;="&amp;DATE(2024,10,25))+countifs(QuitGrade,"3",QStart,"&gt;="&amp;DATE(2024,10,21),QStart,"&lt;="&amp;DATE(2024,10,25))</f>
        <v>1</v>
      </c>
      <c r="X46" s="1559">
        <f>countifs(QuitGrade,"3",QuitDate,"&gt;="&amp;DATE(2024,10,21),QuitDate,"&lt;="&amp;DATE(2024,10,25))</f>
        <v>0</v>
      </c>
      <c r="Y46" s="1558">
        <f>countifs(JoinG4,"&gt;="&amp;DATE(2024,10,21),JoinG4,"&lt;="&amp;DATE(2024,10,25))+countifs(QuitGrade,"4",QStart,"&gt;="&amp;DATE(2024,10,21),QStart,"&lt;="&amp;DATE(2024,10,25))</f>
        <v>0</v>
      </c>
      <c r="Z46" s="1559">
        <f>countifs(QuitGrade,"4",QuitDate,"&gt;="&amp;DATE(2024,10,21),QuitDate,"&lt;="&amp;DATE(2024,10,25))</f>
        <v>0</v>
      </c>
      <c r="AA46" s="1558">
        <f>countifs(JoinG5,"&gt;="&amp;DATE(2024,10,21),JoinG5,"&lt;="&amp;DATE(2024,10,25))+countifs(QuitGrade,"5",QStart,"&gt;="&amp;DATE(2024,10,21),QStart,"&lt;="&amp;DATE(2024,10,25))</f>
        <v>0</v>
      </c>
      <c r="AB46" s="1559">
        <f>countifs(QuitGrade,"5",QuitDate,"&gt;="&amp;DATE(2024,10,21),QuitDate,"&lt;="&amp;DATE(2024,10,25))</f>
        <v>0</v>
      </c>
      <c r="AC46" s="1558">
        <f>countifs(JoinG7,"&gt;="&amp;DATE(2024,10,21),JoinG7,"&lt;="&amp;DATE(2024,10,25))+countifs(QuitGrade,"7",QStart,"&gt;="&amp;DATE(2024,10,21),QStart,"&lt;="&amp;DATE(2024,10,25))</f>
        <v>0</v>
      </c>
      <c r="AD46" s="1559">
        <f>countifs(QuitGrade,"7",QuitDate,"&gt;="&amp;DATE(2024,10,21),QuitDate,"&lt;="&amp;DATE(2024,10,25))</f>
        <v>0</v>
      </c>
      <c r="AE46" s="1560">
        <f t="shared" ref="AE46:AF46" si="53">sum(S46,U46,W46,Y46,AA46,AC46)</f>
        <v>2</v>
      </c>
      <c r="AF46" s="1567">
        <f t="shared" si="53"/>
        <v>0</v>
      </c>
      <c r="AG46" s="1564">
        <f t="shared" si="49"/>
        <v>2</v>
      </c>
      <c r="AH46" s="396"/>
      <c r="AI46" s="396"/>
      <c r="AJ46" s="396"/>
      <c r="AK46" s="396"/>
      <c r="AL46" s="396"/>
      <c r="AM46" s="396"/>
      <c r="AN46" s="396"/>
    </row>
    <row r="47">
      <c r="A47" s="1234" t="s">
        <v>2429</v>
      </c>
      <c r="B47" s="1558">
        <f>countifs(JoinG1,"&gt;="&amp;DATE(2024,4,29),JoinG1,"&lt;="&amp;DATE(2024,4,30))+countifs(QuitGrade,"1",QStart,"&gt;="&amp;DATE(2024,4,29),QStart,"&lt;="&amp;DATE(2024,4,30))</f>
        <v>0</v>
      </c>
      <c r="C47" s="1559">
        <f>countifs(QuitGrade,"1",QuitDate,"&gt;="&amp;DATE(2024,4,29),QuitDate,"&lt;="&amp;DATE(2024,4,30))</f>
        <v>0</v>
      </c>
      <c r="D47" s="1558">
        <f>countifs(JoinG2,"&gt;="&amp;DATE(2024,4,29),JoinG2,"&lt;="&amp;DATE(2024,4,30))+countifs(QuitGrade,"2",QStart,"&gt;="&amp;DATE(2024,4,29),QStart,"&lt;="&amp;DATE(2024,4,30))</f>
        <v>1</v>
      </c>
      <c r="E47" s="1559">
        <f>countifs(QuitGrade,"2",QuitDate,"&gt;="&amp;DATE(2024,4,29),QuitDate,"&lt;="&amp;DATE(2024,4,30))</f>
        <v>0</v>
      </c>
      <c r="F47" s="1558">
        <f>countifs(JoinG3,"&gt;="&amp;DATE(2024,4,29),JoinG3,"&lt;="&amp;DATE(2024,4,30))+countifs(QuitGrade,"3",QStart,"&gt;="&amp;DATE(2024,4,29),QStart,"&lt;="&amp;DATE(2024,4,30))</f>
        <v>0</v>
      </c>
      <c r="G47" s="1559">
        <f>countifs(QuitGrade,"3",QuitDate,"&gt;="&amp;DATE(2024,4,29),QuitDate,"&lt;="&amp;DATE(2024,4,30))</f>
        <v>0</v>
      </c>
      <c r="H47" s="1558">
        <f>countifs(JoinG4,"&gt;="&amp;DATE(2024,4,29),JoinG4,"&lt;="&amp;DATE(2024,4,30))+countifs(QuitGrade,"4",QStart,"&gt;="&amp;DATE(2024,4,29),QStart,"&lt;="&amp;DATE(2024,4,30))</f>
        <v>0</v>
      </c>
      <c r="I47" s="1559">
        <f>countifs(QuitGrade,"4",QuitDate,"&gt;="&amp;DATE(2024,4,29),QuitDate,"&lt;="&amp;DATE(2024,4,30))</f>
        <v>0</v>
      </c>
      <c r="J47" s="1558">
        <f>countifs(JoinG5,"&gt;="&amp;DATE(2024,4,29),JoinG5,"&lt;="&amp;DATE(2024,4,30))+countifs(QuitGrade,"5",QStart,"&gt;="&amp;DATE(2024,4,29),QStart,"&lt;="&amp;DATE(2024,4,30))</f>
        <v>0</v>
      </c>
      <c r="K47" s="1559">
        <f>countifs(QuitGrade,"5",QuitDate,"&gt;="&amp;DATE(2024,4,29),QuitDate,"&lt;="&amp;DATE(2024,4,30))</f>
        <v>0</v>
      </c>
      <c r="L47" s="1558">
        <f>countifs(JoinG7,"&gt;="&amp;DATE(2024,4,29),JoinG7,"&lt;="&amp;DATE(2024,4,30))+countifs(QuitGrade,"7",QStart,"&gt;="&amp;DATE(2024,4,29),QStart,"&lt;="&amp;DATE(2024,4,30))</f>
        <v>0</v>
      </c>
      <c r="M47" s="1559">
        <f>countifs(QuitGrade,"7",QuitDate,"&gt;="&amp;DATE(2024,4,29),QuitDate,"&lt;="&amp;DATE(2024,4,30))</f>
        <v>0</v>
      </c>
      <c r="N47" s="1560">
        <f t="shared" ref="N47:O47" si="54">sum(B47,D47,F47,H47,J47,L47)</f>
        <v>1</v>
      </c>
      <c r="O47" s="1567">
        <f t="shared" si="54"/>
        <v>0</v>
      </c>
      <c r="P47" s="1564">
        <f t="shared" si="47"/>
        <v>1</v>
      </c>
      <c r="Q47" s="396"/>
      <c r="R47" s="1572" t="s">
        <v>2430</v>
      </c>
      <c r="S47" s="1558">
        <f>countifs(JoinG1,"&gt;="&amp;DATE(2024,10,28),JoinG1,"&lt;="&amp;DATE(2024,10,31))+countifs(QuitGrade,"1",QStart,"&gt;="&amp;DATE(2024,10,28),QStart,"&lt;="&amp;DATE(2024,10,31))</f>
        <v>1</v>
      </c>
      <c r="T47" s="1559">
        <f>countifs(QuitGrade,"1",QuitDate,"&gt;="&amp;DATE(2024,10,28),QuitDate,"&lt;="&amp;DATE(2024,10,31))</f>
        <v>0</v>
      </c>
      <c r="U47" s="1558">
        <f>countifs(JoinG2,"&gt;="&amp;DATE(2024,10,28),JoinG2,"&lt;="&amp;DATE(2024,10,31))+countifs(QuitGrade,"2",QStart,"&gt;="&amp;DATE(2024,10,28),QStart,"&lt;="&amp;DATE(2024,10,31))</f>
        <v>0</v>
      </c>
      <c r="V47" s="1559">
        <f>countifs(QuitGrade,"2",QuitDate,"&gt;="&amp;DATE(2024,10,28),QuitDate,"&lt;="&amp;DATE(2024,10,31))</f>
        <v>0</v>
      </c>
      <c r="W47" s="1558">
        <f>countifs(JoinG3,"&gt;="&amp;DATE(2024,10,28),JoinG3,"&lt;="&amp;DATE(2024,10,31))+countifs(QuitGrade,"3",QStart,"&gt;="&amp;DATE(2024,10,28),QStart,"&lt;="&amp;DATE(2024,10,31))</f>
        <v>0</v>
      </c>
      <c r="X47" s="1559">
        <f>countifs(QuitGrade,"3",QuitDate,"&gt;="&amp;DATE(2024,10,28),QuitDate,"&lt;="&amp;DATE(2024,10,31))</f>
        <v>0</v>
      </c>
      <c r="Y47" s="1558">
        <f>countifs(JoinG4,"&gt;="&amp;DATE(2024,10,28),JoinG4,"&lt;="&amp;DATE(2024,10,31))+countifs(QuitGrade,"4",QStart,"&gt;="&amp;DATE(2024,10,28),QStart,"&lt;="&amp;DATE(2024,10,31))</f>
        <v>0</v>
      </c>
      <c r="Z47" s="1559">
        <f>countifs(QuitGrade,"4",QuitDate,"&gt;="&amp;DATE(2024,10,28),QuitDate,"&lt;="&amp;DATE(2024,10,31))</f>
        <v>0</v>
      </c>
      <c r="AA47" s="1558">
        <f>countifs(JoinG5,"&gt;="&amp;DATE(2024,10,28),JoinG5,"&lt;="&amp;DATE(2024,10,31))+countifs(QuitGrade,"5",QStart,"&gt;="&amp;DATE(2024,10,28),QStart,"&lt;="&amp;DATE(2024,10,31))</f>
        <v>0</v>
      </c>
      <c r="AB47" s="1559">
        <f>countifs(QuitGrade,"5",QuitDate,"&gt;="&amp;DATE(2024,10,28),QuitDate,"&lt;="&amp;DATE(2024,10,31))</f>
        <v>0</v>
      </c>
      <c r="AC47" s="1558">
        <f>countifs(JoinG7,"&gt;="&amp;DATE(2024,10,28),JoinG7,"&lt;="&amp;DATE(2024,10,31))+countifs(QuitGrade,"7",QStart,"&gt;="&amp;DATE(2024,10,28),QStart,"&lt;="&amp;DATE(2024,10,31))</f>
        <v>0</v>
      </c>
      <c r="AD47" s="1559">
        <f>countifs(QuitGrade,"7",QuitDate,"&gt;="&amp;DATE(2024,10,28),QuitDate,"&lt;="&amp;DATE(2024,10,31))</f>
        <v>0</v>
      </c>
      <c r="AE47" s="1560">
        <f t="shared" ref="AE47:AF47" si="55">sum(S47,U47,W47,Y47,AA47,AC47)</f>
        <v>1</v>
      </c>
      <c r="AF47" s="1599">
        <f t="shared" si="55"/>
        <v>0</v>
      </c>
      <c r="AG47" s="1600">
        <f t="shared" si="49"/>
        <v>1</v>
      </c>
      <c r="AH47" s="396"/>
      <c r="AI47" s="396"/>
      <c r="AJ47" s="396"/>
      <c r="AK47" s="396"/>
      <c r="AL47" s="396"/>
      <c r="AM47" s="396"/>
      <c r="AN47" s="396"/>
    </row>
    <row r="48">
      <c r="A48" s="1573" t="s">
        <v>182</v>
      </c>
      <c r="B48" s="1582">
        <f t="shared" ref="B48:P48" si="56">sum(B43:B47)</f>
        <v>26</v>
      </c>
      <c r="C48" s="1583">
        <f t="shared" si="56"/>
        <v>0</v>
      </c>
      <c r="D48" s="1584">
        <f t="shared" si="56"/>
        <v>16</v>
      </c>
      <c r="E48" s="1603">
        <f t="shared" si="56"/>
        <v>0</v>
      </c>
      <c r="F48" s="1582">
        <f t="shared" si="56"/>
        <v>5</v>
      </c>
      <c r="G48" s="1583">
        <f t="shared" si="56"/>
        <v>0</v>
      </c>
      <c r="H48" s="1584">
        <f t="shared" si="56"/>
        <v>0</v>
      </c>
      <c r="I48" s="1603">
        <f t="shared" si="56"/>
        <v>0</v>
      </c>
      <c r="J48" s="1582">
        <f t="shared" si="56"/>
        <v>0</v>
      </c>
      <c r="K48" s="1583">
        <f t="shared" si="56"/>
        <v>0</v>
      </c>
      <c r="L48" s="1584">
        <f t="shared" si="56"/>
        <v>0</v>
      </c>
      <c r="M48" s="1604">
        <f t="shared" si="56"/>
        <v>0</v>
      </c>
      <c r="N48" s="1585">
        <f t="shared" si="56"/>
        <v>47</v>
      </c>
      <c r="O48" s="1586">
        <f t="shared" si="56"/>
        <v>0</v>
      </c>
      <c r="P48" s="1587">
        <f t="shared" si="56"/>
        <v>47</v>
      </c>
      <c r="Q48" s="396"/>
      <c r="R48" s="1573" t="s">
        <v>182</v>
      </c>
      <c r="S48" s="1582">
        <f t="shared" ref="S48:AG48" si="57">sum(S43:S47)</f>
        <v>7</v>
      </c>
      <c r="T48" s="1583">
        <f t="shared" si="57"/>
        <v>0</v>
      </c>
      <c r="U48" s="1584">
        <f t="shared" si="57"/>
        <v>1</v>
      </c>
      <c r="V48" s="1583">
        <f t="shared" si="57"/>
        <v>0</v>
      </c>
      <c r="W48" s="1582">
        <f t="shared" si="57"/>
        <v>4</v>
      </c>
      <c r="X48" s="1583">
        <f t="shared" si="57"/>
        <v>0</v>
      </c>
      <c r="Y48" s="1584">
        <f t="shared" si="57"/>
        <v>0</v>
      </c>
      <c r="Z48" s="1583">
        <f t="shared" si="57"/>
        <v>0</v>
      </c>
      <c r="AA48" s="1582">
        <f t="shared" si="57"/>
        <v>0</v>
      </c>
      <c r="AB48" s="1583">
        <f t="shared" si="57"/>
        <v>0</v>
      </c>
      <c r="AC48" s="1584">
        <f t="shared" si="57"/>
        <v>0</v>
      </c>
      <c r="AD48" s="1583">
        <f t="shared" si="57"/>
        <v>0</v>
      </c>
      <c r="AE48" s="1585">
        <f t="shared" si="57"/>
        <v>12</v>
      </c>
      <c r="AF48" s="1586">
        <f t="shared" si="57"/>
        <v>0</v>
      </c>
      <c r="AG48" s="1587">
        <f t="shared" si="57"/>
        <v>12</v>
      </c>
      <c r="AH48" s="396"/>
      <c r="AI48" s="396"/>
      <c r="AJ48" s="396"/>
      <c r="AK48" s="396"/>
      <c r="AL48" s="396"/>
      <c r="AM48" s="396"/>
      <c r="AN48" s="396"/>
    </row>
    <row r="49">
      <c r="A49" s="1539"/>
      <c r="B49" s="396"/>
      <c r="C49" s="396"/>
      <c r="D49" s="396"/>
      <c r="E49" s="396"/>
      <c r="F49" s="396"/>
      <c r="G49" s="396"/>
      <c r="H49" s="396"/>
      <c r="I49" s="396"/>
      <c r="J49" s="396"/>
      <c r="K49" s="396"/>
      <c r="L49" s="396"/>
      <c r="M49" s="396"/>
      <c r="N49" s="396"/>
      <c r="O49" s="396"/>
      <c r="P49" s="396"/>
      <c r="Q49" s="396"/>
      <c r="R49" s="1539"/>
      <c r="S49" s="396"/>
      <c r="T49" s="396"/>
      <c r="U49" s="396"/>
      <c r="V49" s="396"/>
      <c r="W49" s="396"/>
      <c r="X49" s="396"/>
      <c r="Y49" s="396"/>
      <c r="Z49" s="396"/>
      <c r="AA49" s="396"/>
      <c r="AB49" s="396"/>
      <c r="AC49" s="396"/>
      <c r="AD49" s="396"/>
      <c r="AE49" s="396"/>
      <c r="AF49" s="396"/>
      <c r="AG49" s="396"/>
      <c r="AH49" s="396"/>
      <c r="AI49" s="396"/>
      <c r="AJ49" s="396"/>
      <c r="AK49" s="396"/>
      <c r="AL49" s="396"/>
      <c r="AM49" s="396"/>
      <c r="AN49" s="396"/>
    </row>
    <row r="50">
      <c r="A50" s="1540">
        <v>45413.0</v>
      </c>
      <c r="B50" s="396"/>
      <c r="C50" s="396"/>
      <c r="D50" s="396"/>
      <c r="E50" s="396"/>
      <c r="F50" s="396"/>
      <c r="G50" s="396"/>
      <c r="H50" s="396"/>
      <c r="I50" s="396"/>
      <c r="J50" s="396"/>
      <c r="K50" s="396"/>
      <c r="L50" s="396"/>
      <c r="M50" s="396"/>
      <c r="N50" s="396"/>
      <c r="O50" s="396"/>
      <c r="P50" s="396"/>
      <c r="Q50" s="1541"/>
      <c r="R50" s="1542">
        <v>45597.0</v>
      </c>
      <c r="S50" s="396"/>
      <c r="T50" s="396"/>
      <c r="U50" s="396"/>
      <c r="V50" s="396"/>
      <c r="W50" s="396"/>
      <c r="X50" s="396"/>
      <c r="Y50" s="396"/>
      <c r="Z50" s="396"/>
      <c r="AA50" s="396"/>
      <c r="AB50" s="396"/>
      <c r="AC50" s="396"/>
      <c r="AD50" s="396"/>
      <c r="AE50" s="396"/>
      <c r="AF50" s="396"/>
      <c r="AG50" s="396"/>
      <c r="AH50" s="396"/>
      <c r="AI50" s="396"/>
      <c r="AJ50" s="396"/>
      <c r="AK50" s="396"/>
      <c r="AL50" s="396"/>
      <c r="AM50" s="396"/>
      <c r="AN50" s="396"/>
    </row>
    <row r="51">
      <c r="A51" s="396"/>
      <c r="B51" s="396"/>
      <c r="C51" s="396"/>
      <c r="D51" s="396"/>
      <c r="E51" s="396"/>
      <c r="F51" s="396"/>
      <c r="G51" s="396"/>
      <c r="H51" s="396"/>
      <c r="I51" s="396"/>
      <c r="J51" s="396"/>
      <c r="K51" s="396"/>
      <c r="L51" s="396"/>
      <c r="M51" s="396"/>
      <c r="N51" s="396"/>
      <c r="O51" s="396"/>
      <c r="P51" s="1539"/>
      <c r="Q51" s="396"/>
      <c r="R51" s="396"/>
      <c r="S51" s="396"/>
      <c r="T51" s="396"/>
      <c r="U51" s="396"/>
      <c r="V51" s="396"/>
      <c r="W51" s="396"/>
      <c r="X51" s="396"/>
      <c r="Y51" s="396"/>
      <c r="Z51" s="396"/>
      <c r="AA51" s="396"/>
      <c r="AB51" s="396"/>
      <c r="AC51" s="396"/>
      <c r="AD51" s="396"/>
      <c r="AE51" s="396"/>
      <c r="AF51" s="396"/>
      <c r="AG51" s="396"/>
      <c r="AH51" s="396"/>
      <c r="AI51" s="396"/>
      <c r="AJ51" s="396"/>
      <c r="AK51" s="396"/>
      <c r="AL51" s="396"/>
      <c r="AM51" s="396"/>
      <c r="AN51" s="396"/>
    </row>
    <row r="52">
      <c r="A52" s="1549" t="s">
        <v>2388</v>
      </c>
      <c r="B52" s="1544" t="s">
        <v>2381</v>
      </c>
      <c r="C52" s="1545"/>
      <c r="D52" s="1544" t="s">
        <v>2382</v>
      </c>
      <c r="E52" s="1545"/>
      <c r="F52" s="1544" t="s">
        <v>2383</v>
      </c>
      <c r="G52" s="1545"/>
      <c r="H52" s="1544" t="s">
        <v>2384</v>
      </c>
      <c r="I52" s="1545"/>
      <c r="J52" s="1544" t="s">
        <v>2385</v>
      </c>
      <c r="K52" s="1545"/>
      <c r="L52" s="1544" t="s">
        <v>2386</v>
      </c>
      <c r="M52" s="1545"/>
      <c r="N52" s="1547" t="s">
        <v>182</v>
      </c>
      <c r="O52" s="1545"/>
      <c r="P52" s="1548" t="s">
        <v>2387</v>
      </c>
      <c r="Q52" s="396"/>
      <c r="R52" s="1549" t="s">
        <v>2388</v>
      </c>
      <c r="S52" s="1544" t="s">
        <v>2381</v>
      </c>
      <c r="T52" s="1545"/>
      <c r="U52" s="1544" t="s">
        <v>2382</v>
      </c>
      <c r="V52" s="1545"/>
      <c r="W52" s="1544" t="s">
        <v>2383</v>
      </c>
      <c r="X52" s="1545"/>
      <c r="Y52" s="1544" t="s">
        <v>2384</v>
      </c>
      <c r="Z52" s="1545"/>
      <c r="AA52" s="1544" t="s">
        <v>2385</v>
      </c>
      <c r="AB52" s="1545"/>
      <c r="AC52" s="1544" t="s">
        <v>2386</v>
      </c>
      <c r="AD52" s="1545"/>
      <c r="AE52" s="1547" t="s">
        <v>182</v>
      </c>
      <c r="AF52" s="1545"/>
      <c r="AG52" s="1548" t="s">
        <v>2387</v>
      </c>
      <c r="AH52" s="396"/>
      <c r="AI52" s="396"/>
      <c r="AJ52" s="396"/>
      <c r="AK52" s="396"/>
      <c r="AL52" s="396"/>
      <c r="AM52" s="396"/>
      <c r="AN52" s="396"/>
    </row>
    <row r="53">
      <c r="A53" s="1550"/>
      <c r="B53" s="1557" t="s">
        <v>2389</v>
      </c>
      <c r="C53" s="1552" t="s">
        <v>2390</v>
      </c>
      <c r="D53" s="1557" t="s">
        <v>2389</v>
      </c>
      <c r="E53" s="1552" t="s">
        <v>2390</v>
      </c>
      <c r="F53" s="1557" t="s">
        <v>2389</v>
      </c>
      <c r="G53" s="1552" t="s">
        <v>2390</v>
      </c>
      <c r="H53" s="1557" t="s">
        <v>2389</v>
      </c>
      <c r="I53" s="1552" t="s">
        <v>2390</v>
      </c>
      <c r="J53" s="1557" t="s">
        <v>2389</v>
      </c>
      <c r="K53" s="1552" t="s">
        <v>2390</v>
      </c>
      <c r="L53" s="1557" t="s">
        <v>2389</v>
      </c>
      <c r="M53" s="1552" t="s">
        <v>2390</v>
      </c>
      <c r="N53" s="1554" t="s">
        <v>2389</v>
      </c>
      <c r="O53" s="1555" t="s">
        <v>2390</v>
      </c>
      <c r="P53" s="1556"/>
      <c r="Q53" s="396"/>
      <c r="R53" s="1550"/>
      <c r="S53" s="1557" t="s">
        <v>2389</v>
      </c>
      <c r="T53" s="1552" t="s">
        <v>2390</v>
      </c>
      <c r="U53" s="1557" t="s">
        <v>2389</v>
      </c>
      <c r="V53" s="1552" t="s">
        <v>2390</v>
      </c>
      <c r="W53" s="1557" t="s">
        <v>2389</v>
      </c>
      <c r="X53" s="1552" t="s">
        <v>2390</v>
      </c>
      <c r="Y53" s="1557" t="s">
        <v>2389</v>
      </c>
      <c r="Z53" s="1552" t="s">
        <v>2390</v>
      </c>
      <c r="AA53" s="1557" t="s">
        <v>2389</v>
      </c>
      <c r="AB53" s="1552" t="s">
        <v>2390</v>
      </c>
      <c r="AC53" s="1557" t="s">
        <v>2389</v>
      </c>
      <c r="AD53" s="1552" t="s">
        <v>2390</v>
      </c>
      <c r="AE53" s="1554" t="s">
        <v>2389</v>
      </c>
      <c r="AF53" s="1555" t="s">
        <v>2390</v>
      </c>
      <c r="AG53" s="1556"/>
      <c r="AH53" s="396"/>
      <c r="AI53" s="396"/>
      <c r="AJ53" s="396"/>
      <c r="AK53" s="396"/>
      <c r="AL53" s="396"/>
      <c r="AM53" s="396"/>
      <c r="AN53" s="396"/>
    </row>
    <row r="54">
      <c r="A54" s="1515" t="s">
        <v>2431</v>
      </c>
      <c r="B54" s="1558">
        <f>countifs(JoinG1,"&gt;="&amp;DATE(2024,5,1),JoinG1,"&lt;="&amp;DATE(2024,5,3))+countifs(QuitGrade,"1",QStart,"&gt;="&amp;DATE(2024,5,1),QStart,"&lt;="&amp;DATE(2024,5,3))</f>
        <v>1</v>
      </c>
      <c r="C54" s="1559">
        <f>countifs(QuitGrade,"1",QuitDate,"&gt;="&amp;DATE(2024,5,1),QuitDate,"&lt;="&amp;DATE(2024,5,3))</f>
        <v>0</v>
      </c>
      <c r="D54" s="1558">
        <f>countifs(JoinG2,"&gt;="&amp;DATE(2024,5,1),JoinG2,"&lt;="&amp;DATE(2024,5,3))+countifs(QuitGrade,"2",QStart,"&gt;="&amp;DATE(2024,5,1),QStart,"&lt;="&amp;DATE(2024,5,3))</f>
        <v>1</v>
      </c>
      <c r="E54" s="1559">
        <f>countifs(QuitGrade,"2",QuitDate,"&gt;="&amp;DATE(2024,5,1),QuitDate,"&lt;="&amp;DATE(2024,5,3))</f>
        <v>0</v>
      </c>
      <c r="F54" s="1558">
        <f>countifs(JoinG3,"&gt;="&amp;DATE(2024,5,1),JoinG3,"&lt;="&amp;DATE(2024,5,3))+countifs(QuitGrade,"3",QStart,"&gt;="&amp;DATE(2024,5,1),QStart,"&lt;="&amp;DATE(2024,5,3))</f>
        <v>0</v>
      </c>
      <c r="G54" s="1559">
        <f>countifs(QuitGrade,"3",QuitDate,"&gt;="&amp;DATE(2024,5,1),QuitDate,"&lt;="&amp;DATE(2024,5,3))</f>
        <v>0</v>
      </c>
      <c r="H54" s="1558">
        <f>countifs(JoinG4,"&gt;="&amp;DATE(2024,5,1),JoinG4,"&lt;="&amp;DATE(2024,5,3))+countifs(QuitGrade,"4",QStart,"&gt;="&amp;DATE(2024,5,1),QStart,"&lt;="&amp;DATE(2024,5,3))</f>
        <v>0</v>
      </c>
      <c r="I54" s="1559">
        <f>countifs(QuitGrade,"4",QuitDate,"&gt;="&amp;DATE(2024,5,1),QuitDate,"&lt;="&amp;DATE(2024,5,3))</f>
        <v>0</v>
      </c>
      <c r="J54" s="1558">
        <f>countifs(JoinG5,"&gt;="&amp;DATE(2024,5,1),JoinG5,"&lt;="&amp;DATE(2024,5,3))+countifs(QuitGrade,"5",QStart,"&gt;="&amp;DATE(2024,5,1),QStart,"&lt;="&amp;DATE(2024,5,3))</f>
        <v>0</v>
      </c>
      <c r="K54" s="1559">
        <f>countifs(QuitGrade,"5",QuitDate,"&gt;="&amp;DATE(2024,5,1),QuitDate,"&lt;="&amp;DATE(2024,5,3))</f>
        <v>0</v>
      </c>
      <c r="L54" s="1558">
        <f>countifs(JoinG7,"&gt;="&amp;DATE(2024,5,1),JoinG7,"&lt;="&amp;DATE(2024,5,3))+countifs(QuitGrade,"7",QStart,"&gt;="&amp;DATE(2024,5,1),QStart,"&lt;="&amp;DATE(2024,5,3))</f>
        <v>0</v>
      </c>
      <c r="M54" s="1559">
        <f>countifs(QuitGrade,"7",QuitDate,"&gt;="&amp;DATE(2024,5,1),QuitDate,"&lt;="&amp;DATE(2024,5,3))</f>
        <v>0</v>
      </c>
      <c r="N54" s="1560">
        <f t="shared" ref="N54:O54" si="58">sum(B54,D54,F54,H54,J54,L54)</f>
        <v>2</v>
      </c>
      <c r="O54" s="1561">
        <f t="shared" si="58"/>
        <v>0</v>
      </c>
      <c r="P54" s="1564">
        <f t="shared" ref="P54:P58" si="61">minus(N54,O54)</f>
        <v>2</v>
      </c>
      <c r="Q54" s="396"/>
      <c r="R54" s="1563" t="s">
        <v>2432</v>
      </c>
      <c r="S54" s="1558">
        <f>countifs(JoinG1,"&gt;="&amp;DATE(2024,11,1),JoinG1,"&lt;="&amp;DATE(2024,11,1))+countifs(QuitGrade,"1",QStart,"&gt;="&amp;DATE(2024,11,1),QStart,"&lt;="&amp;DATE(2024,11,1))</f>
        <v>1</v>
      </c>
      <c r="T54" s="1559">
        <f>countifs(QuitGrade,"1",QuitDate,"&gt;="&amp;DATE(2024,11,1),QuitDate,"&lt;="&amp;DATE(2024,11,1))</f>
        <v>0</v>
      </c>
      <c r="U54" s="1558">
        <f>countifs(JoinG2,"&gt;="&amp;DATE(2024,11,1),JoinG2,"&lt;="&amp;DATE(2024,11,1))+countifs(QuitGrade,"2",QStart,"&gt;="&amp;DATE(2024,11,1),QStart,"&lt;="&amp;DATE(2024,11,1))</f>
        <v>0</v>
      </c>
      <c r="V54" s="1559">
        <f>countifs(QuitGrade,"2",QuitDate,"&gt;="&amp;DATE(2024,11,1),QuitDate,"&lt;="&amp;DATE(2024,11,1))</f>
        <v>0</v>
      </c>
      <c r="W54" s="1558">
        <f>countifs(JoinG3,"&gt;="&amp;DATE(2024,11,1),JoinG3,"&lt;="&amp;DATE(2024,11,1))+countifs(QuitGrade,"3",QStart,"&gt;="&amp;DATE(2024,11,1),QStart,"&lt;="&amp;DATE(2024,11,1))</f>
        <v>0</v>
      </c>
      <c r="X54" s="1559">
        <f>countifs(QuitGrade,"3",QuitDate,"&gt;="&amp;DATE(2024,11,1),QuitDate,"&lt;="&amp;DATE(2024,11,1))</f>
        <v>0</v>
      </c>
      <c r="Y54" s="1558">
        <f>countifs(JoinG4,"&gt;="&amp;DATE(2024,11,1),JoinG4,"&lt;="&amp;DATE(2024,11,1))+countifs(QuitGrade,"4",QStart,"&gt;="&amp;DATE(2024,11,1),QStart,"&lt;="&amp;DATE(2024,11,1))</f>
        <v>0</v>
      </c>
      <c r="Z54" s="1559">
        <f>countifs(QuitGrade,"4",QuitDate,"&gt;="&amp;DATE(2024,11,1),QuitDate,"&lt;="&amp;DATE(2024,11,1))</f>
        <v>0</v>
      </c>
      <c r="AA54" s="1558">
        <f>countifs(JoinG5,"&gt;="&amp;DATE(2024,11,1),JoinG5,"&lt;="&amp;DATE(2024,11,1))+countifs(QuitGrade,"5",QStart,"&gt;="&amp;DATE(2024,11,1),QStart,"&lt;="&amp;DATE(2024,11,1))</f>
        <v>0</v>
      </c>
      <c r="AB54" s="1559">
        <f>countifs(QuitGrade,"5",QuitDate,"&gt;="&amp;DATE(2024,11,1),QuitDate,"&lt;="&amp;DATE(2024,11,1))</f>
        <v>0</v>
      </c>
      <c r="AC54" s="1558">
        <f>countifs(JoinG7,"&gt;="&amp;DATE(2024,11,1),JoinG7,"&lt;="&amp;DATE(2024,11,1))+countifs(QuitGrade,"7",QStart,"&gt;="&amp;DATE(2024,11,1),QStart,"&lt;="&amp;DATE(2024,11,1))</f>
        <v>0</v>
      </c>
      <c r="AD54" s="1559">
        <f>countifs(QuitGrade,"7",QuitDate,"&gt;="&amp;DATE(2024,11,1),QuitDate,"&lt;="&amp;DATE(2024,11,1))</f>
        <v>0</v>
      </c>
      <c r="AE54" s="1560">
        <f t="shared" ref="AE54:AF54" si="59">sum(S54,U54,W54,Y54,AA54,AC54)</f>
        <v>1</v>
      </c>
      <c r="AF54" s="1561">
        <f t="shared" si="59"/>
        <v>0</v>
      </c>
      <c r="AG54" s="1564">
        <f t="shared" ref="AG54:AG58" si="63">minus(AE54,AF54)</f>
        <v>1</v>
      </c>
      <c r="AH54" s="396"/>
      <c r="AI54" s="396"/>
      <c r="AJ54" s="396"/>
      <c r="AK54" s="396"/>
      <c r="AL54" s="396"/>
      <c r="AM54" s="396"/>
      <c r="AN54" s="396"/>
    </row>
    <row r="55">
      <c r="A55" s="1234" t="s">
        <v>2433</v>
      </c>
      <c r="B55" s="1558">
        <f>countifs(JoinG1,"&gt;="&amp;DATE(2024,5,6),JoinG1,"&lt;="&amp;DATE(2024,5,10))+countifs(QuitGrade,"1",QStart,"&gt;="&amp;DATE(2024,5,6),QStart,"&lt;="&amp;DATE(2024,5,10))</f>
        <v>0</v>
      </c>
      <c r="C55" s="1559">
        <f>countifs(QuitGrade,"1",QuitDate,"&gt;="&amp;DATE(2024,5,6),QuitDate,"&lt;="&amp;DATE(2024,5,10))</f>
        <v>0</v>
      </c>
      <c r="D55" s="1558">
        <f>countifs(JoinG2,"&gt;="&amp;DATE(2024,5,6),JoinG2,"&lt;="&amp;DATE(2024,5,10))+countifs(QuitGrade,"2",QStart,"&gt;="&amp;DATE(2024,5,6),QStart,"&lt;="&amp;DATE(2024,5,10))</f>
        <v>5</v>
      </c>
      <c r="E55" s="1559">
        <f>countifs(QuitGrade,"2",QuitDate,"&gt;="&amp;DATE(2024,5,6),QuitDate,"&lt;="&amp;DATE(2024,5,10))</f>
        <v>0</v>
      </c>
      <c r="F55" s="1558">
        <f>countifs(JoinG3,"&gt;="&amp;DATE(2024,5,6),JoinG3,"&lt;="&amp;DATE(2024,5,10))+countifs(QuitGrade,"3",QStart,"&gt;="&amp;DATE(2024,5,6),QStart,"&lt;="&amp;DATE(2024,5,10))</f>
        <v>2</v>
      </c>
      <c r="G55" s="1559">
        <f>countifs(QuitGrade,"3",QuitDate,"&gt;="&amp;DATE(2024,5,6),QuitDate,"&lt;="&amp;DATE(2024,5,10))</f>
        <v>0</v>
      </c>
      <c r="H55" s="1558">
        <f>countifs(JoinG4,"&gt;="&amp;DATE(2024,5,6),JoinG4,"&lt;="&amp;DATE(2024,5,10))+countifs(QuitGrade,"4",QStart,"&gt;="&amp;DATE(2024,5,6),QStart,"&lt;="&amp;DATE(2024,5,10))</f>
        <v>0</v>
      </c>
      <c r="I55" s="1559">
        <f>countifs(QuitGrade,"4",QuitDate,"&gt;="&amp;DATE(2024,5,6),QuitDate,"&lt;="&amp;DATE(2024,5,10))</f>
        <v>0</v>
      </c>
      <c r="J55" s="1558">
        <f>countifs(JoinG5,"&gt;="&amp;DATE(2024,5,6),JoinG5,"&lt;="&amp;DATE(2024,5,10))+countifs(QuitGrade,"5",QStart,"&gt;="&amp;DATE(2024,5,6),QStart,"&lt;="&amp;DATE(2024,5,10))</f>
        <v>0</v>
      </c>
      <c r="K55" s="1559">
        <f>countifs(QuitGrade,"5",QuitDate,"&gt;="&amp;DATE(2024,5,6),QuitDate,"&lt;="&amp;DATE(2024,5,10))</f>
        <v>0</v>
      </c>
      <c r="L55" s="1558">
        <f>countifs(JoinG7,"&gt;="&amp;DATE(2024,5,6),JoinG7,"&lt;="&amp;DATE(2024,5,10))+countifs(QuitGrade,"7",QStart,"&gt;="&amp;DATE(2024,5,6),QStart,"&lt;="&amp;DATE(2024,5,10))</f>
        <v>0</v>
      </c>
      <c r="M55" s="1559">
        <f>countifs(QuitGrade,"7",QuitDate,"&gt;="&amp;DATE(2024,5,6),QuitDate,"&lt;="&amp;DATE(2024,5,10))</f>
        <v>0</v>
      </c>
      <c r="N55" s="1560">
        <f t="shared" ref="N55:O55" si="60">sum(B55,D55,F55,H55,J55,L55)</f>
        <v>7</v>
      </c>
      <c r="O55" s="1567">
        <f t="shared" si="60"/>
        <v>0</v>
      </c>
      <c r="P55" s="1564">
        <f t="shared" si="61"/>
        <v>7</v>
      </c>
      <c r="Q55" s="396"/>
      <c r="R55" s="1568" t="s">
        <v>2434</v>
      </c>
      <c r="S55" s="1558">
        <f>countifs(JoinG1,"&gt;="&amp;DATE(2024,11,4),JoinG1,"&lt;="&amp;DATE(2024,11,8))+countifs(QuitGrade,"1",QStart,"&gt;="&amp;DATE(2024,11,4),QStart,"&lt;="&amp;DATE(2024,11,8))</f>
        <v>0</v>
      </c>
      <c r="T55" s="1559">
        <f>countifs(QuitGrade,"1",QuitDate,"&gt;="&amp;DATE(2024,11,4),QuitDate,"&lt;="&amp;DATE(2024,11,8))</f>
        <v>0</v>
      </c>
      <c r="U55" s="1558">
        <f>countifs(JoinG2,"&gt;="&amp;DATE(2024,11,4),JoinG2,"&lt;="&amp;DATE(2024,11,8))+countifs(QuitGrade,"2",QStart,"&gt;="&amp;DATE(2024,11,4),QStart,"&lt;="&amp;DATE(2024,11,8))</f>
        <v>0</v>
      </c>
      <c r="V55" s="1559">
        <f>countifs(QuitGrade,"2",QuitDate,"&gt;="&amp;DATE(2024,11,4),QuitDate,"&lt;="&amp;DATE(2024,11,8))</f>
        <v>0</v>
      </c>
      <c r="W55" s="1558">
        <f>countifs(JoinG3,"&gt;="&amp;DATE(2024,11,4),JoinG3,"&lt;="&amp;DATE(2024,11,8))+countifs(QuitGrade,"3",QStart,"&gt;="&amp;DATE(2024,11,4),QStart,"&lt;="&amp;DATE(2024,11,8))</f>
        <v>0</v>
      </c>
      <c r="X55" s="1559">
        <f>countifs(QuitGrade,"3",QuitDate,"&gt;="&amp;DATE(2024,11,4),QuitDate,"&lt;="&amp;DATE(2024,11,8))</f>
        <v>0</v>
      </c>
      <c r="Y55" s="1558">
        <f>countifs(JoinG4,"&gt;="&amp;DATE(2024,11,4),JoinG4,"&lt;="&amp;DATE(2024,11,8))+countifs(QuitGrade,"4",QStart,"&gt;="&amp;DATE(2024,11,4),QStart,"&lt;="&amp;DATE(2024,11,8))</f>
        <v>0</v>
      </c>
      <c r="Z55" s="1559">
        <f>countifs(QuitGrade,"4",QuitDate,"&gt;="&amp;DATE(2024,11,4),QuitDate,"&lt;="&amp;DATE(2024,11,8))</f>
        <v>0</v>
      </c>
      <c r="AA55" s="1558">
        <f>countifs(JoinG5,"&gt;="&amp;DATE(2024,11,4),JoinG5,"&lt;="&amp;DATE(2024,11,8))+countifs(QuitGrade,"5",QStart,"&gt;="&amp;DATE(2024,11,4),QStart,"&lt;="&amp;DATE(2024,11,8))</f>
        <v>0</v>
      </c>
      <c r="AB55" s="1559">
        <f>countifs(QuitGrade,"5",QuitDate,"&gt;="&amp;DATE(2024,11,4),QuitDate,"&lt;="&amp;DATE(2024,11,8))</f>
        <v>0</v>
      </c>
      <c r="AC55" s="1558">
        <f>countifs(JoinG7,"&gt;="&amp;DATE(2024,11,4),JoinG7,"&lt;="&amp;DATE(2024,11,8))+countifs(QuitGrade,"7",QStart,"&gt;="&amp;DATE(2024,11,4),QStart,"&lt;="&amp;DATE(2024,11,8))</f>
        <v>0</v>
      </c>
      <c r="AD55" s="1559">
        <f>countifs(QuitGrade,"7",QuitDate,"&gt;="&amp;DATE(2024,11,4),QuitDate,"&lt;="&amp;DATE(2024,11,8))</f>
        <v>0</v>
      </c>
      <c r="AE55" s="1560">
        <f t="shared" ref="AE55:AF55" si="62">sum(S55,U55,W55,Y55,AA55,AC55)</f>
        <v>0</v>
      </c>
      <c r="AF55" s="1567">
        <f t="shared" si="62"/>
        <v>0</v>
      </c>
      <c r="AG55" s="1564">
        <f t="shared" si="63"/>
        <v>0</v>
      </c>
      <c r="AH55" s="396"/>
      <c r="AI55" s="396"/>
      <c r="AJ55" s="396"/>
      <c r="AK55" s="396"/>
      <c r="AL55" s="396"/>
      <c r="AM55" s="396"/>
      <c r="AN55" s="396"/>
    </row>
    <row r="56">
      <c r="A56" s="1234" t="s">
        <v>2435</v>
      </c>
      <c r="B56" s="1558">
        <f>countifs(JoinG1,"&gt;="&amp;DATE(2024,5,13),JoinG1,"&lt;="&amp;DATE(2024,5,17))+countifs(QuitGrade,"1",QStart,"&gt;="&amp;DATE(2024,5,13),QStart,"&lt;="&amp;DATE(2024,5,17))</f>
        <v>2</v>
      </c>
      <c r="C56" s="1559">
        <f>countifs(QuitGrade,"1",QuitDate,"&gt;="&amp;DATE(2024,5,13),QuitDate,"&lt;="&amp;DATE(2024,5,17))</f>
        <v>0</v>
      </c>
      <c r="D56" s="1558">
        <f>countifs(JoinG2,"&gt;="&amp;DATE(2024,5,13),JoinG2,"&lt;="&amp;DATE(2024,5,17))+countifs(QuitGrade,"2",QStart,"&gt;="&amp;DATE(2024,5,13),QStart,"&lt;="&amp;DATE(2024,5,17))</f>
        <v>0</v>
      </c>
      <c r="E56" s="1559">
        <f>countifs(QuitGrade,"2",QuitDate,"&gt;="&amp;DATE(2024,5,13),QuitDate,"&lt;="&amp;DATE(2024,5,17))</f>
        <v>0</v>
      </c>
      <c r="F56" s="1558">
        <f>countifs(JoinG3,"&gt;="&amp;DATE(2024,5,13),JoinG3,"&lt;="&amp;DATE(2024,5,17))+countifs(QuitGrade,"3",QStart,"&gt;="&amp;DATE(2024,5,13),QStart,"&lt;="&amp;DATE(2024,5,17))</f>
        <v>0</v>
      </c>
      <c r="G56" s="1559">
        <f>countifs(QuitGrade,"3",QuitDate,"&gt;="&amp;DATE(2024,5,13),QuitDate,"&lt;="&amp;DATE(2024,5,17))</f>
        <v>0</v>
      </c>
      <c r="H56" s="1558">
        <f>countifs(JoinG4,"&gt;="&amp;DATE(2024,5,13),JoinG4,"&lt;="&amp;DATE(2024,5,17))+countifs(QuitGrade,"4",QStart,"&gt;="&amp;DATE(2024,5,13),QStart,"&lt;="&amp;DATE(2024,5,17))</f>
        <v>0</v>
      </c>
      <c r="I56" s="1559">
        <f>countifs(QuitGrade,"4",QuitDate,"&gt;="&amp;DATE(2024,5,13),QuitDate,"&lt;="&amp;DATE(2024,5,17))</f>
        <v>0</v>
      </c>
      <c r="J56" s="1558">
        <f>countifs(JoinG5,"&gt;="&amp;DATE(2024,5,13),JoinG5,"&lt;="&amp;DATE(2024,5,17))+countifs(QuitGrade,"5",QStart,"&gt;="&amp;DATE(2024,5,13),QStart,"&lt;="&amp;DATE(2024,5,17))</f>
        <v>0</v>
      </c>
      <c r="K56" s="1559">
        <f>countifs(QuitGrade,"5",QuitDate,"&gt;="&amp;DATE(2024,5,13),QuitDate,"&lt;="&amp;DATE(2024,5,17))</f>
        <v>0</v>
      </c>
      <c r="L56" s="1558">
        <f>countifs(JoinG7,"&gt;="&amp;DATE(2024,5,13),JoinG7,"&lt;="&amp;DATE(2024,5,17))+countifs(QuitGrade,"7",QStart,"&gt;="&amp;DATE(2024,5,13),QStart,"&lt;="&amp;DATE(2024,5,17))</f>
        <v>0</v>
      </c>
      <c r="M56" s="1559">
        <f>countifs(QuitGrade,"7",QuitDate,"&gt;="&amp;DATE(2024,5,13),QuitDate,"&lt;="&amp;DATE(2024,5,17))</f>
        <v>0</v>
      </c>
      <c r="N56" s="1560">
        <f t="shared" ref="N56:O56" si="64">sum(B56,D56,F56,H56,J56,L56)</f>
        <v>2</v>
      </c>
      <c r="O56" s="1567">
        <f t="shared" si="64"/>
        <v>0</v>
      </c>
      <c r="P56" s="1564">
        <f t="shared" si="61"/>
        <v>2</v>
      </c>
      <c r="Q56" s="396"/>
      <c r="R56" s="1568" t="s">
        <v>2436</v>
      </c>
      <c r="S56" s="1558">
        <f>countifs(JoinG1,"&gt;="&amp;DATE(2024,11,11),JoinG1,"&lt;="&amp;DATE(2024,11,15))+countifs(QuitGrade,"1",QStart,"&gt;="&amp;DATE(2024,11,11),QStart,"&lt;="&amp;DATE(2024,11,15))</f>
        <v>2</v>
      </c>
      <c r="T56" s="1559">
        <f>countifs(QuitGrade,"1",QuitDate,"&gt;="&amp;DATE(2024,11,11),QuitDate,"&lt;="&amp;DATE(2024,11,15))</f>
        <v>0</v>
      </c>
      <c r="U56" s="1558">
        <f>countifs(JoinG2,"&gt;="&amp;DATE(2024,11,11),JoinG2,"&lt;="&amp;DATE(2024,11,15))+countifs(QuitGrade,"2",QStart,"&gt;="&amp;DATE(2024,11,11),QStart,"&lt;="&amp;DATE(2024,11,15))</f>
        <v>0</v>
      </c>
      <c r="V56" s="1559">
        <f>countifs(QuitGrade,"2",QuitDate,"&gt;="&amp;DATE(2024,11,11),QuitDate,"&lt;="&amp;DATE(2024,11,15))</f>
        <v>0</v>
      </c>
      <c r="W56" s="1558">
        <f>countifs(JoinG3,"&gt;="&amp;DATE(2024,11,11),JoinG3,"&lt;="&amp;DATE(2024,11,15))+countifs(QuitGrade,"3",QStart,"&gt;="&amp;DATE(2024,11,11),QStart,"&lt;="&amp;DATE(2024,11,15))</f>
        <v>0</v>
      </c>
      <c r="X56" s="1559">
        <f>countifs(QuitGrade,"3",QuitDate,"&gt;="&amp;DATE(2024,11,11),QuitDate,"&lt;="&amp;DATE(2024,11,15))</f>
        <v>0</v>
      </c>
      <c r="Y56" s="1558">
        <f>countifs(JoinG4,"&gt;="&amp;DATE(2024,11,11),JoinG4,"&lt;="&amp;DATE(2024,11,15))+countifs(QuitGrade,"4",QStart,"&gt;="&amp;DATE(2024,11,11),QStart,"&lt;="&amp;DATE(2024,11,15))</f>
        <v>0</v>
      </c>
      <c r="Z56" s="1559">
        <f>countifs(QuitGrade,"4",QuitDate,"&gt;="&amp;DATE(2024,11,11),QuitDate,"&lt;="&amp;DATE(2024,11,15))</f>
        <v>0</v>
      </c>
      <c r="AA56" s="1558">
        <f>countifs(JoinG5,"&gt;="&amp;DATE(2024,11,11),JoinG5,"&lt;="&amp;DATE(2024,11,15))+countifs(QuitGrade,"5",QStart,"&gt;="&amp;DATE(2024,11,11),QStart,"&lt;="&amp;DATE(2024,11,15))</f>
        <v>0</v>
      </c>
      <c r="AB56" s="1559">
        <f>countifs(QuitGrade,"5",QuitDate,"&gt;="&amp;DATE(2024,11,11),QuitDate,"&lt;="&amp;DATE(2024,11,15))</f>
        <v>0</v>
      </c>
      <c r="AC56" s="1558">
        <f>countifs(JoinG7,"&gt;="&amp;DATE(2024,11,11),JoinG7,"&lt;="&amp;DATE(2024,11,15))+countifs(QuitGrade,"7",QStart,"&gt;="&amp;DATE(2024,11,11),QStart,"&lt;="&amp;DATE(2024,11,15))</f>
        <v>0</v>
      </c>
      <c r="AD56" s="1559">
        <f>countifs(QuitGrade,"7",QuitDate,"&gt;="&amp;DATE(2024,11,11),QuitDate,"&lt;="&amp;DATE(2024,11,15))</f>
        <v>0</v>
      </c>
      <c r="AE56" s="1560">
        <f t="shared" ref="AE56:AF56" si="65">sum(S56,U56,W56,Y56,AA56,AC56)</f>
        <v>2</v>
      </c>
      <c r="AF56" s="1567">
        <f t="shared" si="65"/>
        <v>0</v>
      </c>
      <c r="AG56" s="1564">
        <f t="shared" si="63"/>
        <v>2</v>
      </c>
      <c r="AH56" s="396"/>
      <c r="AI56" s="396"/>
      <c r="AJ56" s="396"/>
      <c r="AK56" s="396"/>
      <c r="AL56" s="396"/>
      <c r="AM56" s="396"/>
      <c r="AN56" s="396"/>
    </row>
    <row r="57">
      <c r="A57" s="1234" t="s">
        <v>2437</v>
      </c>
      <c r="B57" s="1558">
        <f>countifs(JoinG1,"&gt;="&amp;DATE(2024,5,20),JoinG1,"&lt;="&amp;DATE(2024,5,24))+countifs(QuitGrade,"1",QStart,"&gt;="&amp;DATE(2024,5,20),QStart,"&lt;="&amp;DATE(2024,5,24))</f>
        <v>0</v>
      </c>
      <c r="C57" s="1559">
        <f>countifs(QuitGrade,"1",QuitDate,"&gt;="&amp;DATE(2024,5,20),QuitDate,"&lt;="&amp;DATE(2024,5,24))</f>
        <v>0</v>
      </c>
      <c r="D57" s="1558">
        <f>countifs(JoinG2,"&gt;="&amp;DATE(2024,5,20),JoinG2,"&lt;="&amp;DATE(2024,5,24))+countifs(QuitGrade,"2",QStart,"&gt;="&amp;DATE(2024,5,20),QStart,"&lt;="&amp;DATE(2024,5,24))</f>
        <v>1</v>
      </c>
      <c r="E57" s="1559">
        <f>countifs(QuitGrade,"2",QuitDate,"&gt;="&amp;DATE(2024,5,20),QuitDate,"&lt;="&amp;DATE(2024,5,24))</f>
        <v>0</v>
      </c>
      <c r="F57" s="1558">
        <f>countifs(JoinG3,"&gt;="&amp;DATE(2024,5,20),JoinG3,"&lt;="&amp;DATE(2024,5,24))+countifs(QuitGrade,"3",QStart,"&gt;="&amp;DATE(2024,5,20),QStart,"&lt;="&amp;DATE(2024,5,24))</f>
        <v>0</v>
      </c>
      <c r="G57" s="1559">
        <f>countifs(QuitGrade,"3",QuitDate,"&gt;="&amp;DATE(2024,5,20),QuitDate,"&lt;="&amp;DATE(2024,5,24))</f>
        <v>0</v>
      </c>
      <c r="H57" s="1558">
        <f>countifs(JoinG4,"&gt;="&amp;DATE(2024,5,20),JoinG4,"&lt;="&amp;DATE(2024,5,24))+countifs(QuitGrade,"4",QStart,"&gt;="&amp;DATE(2024,5,20),QStart,"&lt;="&amp;DATE(2024,5,24))</f>
        <v>0</v>
      </c>
      <c r="I57" s="1559">
        <f>countifs(QuitGrade,"4",QuitDate,"&gt;="&amp;DATE(2024,5,20),QuitDate,"&lt;="&amp;DATE(2024,5,24))</f>
        <v>0</v>
      </c>
      <c r="J57" s="1558">
        <f>countifs(JoinG5,"&gt;="&amp;DATE(2024,5,20),JoinG5,"&lt;="&amp;DATE(2024,5,24))+countifs(QuitGrade,"5",QStart,"&gt;="&amp;DATE(2024,5,20),QStart,"&lt;="&amp;DATE(2024,5,24))</f>
        <v>0</v>
      </c>
      <c r="K57" s="1559">
        <f>countifs(QuitGrade,"5",QuitDate,"&gt;="&amp;DATE(2024,5,20),QuitDate,"&lt;="&amp;DATE(2024,5,24))</f>
        <v>0</v>
      </c>
      <c r="L57" s="1558">
        <f>countifs(JoinG7,"&gt;="&amp;DATE(2024,5,20),JoinG7,"&lt;="&amp;DATE(2024,5,24))+countifs(QuitGrade,"7",QStart,"&gt;="&amp;DATE(2024,5,20),QStart,"&lt;="&amp;DATE(2024,5,24))</f>
        <v>0</v>
      </c>
      <c r="M57" s="1559">
        <f>countifs(QuitGrade,"7",QuitDate,"&gt;="&amp;DATE(2024,5,20),QuitDate,"&lt;="&amp;DATE(2024,5,24))</f>
        <v>0</v>
      </c>
      <c r="N57" s="1560">
        <f t="shared" ref="N57:O57" si="66">sum(B57,D57,F57,H57,J57,L57)</f>
        <v>1</v>
      </c>
      <c r="O57" s="1567">
        <f t="shared" si="66"/>
        <v>0</v>
      </c>
      <c r="P57" s="1564">
        <f t="shared" si="61"/>
        <v>1</v>
      </c>
      <c r="Q57" s="396"/>
      <c r="R57" s="1568" t="s">
        <v>2438</v>
      </c>
      <c r="S57" s="1558">
        <f>countifs(JoinG1,"&gt;="&amp;DATE(2024,11,18),JoinG1,"&lt;="&amp;DATE(2024,11,22))+countifs(QuitGrade,"1",QStart,"&gt;="&amp;DATE(2024,11,18),QStart,"&lt;="&amp;DATE(2024,11,22))</f>
        <v>0</v>
      </c>
      <c r="T57" s="1559">
        <f>countifs(QuitGrade,"1",QuitDate,"&gt;="&amp;DATE(2024,11,18),QuitDate,"&lt;="&amp;DATE(2024,11,22))</f>
        <v>0</v>
      </c>
      <c r="U57" s="1558">
        <f>countifs(JoinG2,"&gt;="&amp;DATE(2024,11,18),JoinG2,"&lt;="&amp;DATE(2024,11,22))+countifs(QuitGrade,"2",QStart,"&gt;="&amp;DATE(2024,11,18),QStart,"&lt;="&amp;DATE(2024,11,22))</f>
        <v>1</v>
      </c>
      <c r="V57" s="1559">
        <f>countifs(QuitGrade,"2",QuitDate,"&gt;="&amp;DATE(2024,11,18),QuitDate,"&lt;="&amp;DATE(2024,11,22))</f>
        <v>0</v>
      </c>
      <c r="W57" s="1558">
        <f>countifs(JoinG3,"&gt;="&amp;DATE(2024,11,18),JoinG3,"&lt;="&amp;DATE(2024,11,22))+countifs(QuitGrade,"3",QStart,"&gt;="&amp;DATE(2024,11,18),QStart,"&lt;="&amp;DATE(2024,11,22))</f>
        <v>0</v>
      </c>
      <c r="X57" s="1559">
        <f>countifs(QuitGrade,"3",QuitDate,"&gt;="&amp;DATE(2024,11,18),QuitDate,"&lt;="&amp;DATE(2024,11,22))</f>
        <v>0</v>
      </c>
      <c r="Y57" s="1558">
        <f>countifs(JoinG4,"&gt;="&amp;DATE(2024,11,18),JoinG4,"&lt;="&amp;DATE(2024,11,22))+countifs(QuitGrade,"4",QStart,"&gt;="&amp;DATE(2024,11,18),QStart,"&lt;="&amp;DATE(2024,11,22))</f>
        <v>0</v>
      </c>
      <c r="Z57" s="1559">
        <f>countifs(QuitGrade,"4",QuitDate,"&gt;="&amp;DATE(2024,11,18),QuitDate,"&lt;="&amp;DATE(2024,11,22))</f>
        <v>0</v>
      </c>
      <c r="AA57" s="1558">
        <f>countifs(JoinG5,"&gt;="&amp;DATE(2024,11,18),JoinG5,"&lt;="&amp;DATE(2024,11,22))+countifs(QuitGrade,"5",QStart,"&gt;="&amp;DATE(2024,11,18),QStart,"&lt;="&amp;DATE(2024,11,22))</f>
        <v>0</v>
      </c>
      <c r="AB57" s="1559">
        <f>countifs(QuitGrade,"5",QuitDate,"&gt;="&amp;DATE(2024,11,18),QuitDate,"&lt;="&amp;DATE(2024,11,22))</f>
        <v>0</v>
      </c>
      <c r="AC57" s="1558">
        <f>countifs(JoinG7,"&gt;="&amp;DATE(2024,11,18),JoinG7,"&lt;="&amp;DATE(2024,11,22))+countifs(QuitGrade,"7",QStart,"&gt;="&amp;DATE(2024,11,18),QStart,"&lt;="&amp;DATE(2024,11,22))</f>
        <v>0</v>
      </c>
      <c r="AD57" s="1559">
        <f>countifs(QuitGrade,"7",QuitDate,"&gt;="&amp;DATE(2024,11,18),QuitDate,"&lt;="&amp;DATE(2024,11,22))</f>
        <v>0</v>
      </c>
      <c r="AE57" s="1560">
        <f t="shared" ref="AE57:AF57" si="67">sum(S57,U57,W57,Y57,AA57,AC57)</f>
        <v>1</v>
      </c>
      <c r="AF57" s="1567">
        <f t="shared" si="67"/>
        <v>0</v>
      </c>
      <c r="AG57" s="1564">
        <f t="shared" si="63"/>
        <v>1</v>
      </c>
      <c r="AH57" s="396"/>
      <c r="AI57" s="396"/>
      <c r="AJ57" s="396"/>
      <c r="AK57" s="396"/>
      <c r="AL57" s="396"/>
      <c r="AM57" s="396"/>
      <c r="AN57" s="396"/>
    </row>
    <row r="58">
      <c r="A58" s="1234" t="s">
        <v>2439</v>
      </c>
      <c r="B58" s="1558">
        <f>countifs(JoinG1,"&gt;="&amp;DATE(2024,5,27),JoinG1,"&lt;="&amp;DATE(2024,5,31))+countifs(QuitGrade,"1",QStart,"&gt;="&amp;DATE(2024,5,27),QStart,"&lt;="&amp;DATE(2024,5,31))</f>
        <v>0</v>
      </c>
      <c r="C58" s="1559">
        <f>countifs(QuitGrade,"1",QuitDate,"&gt;="&amp;DATE(2024,5,27),QuitDate,"&lt;="&amp;DATE(2024,5,31))</f>
        <v>0</v>
      </c>
      <c r="D58" s="1558">
        <f>countifs(JoinG2,"&gt;="&amp;DATE(2024,5,27),JoinG2,"&lt;="&amp;DATE(2024,5,31))+countifs(QuitGrade,"2",QStart,"&gt;="&amp;DATE(2024,5,27),QStart,"&lt;="&amp;DATE(2024,5,31))</f>
        <v>2</v>
      </c>
      <c r="E58" s="1559">
        <f>countifs(QuitGrade,"2",QuitDate,"&gt;="&amp;DATE(2024,5,27),QuitDate,"&lt;="&amp;DATE(2024,5,31))</f>
        <v>0</v>
      </c>
      <c r="F58" s="1558">
        <f>countifs(JoinG3,"&gt;="&amp;DATE(2024,5,27),JoinG3,"&lt;="&amp;DATE(2024,5,31))+countifs(QuitGrade,"3",QStart,"&gt;="&amp;DATE(2024,5,27),QStart,"&lt;="&amp;DATE(2024,5,31))</f>
        <v>1</v>
      </c>
      <c r="G58" s="1559">
        <f>countifs(QuitGrade,"3",QuitDate,"&gt;="&amp;DATE(2024,5,27),QuitDate,"&lt;="&amp;DATE(2024,5,31))</f>
        <v>0</v>
      </c>
      <c r="H58" s="1558">
        <f>countifs(JoinG4,"&gt;="&amp;DATE(2024,5,27),JoinG4,"&lt;="&amp;DATE(2024,5,31))+countifs(QuitGrade,"4",QStart,"&gt;="&amp;DATE(2024,5,27),QStart,"&lt;="&amp;DATE(2024,5,31))</f>
        <v>0</v>
      </c>
      <c r="I58" s="1559">
        <f>countifs(QuitGrade,"4",QuitDate,"&gt;="&amp;DATE(2024,5,27),QuitDate,"&lt;="&amp;DATE(2024,5,31))</f>
        <v>0</v>
      </c>
      <c r="J58" s="1558">
        <f>countifs(JoinG5,"&gt;="&amp;DATE(2024,5,27),JoinG5,"&lt;="&amp;DATE(2024,5,31))+countifs(QuitGrade,"5",QStart,"&gt;="&amp;DATE(2024,5,27),QStart,"&lt;="&amp;DATE(2024,5,31))</f>
        <v>0</v>
      </c>
      <c r="K58" s="1559">
        <f>countifs(QuitGrade,"5",QuitDate,"&gt;="&amp;DATE(2024,5,27),QuitDate,"&lt;="&amp;DATE(2024,5,31))</f>
        <v>0</v>
      </c>
      <c r="L58" s="1558">
        <f>countifs(JoinG7,"&gt;="&amp;DATE(2024,5,27),JoinG7,"&lt;="&amp;DATE(2024,5,31))+countifs(QuitGrade,"7",QStart,"&gt;="&amp;DATE(2024,5,27),QStart,"&lt;="&amp;DATE(2024,5,31))</f>
        <v>0</v>
      </c>
      <c r="M58" s="1559">
        <f>countifs(QuitGrade,"7",QuitDate,"&gt;="&amp;DATE(2024,5,27),QuitDate,"&lt;="&amp;DATE(2024,5,31))</f>
        <v>0</v>
      </c>
      <c r="N58" s="1560">
        <f t="shared" ref="N58:O58" si="68">sum(B58,D58,F58,H58,J58,L58)</f>
        <v>3</v>
      </c>
      <c r="O58" s="1599">
        <f t="shared" si="68"/>
        <v>0</v>
      </c>
      <c r="P58" s="1600">
        <f t="shared" si="61"/>
        <v>3</v>
      </c>
      <c r="Q58" s="396"/>
      <c r="R58" s="1572" t="s">
        <v>2440</v>
      </c>
      <c r="S58" s="1558">
        <f>countifs(JoinG1,"&gt;="&amp;DATE(2024,11,25),JoinG1,"&lt;="&amp;DATE(2024,11,29))+countifs(QuitGrade,"1",QStart,"&gt;="&amp;DATE(2024,11,25),QStart,"&lt;="&amp;DATE(2024,11,29))</f>
        <v>0</v>
      </c>
      <c r="T58" s="1559">
        <f>countifs(QuitGrade,"1",QuitDate,"&gt;="&amp;DATE(2024,11,25),QuitDate,"&lt;="&amp;DATE(2024,11,29))</f>
        <v>0</v>
      </c>
      <c r="U58" s="1558">
        <f>countifs(JoinG2,"&gt;="&amp;DATE(2024,11,25),JoinG2,"&lt;="&amp;DATE(2024,11,29))+countifs(QuitGrade,"2",QStart,"&gt;="&amp;DATE(2024,11,25),QStart,"&lt;="&amp;DATE(2024,11,29))</f>
        <v>0</v>
      </c>
      <c r="V58" s="1559">
        <f>countifs(QuitGrade,"2",QuitDate,"&gt;="&amp;DATE(2024,11,25),QuitDate,"&lt;="&amp;DATE(2024,11,29))</f>
        <v>0</v>
      </c>
      <c r="W58" s="1558">
        <f>countifs(JoinG3,"&gt;="&amp;DATE(2024,11,25),JoinG3,"&lt;="&amp;DATE(2024,11,29))+countifs(QuitGrade,"3",QStart,"&gt;="&amp;DATE(2024,11,25),QStart,"&lt;="&amp;DATE(2024,11,29))</f>
        <v>0</v>
      </c>
      <c r="X58" s="1559">
        <f>countifs(QuitGrade,"3",QuitDate,"&gt;="&amp;DATE(2024,11,25),QuitDate,"&lt;="&amp;DATE(2024,11,29))</f>
        <v>0</v>
      </c>
      <c r="Y58" s="1558">
        <f>countifs(JoinG4,"&gt;="&amp;DATE(2024,11,25),JoinG4,"&lt;="&amp;DATE(2024,11,29))+countifs(QuitGrade,"4",QStart,"&gt;="&amp;DATE(2024,11,25),QStart,"&lt;="&amp;DATE(2024,11,29))</f>
        <v>0</v>
      </c>
      <c r="Z58" s="1559">
        <f>countifs(QuitGrade,"4",QuitDate,"&gt;="&amp;DATE(2024,11,25),QuitDate,"&lt;="&amp;DATE(2024,11,29))</f>
        <v>0</v>
      </c>
      <c r="AA58" s="1558">
        <f>countifs(JoinG5,"&gt;="&amp;DATE(2024,11,25),JoinG5,"&lt;="&amp;DATE(2024,11,29))+countifs(QuitGrade,"5",QStart,"&gt;="&amp;DATE(2024,11,25),QStart,"&lt;="&amp;DATE(2024,11,29))</f>
        <v>0</v>
      </c>
      <c r="AB58" s="1559">
        <f>countifs(QuitGrade,"5",QuitDate,"&gt;="&amp;DATE(2024,11,25),QuitDate,"&lt;="&amp;DATE(2024,11,29))</f>
        <v>0</v>
      </c>
      <c r="AC58" s="1558">
        <f>countifs(JoinG7,"&gt;="&amp;DATE(2024,11,25),JoinG7,"&lt;="&amp;DATE(2024,11,29))+countifs(QuitGrade,"7",QStart,"&gt;="&amp;DATE(2024,11,25),QStart,"&lt;="&amp;DATE(2024,11,29))</f>
        <v>0</v>
      </c>
      <c r="AD58" s="1559">
        <f>countifs(QuitGrade,"7",QuitDate,"&gt;="&amp;DATE(2024,11,25),QuitDate,"&lt;="&amp;DATE(2024,11,29))</f>
        <v>0</v>
      </c>
      <c r="AE58" s="1560">
        <f t="shared" ref="AE58:AF58" si="69">sum(S58,U58,W58,Y58,AA58,AC58)</f>
        <v>0</v>
      </c>
      <c r="AF58" s="1599">
        <f t="shared" si="69"/>
        <v>0</v>
      </c>
      <c r="AG58" s="1600">
        <f t="shared" si="63"/>
        <v>0</v>
      </c>
      <c r="AH58" s="396"/>
      <c r="AI58" s="396"/>
      <c r="AJ58" s="396"/>
      <c r="AK58" s="396"/>
      <c r="AL58" s="396"/>
      <c r="AM58" s="396"/>
      <c r="AN58" s="396"/>
    </row>
    <row r="59">
      <c r="A59" s="1573" t="s">
        <v>182</v>
      </c>
      <c r="B59" s="1582">
        <f t="shared" ref="B59:P59" si="70">sum(B54:B58)</f>
        <v>3</v>
      </c>
      <c r="C59" s="1583">
        <f t="shared" si="70"/>
        <v>0</v>
      </c>
      <c r="D59" s="1584">
        <f t="shared" si="70"/>
        <v>9</v>
      </c>
      <c r="E59" s="1603">
        <f t="shared" si="70"/>
        <v>0</v>
      </c>
      <c r="F59" s="1582">
        <f t="shared" si="70"/>
        <v>3</v>
      </c>
      <c r="G59" s="1583">
        <f t="shared" si="70"/>
        <v>0</v>
      </c>
      <c r="H59" s="1584">
        <f t="shared" si="70"/>
        <v>0</v>
      </c>
      <c r="I59" s="1603">
        <f t="shared" si="70"/>
        <v>0</v>
      </c>
      <c r="J59" s="1582">
        <f t="shared" si="70"/>
        <v>0</v>
      </c>
      <c r="K59" s="1583">
        <f t="shared" si="70"/>
        <v>0</v>
      </c>
      <c r="L59" s="1584">
        <f t="shared" si="70"/>
        <v>0</v>
      </c>
      <c r="M59" s="1604">
        <f t="shared" si="70"/>
        <v>0</v>
      </c>
      <c r="N59" s="1585">
        <f t="shared" si="70"/>
        <v>15</v>
      </c>
      <c r="O59" s="1586">
        <f t="shared" si="70"/>
        <v>0</v>
      </c>
      <c r="P59" s="1587">
        <f t="shared" si="70"/>
        <v>15</v>
      </c>
      <c r="Q59" s="396"/>
      <c r="R59" s="1573" t="s">
        <v>182</v>
      </c>
      <c r="S59" s="1582">
        <f t="shared" ref="S59:AG59" si="71">sum(S54:S58)</f>
        <v>3</v>
      </c>
      <c r="T59" s="1583">
        <f t="shared" si="71"/>
        <v>0</v>
      </c>
      <c r="U59" s="1584">
        <f t="shared" si="71"/>
        <v>1</v>
      </c>
      <c r="V59" s="1583">
        <f t="shared" si="71"/>
        <v>0</v>
      </c>
      <c r="W59" s="1582">
        <f t="shared" si="71"/>
        <v>0</v>
      </c>
      <c r="X59" s="1583">
        <f t="shared" si="71"/>
        <v>0</v>
      </c>
      <c r="Y59" s="1584">
        <f t="shared" si="71"/>
        <v>0</v>
      </c>
      <c r="Z59" s="1583">
        <f t="shared" si="71"/>
        <v>0</v>
      </c>
      <c r="AA59" s="1582">
        <f t="shared" si="71"/>
        <v>0</v>
      </c>
      <c r="AB59" s="1583">
        <f t="shared" si="71"/>
        <v>0</v>
      </c>
      <c r="AC59" s="1584">
        <f t="shared" si="71"/>
        <v>0</v>
      </c>
      <c r="AD59" s="1583">
        <f t="shared" si="71"/>
        <v>0</v>
      </c>
      <c r="AE59" s="1585">
        <f t="shared" si="71"/>
        <v>4</v>
      </c>
      <c r="AF59" s="1586">
        <f t="shared" si="71"/>
        <v>0</v>
      </c>
      <c r="AG59" s="1587">
        <f t="shared" si="71"/>
        <v>4</v>
      </c>
      <c r="AH59" s="396"/>
      <c r="AI59" s="396"/>
      <c r="AJ59" s="396"/>
      <c r="AK59" s="396"/>
      <c r="AL59" s="396"/>
      <c r="AM59" s="396"/>
      <c r="AN59" s="396"/>
    </row>
    <row r="60">
      <c r="A60" s="1539"/>
      <c r="B60" s="396"/>
      <c r="C60" s="396"/>
      <c r="D60" s="396"/>
      <c r="E60" s="396"/>
      <c r="F60" s="396"/>
      <c r="G60" s="396"/>
      <c r="H60" s="396"/>
      <c r="I60" s="396"/>
      <c r="J60" s="396"/>
      <c r="K60" s="396"/>
      <c r="L60" s="396"/>
      <c r="M60" s="396"/>
      <c r="N60" s="396"/>
      <c r="O60" s="396"/>
      <c r="P60" s="396"/>
      <c r="Q60" s="396"/>
      <c r="R60" s="1539"/>
      <c r="S60" s="396"/>
      <c r="T60" s="396"/>
      <c r="U60" s="396"/>
      <c r="V60" s="396"/>
      <c r="W60" s="396"/>
      <c r="X60" s="396"/>
      <c r="Y60" s="396"/>
      <c r="Z60" s="396"/>
      <c r="AA60" s="396"/>
      <c r="AB60" s="396"/>
      <c r="AC60" s="396"/>
      <c r="AD60" s="396"/>
      <c r="AE60" s="396"/>
      <c r="AF60" s="396"/>
      <c r="AG60" s="396"/>
      <c r="AH60" s="396"/>
      <c r="AI60" s="396"/>
      <c r="AJ60" s="396"/>
      <c r="AK60" s="396"/>
      <c r="AL60" s="396"/>
      <c r="AM60" s="396"/>
      <c r="AN60" s="396"/>
    </row>
    <row r="61">
      <c r="A61" s="1540">
        <v>45444.0</v>
      </c>
      <c r="B61" s="396"/>
      <c r="C61" s="396"/>
      <c r="D61" s="396"/>
      <c r="E61" s="396"/>
      <c r="F61" s="396"/>
      <c r="G61" s="396"/>
      <c r="H61" s="396"/>
      <c r="I61" s="396"/>
      <c r="J61" s="396"/>
      <c r="K61" s="396"/>
      <c r="L61" s="396"/>
      <c r="M61" s="396"/>
      <c r="N61" s="396"/>
      <c r="O61" s="396"/>
      <c r="P61" s="396"/>
      <c r="Q61" s="1541"/>
      <c r="R61" s="1542">
        <v>45627.0</v>
      </c>
      <c r="S61" s="396"/>
      <c r="T61" s="396"/>
      <c r="U61" s="396"/>
      <c r="V61" s="396"/>
      <c r="W61" s="396"/>
      <c r="X61" s="396"/>
      <c r="Y61" s="396"/>
      <c r="Z61" s="396"/>
      <c r="AA61" s="396"/>
      <c r="AB61" s="396"/>
      <c r="AC61" s="396"/>
      <c r="AD61" s="396"/>
      <c r="AE61" s="396"/>
      <c r="AF61" s="396"/>
      <c r="AG61" s="396"/>
      <c r="AH61" s="396"/>
      <c r="AI61" s="396"/>
      <c r="AJ61" s="396"/>
      <c r="AK61" s="396"/>
      <c r="AL61" s="396"/>
      <c r="AM61" s="396"/>
      <c r="AN61" s="396"/>
    </row>
    <row r="62">
      <c r="A62" s="396"/>
      <c r="B62" s="396"/>
      <c r="C62" s="396"/>
      <c r="D62" s="396"/>
      <c r="E62" s="396"/>
      <c r="F62" s="396"/>
      <c r="G62" s="396"/>
      <c r="H62" s="396"/>
      <c r="I62" s="396"/>
      <c r="J62" s="396"/>
      <c r="K62" s="396"/>
      <c r="L62" s="396"/>
      <c r="M62" s="396"/>
      <c r="N62" s="396"/>
      <c r="O62" s="396"/>
      <c r="P62" s="1539"/>
      <c r="Q62" s="396"/>
      <c r="R62" s="396"/>
      <c r="S62" s="396"/>
      <c r="T62" s="396"/>
      <c r="U62" s="396"/>
      <c r="V62" s="396"/>
      <c r="W62" s="396"/>
      <c r="X62" s="396"/>
      <c r="Y62" s="396"/>
      <c r="Z62" s="396"/>
      <c r="AA62" s="396"/>
      <c r="AB62" s="396"/>
      <c r="AC62" s="396"/>
      <c r="AD62" s="396"/>
      <c r="AE62" s="396"/>
      <c r="AF62" s="396"/>
      <c r="AG62" s="1539"/>
      <c r="AH62" s="396"/>
      <c r="AI62" s="396"/>
      <c r="AJ62" s="396"/>
      <c r="AK62" s="396"/>
      <c r="AL62" s="396"/>
      <c r="AM62" s="396"/>
      <c r="AN62" s="396"/>
    </row>
    <row r="63">
      <c r="A63" s="1549" t="s">
        <v>2388</v>
      </c>
      <c r="B63" s="1544" t="s">
        <v>2381</v>
      </c>
      <c r="C63" s="1545"/>
      <c r="D63" s="1544" t="s">
        <v>2382</v>
      </c>
      <c r="E63" s="1545"/>
      <c r="F63" s="1544" t="s">
        <v>2383</v>
      </c>
      <c r="G63" s="1545"/>
      <c r="H63" s="1544" t="s">
        <v>2384</v>
      </c>
      <c r="I63" s="1545"/>
      <c r="J63" s="1544" t="s">
        <v>2385</v>
      </c>
      <c r="K63" s="1545"/>
      <c r="L63" s="1544" t="s">
        <v>2386</v>
      </c>
      <c r="M63" s="1545"/>
      <c r="N63" s="1547" t="s">
        <v>182</v>
      </c>
      <c r="O63" s="1545"/>
      <c r="P63" s="1548" t="s">
        <v>2387</v>
      </c>
      <c r="Q63" s="396"/>
      <c r="R63" s="1549" t="s">
        <v>2388</v>
      </c>
      <c r="S63" s="1544" t="s">
        <v>2381</v>
      </c>
      <c r="T63" s="1545"/>
      <c r="U63" s="1544" t="s">
        <v>2382</v>
      </c>
      <c r="V63" s="1545"/>
      <c r="W63" s="1544" t="s">
        <v>2383</v>
      </c>
      <c r="X63" s="1545"/>
      <c r="Y63" s="1544" t="s">
        <v>2384</v>
      </c>
      <c r="Z63" s="1545"/>
      <c r="AA63" s="1544" t="s">
        <v>2385</v>
      </c>
      <c r="AB63" s="1545"/>
      <c r="AC63" s="1544" t="s">
        <v>2386</v>
      </c>
      <c r="AD63" s="1545"/>
      <c r="AE63" s="1547" t="s">
        <v>182</v>
      </c>
      <c r="AF63" s="1545"/>
      <c r="AG63" s="1608" t="s">
        <v>2387</v>
      </c>
      <c r="AH63" s="396"/>
      <c r="AI63" s="396"/>
      <c r="AJ63" s="396"/>
      <c r="AK63" s="396"/>
      <c r="AL63" s="396"/>
      <c r="AM63" s="396"/>
      <c r="AN63" s="396"/>
    </row>
    <row r="64">
      <c r="A64" s="1550"/>
      <c r="B64" s="1557" t="s">
        <v>2389</v>
      </c>
      <c r="C64" s="1552" t="s">
        <v>2390</v>
      </c>
      <c r="D64" s="1557" t="s">
        <v>2389</v>
      </c>
      <c r="E64" s="1552" t="s">
        <v>2390</v>
      </c>
      <c r="F64" s="1557" t="s">
        <v>2389</v>
      </c>
      <c r="G64" s="1552" t="s">
        <v>2390</v>
      </c>
      <c r="H64" s="1557" t="s">
        <v>2389</v>
      </c>
      <c r="I64" s="1552" t="s">
        <v>2390</v>
      </c>
      <c r="J64" s="1557" t="s">
        <v>2389</v>
      </c>
      <c r="K64" s="1552" t="s">
        <v>2390</v>
      </c>
      <c r="L64" s="1557" t="s">
        <v>2389</v>
      </c>
      <c r="M64" s="1552" t="s">
        <v>2390</v>
      </c>
      <c r="N64" s="1554" t="s">
        <v>2389</v>
      </c>
      <c r="O64" s="1555" t="s">
        <v>2390</v>
      </c>
      <c r="P64" s="1556"/>
      <c r="Q64" s="396"/>
      <c r="R64" s="1550"/>
      <c r="S64" s="1557" t="s">
        <v>2389</v>
      </c>
      <c r="T64" s="1552" t="s">
        <v>2390</v>
      </c>
      <c r="U64" s="1609" t="s">
        <v>2389</v>
      </c>
      <c r="V64" s="1552" t="s">
        <v>2390</v>
      </c>
      <c r="W64" s="1557" t="s">
        <v>2389</v>
      </c>
      <c r="X64" s="1552" t="s">
        <v>2390</v>
      </c>
      <c r="Y64" s="1557" t="s">
        <v>2389</v>
      </c>
      <c r="Z64" s="1552" t="s">
        <v>2390</v>
      </c>
      <c r="AA64" s="1557" t="s">
        <v>2389</v>
      </c>
      <c r="AB64" s="1552" t="s">
        <v>2390</v>
      </c>
      <c r="AC64" s="1557" t="s">
        <v>2389</v>
      </c>
      <c r="AD64" s="1552" t="s">
        <v>2390</v>
      </c>
      <c r="AE64" s="1554" t="s">
        <v>2389</v>
      </c>
      <c r="AF64" s="1555" t="s">
        <v>2390</v>
      </c>
      <c r="AG64" s="1610"/>
      <c r="AH64" s="396"/>
      <c r="AI64" s="396"/>
      <c r="AJ64" s="396"/>
      <c r="AK64" s="396"/>
      <c r="AL64" s="396"/>
      <c r="AM64" s="396"/>
      <c r="AN64" s="396"/>
    </row>
    <row r="65">
      <c r="A65" s="1515" t="s">
        <v>2441</v>
      </c>
      <c r="B65" s="1558">
        <f>countifs(JoinG1,"&gt;="&amp;DATE(2024,6,3),JoinG1,"&lt;="&amp;DATE(2024,6,7))+countifs(QuitGrade,"1",QStart,"&gt;="&amp;DATE(2024,6,3),QStart,"&lt;="&amp;DATE(2024,6,7))</f>
        <v>0</v>
      </c>
      <c r="C65" s="1559">
        <f>countifs(QuitGrade,"1",QuitDate,"&gt;="&amp;DATE(2024,6,3),QuitDate,"&lt;="&amp;DATE(2024,6,7))</f>
        <v>0</v>
      </c>
      <c r="D65" s="1558">
        <f>countifs(JoinG2,"&gt;="&amp;DATE(2024,6,3),JoinG2,"&lt;="&amp;DATE(2024,6,7))+countifs(QuitGrade,"2",QStart,"&gt;="&amp;DATE(2024,6,3),QStart,"&lt;="&amp;DATE(2024,6,7))</f>
        <v>0</v>
      </c>
      <c r="E65" s="1559">
        <f>countifs(QuitGrade,"2",QuitDate,"&gt;="&amp;DATE(2024,6,3),QuitDate,"&lt;="&amp;DATE(2024,6,7))</f>
        <v>0</v>
      </c>
      <c r="F65" s="1558">
        <f>countifs(JoinG3,"&gt;="&amp;DATE(2024,6,3),JoinG3,"&lt;="&amp;DATE(2024,6,7))+countifs(QuitGrade,"3",QStart,"&gt;="&amp;DATE(2024,6,3),QStart,"&lt;="&amp;DATE(2024,6,7))</f>
        <v>0</v>
      </c>
      <c r="G65" s="1559">
        <f>countifs(QuitGrade,"3",QuitDate,"&gt;="&amp;DATE(2024,6,3),QuitDate,"&lt;="&amp;DATE(2024,6,7))</f>
        <v>0</v>
      </c>
      <c r="H65" s="1558">
        <f>countifs(JoinG4,"&gt;="&amp;DATE(2024,6,3),JoinG4,"&lt;="&amp;DATE(2024,6,7))+countifs(QuitGrade,"4",QStart,"&gt;="&amp;DATE(2024,6,3),QStart,"&lt;="&amp;DATE(2024,6,7))</f>
        <v>0</v>
      </c>
      <c r="I65" s="1559">
        <f>countifs(QuitGrade,"4",QuitDate,"&gt;="&amp;DATE(2024,6,3),QuitDate,"&lt;="&amp;DATE(2024,6,7))</f>
        <v>0</v>
      </c>
      <c r="J65" s="1558">
        <f>countifs(JoinG5,"&gt;="&amp;DATE(2024,6,3),JoinG5,"&lt;="&amp;DATE(2024,6,7))+countifs(QuitGrade,"5",QStart,"&gt;="&amp;DATE(2024,6,3),QStart,"&lt;="&amp;DATE(2024,6,7))</f>
        <v>0</v>
      </c>
      <c r="K65" s="1559">
        <f>countifs(QuitGrade,"5",QuitDate,"&gt;="&amp;DATE(2024,6,3),QuitDate,"&lt;="&amp;DATE(2024,6,7))</f>
        <v>0</v>
      </c>
      <c r="L65" s="1558">
        <f>countifs(JoinG7,"&gt;="&amp;DATE(2024,6,3),JoinG7,"&lt;="&amp;DATE(2024,6,7))+countifs(QuitGrade,"7",QStart,"&gt;="&amp;DATE(2024,6,3),QStart,"&lt;="&amp;DATE(2024,6,7))</f>
        <v>0</v>
      </c>
      <c r="M65" s="1559">
        <f>countifs(QuitGrade,"7",QuitDate,"&gt;="&amp;DATE(2024,6,3),QuitDate,"&lt;="&amp;DATE(2024,6,7))</f>
        <v>0</v>
      </c>
      <c r="N65" s="1560">
        <f t="shared" ref="N65:O65" si="72">sum(B65,D65,F65,H65,J65,L65)</f>
        <v>0</v>
      </c>
      <c r="O65" s="1561">
        <f t="shared" si="72"/>
        <v>0</v>
      </c>
      <c r="P65" s="1564">
        <f t="shared" ref="P65:P69" si="75">minus(N65,O65)</f>
        <v>0</v>
      </c>
      <c r="Q65" s="396"/>
      <c r="R65" s="1563" t="s">
        <v>2442</v>
      </c>
      <c r="S65" s="1558">
        <f>countifs(JoinG1,"&gt;="&amp;DATE(2024,12,2),JoinG1,"&lt;="&amp;DATE(2024,12,6))+countifs(QuitGrade,"1",QStart,"&gt;="&amp;DATE(2024,12,2),QStart,"&lt;="&amp;DATE(2024,12,6))</f>
        <v>0</v>
      </c>
      <c r="T65" s="1559">
        <f>countifs(QuitGrade,"1",QuitDate,"&gt;="&amp;DATE(2024,12,2),QuitDate,"&lt;="&amp;DATE(2024,12,6))</f>
        <v>0</v>
      </c>
      <c r="U65" s="1558">
        <f>countifs(JoinG2,"&gt;="&amp;DATE(2024,12,2),JoinG2,"&lt;="&amp;DATE(2024,12,6))+countifs(QuitGrade,"2",QStart,"&gt;="&amp;DATE(2024,12,2),QStart,"&lt;="&amp;DATE(2024,12,6))</f>
        <v>0</v>
      </c>
      <c r="V65" s="1559">
        <f>countifs(QuitGrade,"2",QuitDate,"&gt;="&amp;DATE(2024,12,2),QuitDate,"&lt;="&amp;DATE(2024,12,6))</f>
        <v>0</v>
      </c>
      <c r="W65" s="1558">
        <f>countifs(JoinG3,"&gt;="&amp;DATE(2024,12,2),JoinG3,"&lt;="&amp;DATE(2024,12,6))+countifs(QuitGrade,"3",QStart,"&gt;="&amp;DATE(2024,12,2),QStart,"&lt;="&amp;DATE(2024,12,6))</f>
        <v>0</v>
      </c>
      <c r="X65" s="1559">
        <f>countifs(QuitGrade,"3",QuitDate,"&gt;="&amp;DATE(2024,12,2),QuitDate,"&lt;="&amp;DATE(2024,12,6))</f>
        <v>0</v>
      </c>
      <c r="Y65" s="1558">
        <f>countifs(JoinG4,"&gt;="&amp;DATE(2024,12,2),JoinG4,"&lt;="&amp;DATE(2024,12,6))+countifs(QuitGrade,"4",QStart,"&gt;="&amp;DATE(2024,12,2),QStart,"&lt;="&amp;DATE(2024,12,6))</f>
        <v>0</v>
      </c>
      <c r="Z65" s="1559">
        <f>countifs(QuitGrade,"4",QuitDate,"&gt;="&amp;DATE(2024,12,2),QuitDate,"&lt;="&amp;DATE(2024,12,6))</f>
        <v>0</v>
      </c>
      <c r="AA65" s="1558">
        <f>countifs(JoinG5,"&gt;="&amp;DATE(2024,12,2),JoinG5,"&lt;="&amp;DATE(2024,12,6))+countifs(QuitGrade,"5",QStart,"&gt;="&amp;DATE(2024,12,2),QStart,"&lt;="&amp;DATE(2024,12,6))</f>
        <v>0</v>
      </c>
      <c r="AB65" s="1559">
        <f>countifs(QuitGrade,"5",QuitDate,"&gt;="&amp;DATE(2024,12,2),QuitDate,"&lt;="&amp;DATE(2024,12,6))</f>
        <v>0</v>
      </c>
      <c r="AC65" s="1558">
        <f>countifs(JoinG7,"&gt;="&amp;DATE(2024,12,2),JoinG7,"&lt;="&amp;DATE(2024,12,6))+countifs(QuitGrade,"7",QStart,"&gt;="&amp;DATE(2024,12,2),QStart,"&lt;="&amp;DATE(2024,12,6))</f>
        <v>0</v>
      </c>
      <c r="AD65" s="1559">
        <f>countifs(QuitGrade,"7",QuitDate,"&gt;="&amp;DATE(2024,12,2),QuitDate,"&lt;="&amp;DATE(2024,12,6))</f>
        <v>0</v>
      </c>
      <c r="AE65" s="1560">
        <f t="shared" ref="AE65:AF65" si="73">sum(S65,U65,W65,Y65,AA65,AC65)</f>
        <v>0</v>
      </c>
      <c r="AF65" s="1561">
        <f t="shared" si="73"/>
        <v>0</v>
      </c>
      <c r="AG65" s="1564">
        <f t="shared" ref="AG65:AG69" si="77">minus(AE65,AF65)</f>
        <v>0</v>
      </c>
      <c r="AH65" s="396"/>
      <c r="AI65" s="396"/>
      <c r="AJ65" s="396"/>
      <c r="AK65" s="396"/>
      <c r="AL65" s="396"/>
      <c r="AM65" s="396"/>
      <c r="AN65" s="396"/>
    </row>
    <row r="66">
      <c r="A66" s="1234" t="s">
        <v>2443</v>
      </c>
      <c r="B66" s="1558">
        <f>countifs(JoinG1,"&gt;="&amp;DATE(2024,6,10),JoinG1,"&lt;="&amp;DATE(2024,6,14))+countifs(QuitGrade,"1",QStart,"&gt;="&amp;DATE(2024,6,10),QStart,"&lt;="&amp;DATE(2024,6,14))</f>
        <v>3</v>
      </c>
      <c r="C66" s="1559">
        <f>countifs(QuitGrade,"1",QuitDate,"&gt;="&amp;DATE(2024,6,10),QuitDate,"&lt;="&amp;DATE(2024,6,14))</f>
        <v>0</v>
      </c>
      <c r="D66" s="1558">
        <f>countifs(JoinG2,"&gt;="&amp;DATE(2024,6,10),JoinG2,"&lt;="&amp;DATE(2024,6,14))+countifs(QuitGrade,"2",QStart,"&gt;="&amp;DATE(2024,6,10),QStart,"&lt;="&amp;DATE(2024,6,14))</f>
        <v>1</v>
      </c>
      <c r="E66" s="1559">
        <f>countifs(QuitGrade,"2",QuitDate,"&gt;="&amp;DATE(2024,6,10),QuitDate,"&lt;="&amp;DATE(2024,6,14))</f>
        <v>0</v>
      </c>
      <c r="F66" s="1558">
        <f>countifs(JoinG3,"&gt;="&amp;DATE(2024,6,10),JoinG3,"&lt;="&amp;DATE(2024,6,14))+countifs(QuitGrade,"3",QStart,"&gt;="&amp;DATE(2024,6,10),QStart,"&lt;="&amp;DATE(2024,6,14))</f>
        <v>1</v>
      </c>
      <c r="G66" s="1559">
        <f>countifs(QuitGrade,"3",QuitDate,"&gt;="&amp;DATE(2024,6,10),QuitDate,"&lt;="&amp;DATE(2024,6,14))</f>
        <v>0</v>
      </c>
      <c r="H66" s="1558">
        <f>countifs(JoinG4,"&gt;="&amp;DATE(2024,6,10),JoinG4,"&lt;="&amp;DATE(2024,6,14))+countifs(QuitGrade,"4",QStart,"&gt;="&amp;DATE(2024,6,10),QStart,"&lt;="&amp;DATE(2024,6,14))</f>
        <v>0</v>
      </c>
      <c r="I66" s="1559">
        <f>countifs(QuitGrade,"4",QuitDate,"&gt;="&amp;DATE(2024,6,10),QuitDate,"&lt;="&amp;DATE(2024,6,14))</f>
        <v>0</v>
      </c>
      <c r="J66" s="1558">
        <f>countifs(JoinG5,"&gt;="&amp;DATE(2024,6,10),JoinG5,"&lt;="&amp;DATE(2024,6,14))+countifs(QuitGrade,"5",QStart,"&gt;="&amp;DATE(2024,6,10),QStart,"&lt;="&amp;DATE(2024,6,14))</f>
        <v>0</v>
      </c>
      <c r="K66" s="1559">
        <f>countifs(QuitGrade,"5",QuitDate,"&gt;="&amp;DATE(2024,6,10),QuitDate,"&lt;="&amp;DATE(2024,6,14))</f>
        <v>0</v>
      </c>
      <c r="L66" s="1558">
        <f>countifs(JoinG7,"&gt;="&amp;DATE(2024,6,10),JoinG7,"&lt;="&amp;DATE(2024,6,14))+countifs(QuitGrade,"7",QStart,"&gt;="&amp;DATE(2024,6,10),QStart,"&lt;="&amp;DATE(2024,6,14))</f>
        <v>0</v>
      </c>
      <c r="M66" s="1559">
        <f>countifs(QuitGrade,"7",QuitDate,"&gt;="&amp;DATE(2024,6,10),QuitDate,"&lt;="&amp;DATE(2024,6,14))</f>
        <v>0</v>
      </c>
      <c r="N66" s="1560">
        <f t="shared" ref="N66:O66" si="74">sum(B66,D66,F66,H66,J66,L66)</f>
        <v>5</v>
      </c>
      <c r="O66" s="1567">
        <f t="shared" si="74"/>
        <v>0</v>
      </c>
      <c r="P66" s="1564">
        <f t="shared" si="75"/>
        <v>5</v>
      </c>
      <c r="Q66" s="396"/>
      <c r="R66" s="1568" t="s">
        <v>2444</v>
      </c>
      <c r="S66" s="1558">
        <f>countifs(JoinG1,"&gt;="&amp;DATE(2024,12,9),JoinG1,"&lt;="&amp;DATE(2024,12,13))+countifs(QuitGrade,"1",QStart,"&gt;="&amp;DATE(2024,12,9),QStart,"&lt;="&amp;DATE(2024,12,13))</f>
        <v>0</v>
      </c>
      <c r="T66" s="1559">
        <f>countifs(QuitGrade,"1",QuitDate,"&gt;="&amp;DATE(2024,12,9),QuitDate,"&lt;="&amp;DATE(2024,12,13))</f>
        <v>0</v>
      </c>
      <c r="U66" s="1558">
        <f>countifs(JoinG2,"&gt;="&amp;DATE(2024,12,9),JoinG2,"&lt;="&amp;DATE(2024,12,13))+countifs(QuitGrade,"2",QStart,"&gt;="&amp;DATE(2024,12,9),QStart,"&lt;="&amp;DATE(2024,12,13))</f>
        <v>0</v>
      </c>
      <c r="V66" s="1559">
        <f>countifs(QuitGrade,"2",QuitDate,"&gt;="&amp;DATE(2024,12,9),QuitDate,"&lt;="&amp;DATE(2024,12,13))</f>
        <v>0</v>
      </c>
      <c r="W66" s="1558">
        <f>countifs(JoinG3,"&gt;="&amp;DATE(2024,12,9),JoinG3,"&lt;="&amp;DATE(2024,12,13))+countifs(QuitGrade,"3",QStart,"&gt;="&amp;DATE(2024,12,9),QStart,"&lt;="&amp;DATE(2024,12,13))</f>
        <v>0</v>
      </c>
      <c r="X66" s="1559">
        <f>countifs(QuitGrade,"3",QuitDate,"&gt;="&amp;DATE(2024,12,9),QuitDate,"&lt;="&amp;DATE(2024,12,13))</f>
        <v>0</v>
      </c>
      <c r="Y66" s="1558">
        <f>countifs(JoinG4,"&gt;="&amp;DATE(2024,12,9),JoinG4,"&lt;="&amp;DATE(2024,12,13))+countifs(QuitGrade,"4",QStart,"&gt;="&amp;DATE(2024,12,9),QStart,"&lt;="&amp;DATE(2024,12,13))</f>
        <v>0</v>
      </c>
      <c r="Z66" s="1559">
        <f>countifs(QuitGrade,"4",QuitDate,"&gt;="&amp;DATE(2024,12,9),QuitDate,"&lt;="&amp;DATE(2024,12,13))</f>
        <v>0</v>
      </c>
      <c r="AA66" s="1558">
        <f>countifs(JoinG5,"&gt;="&amp;DATE(2024,12,9),JoinG5,"&lt;="&amp;DATE(2024,12,13))+countifs(QuitGrade,"5",QStart,"&gt;="&amp;DATE(2024,12,9),QStart,"&lt;="&amp;DATE(2024,12,13))</f>
        <v>0</v>
      </c>
      <c r="AB66" s="1559">
        <f>countifs(QuitGrade,"5",QuitDate,"&gt;="&amp;DATE(2024,12,9),QuitDate,"&lt;="&amp;DATE(2024,12,13))</f>
        <v>0</v>
      </c>
      <c r="AC66" s="1558">
        <f>countifs(JoinG7,"&gt;="&amp;DATE(2024,12,9),JoinG7,"&lt;="&amp;DATE(2024,12,13))+countifs(QuitGrade,"7",QStart,"&gt;="&amp;DATE(2024,12,9),QStart,"&lt;="&amp;DATE(2024,12,13))</f>
        <v>0</v>
      </c>
      <c r="AD66" s="1559">
        <f>countifs(QuitGrade,"7",QuitDate,"&gt;="&amp;DATE(2024,12,9),QuitDate,"&lt;="&amp;DATE(2024,12,13))</f>
        <v>0</v>
      </c>
      <c r="AE66" s="1560">
        <f t="shared" ref="AE66:AF66" si="76">sum(S66,U66,W66,Y66,AA66,AC66)</f>
        <v>0</v>
      </c>
      <c r="AF66" s="1567">
        <f t="shared" si="76"/>
        <v>0</v>
      </c>
      <c r="AG66" s="1564">
        <f t="shared" si="77"/>
        <v>0</v>
      </c>
      <c r="AH66" s="396"/>
      <c r="AI66" s="396"/>
      <c r="AJ66" s="396"/>
      <c r="AK66" s="396"/>
      <c r="AL66" s="396"/>
      <c r="AM66" s="396"/>
      <c r="AN66" s="396"/>
    </row>
    <row r="67">
      <c r="A67" s="1234" t="s">
        <v>2445</v>
      </c>
      <c r="B67" s="1558">
        <f>countifs(JoinG1,"&gt;="&amp;DATE(2024,6,17),JoinG1,"&lt;="&amp;DATE(2024,6,21))+countifs(QuitGrade,"1",QStart,"&gt;="&amp;DATE(2024,6,17),QStart,"&lt;="&amp;DATE(2024,6,21))</f>
        <v>0</v>
      </c>
      <c r="C67" s="1559">
        <f>countifs(QuitGrade,"1",QuitDate,"&gt;="&amp;DATE(2024,6,17),QuitDate,"&lt;="&amp;DATE(2024,6,21))</f>
        <v>0</v>
      </c>
      <c r="D67" s="1558">
        <f>countifs(JoinG2,"&gt;="&amp;DATE(2024,6,17),JoinG2,"&lt;="&amp;DATE(2024,6,21))+countifs(QuitGrade,"2",QStart,"&gt;="&amp;DATE(2024,6,17),QStart,"&lt;="&amp;DATE(2024,6,21))</f>
        <v>0</v>
      </c>
      <c r="E67" s="1559">
        <f>countifs(QuitGrade,"2",QuitDate,"&gt;="&amp;DATE(2024,6,17),QuitDate,"&lt;="&amp;DATE(2024,6,21))</f>
        <v>0</v>
      </c>
      <c r="F67" s="1558">
        <f>countifs(JoinG3,"&gt;="&amp;DATE(2024,6,17),JoinG3,"&lt;="&amp;DATE(2024,6,21))+countifs(QuitGrade,"3",QStart,"&gt;="&amp;DATE(2024,6,17),QStart,"&lt;="&amp;DATE(2024,6,21))</f>
        <v>0</v>
      </c>
      <c r="G67" s="1559">
        <f>countifs(QuitGrade,"3",QuitDate,"&gt;="&amp;DATE(2024,6,17),QuitDate,"&lt;="&amp;DATE(2024,6,21))</f>
        <v>0</v>
      </c>
      <c r="H67" s="1558">
        <f>countifs(JoinG4,"&gt;="&amp;DATE(2024,6,17),JoinG4,"&lt;="&amp;DATE(2024,6,21))+countifs(QuitGrade,"4",QStart,"&gt;="&amp;DATE(2024,6,17),QStart,"&lt;="&amp;DATE(2024,6,21))</f>
        <v>0</v>
      </c>
      <c r="I67" s="1559">
        <f>countifs(QuitGrade,"4",QuitDate,"&gt;="&amp;DATE(2024,6,17),QuitDate,"&lt;="&amp;DATE(2024,6,21))</f>
        <v>0</v>
      </c>
      <c r="J67" s="1558">
        <f>countifs(JoinG5,"&gt;="&amp;DATE(2024,6,17),JoinG5,"&lt;="&amp;DATE(2024,6,21))+countifs(QuitGrade,"5",QStart,"&gt;="&amp;DATE(2024,6,17),QStart,"&lt;="&amp;DATE(2024,6,21))</f>
        <v>0</v>
      </c>
      <c r="K67" s="1559">
        <f>countifs(QuitGrade,"5",QuitDate,"&gt;="&amp;DATE(2024,6,17),QuitDate,"&lt;="&amp;DATE(2024,6,21))</f>
        <v>0</v>
      </c>
      <c r="L67" s="1558">
        <f>countifs(JoinG7,"&gt;="&amp;DATE(2024,6,17),JoinG7,"&lt;="&amp;DATE(2024,6,21))+countifs(QuitGrade,"7",QStart,"&gt;="&amp;DATE(2024,6,17),QStart,"&lt;="&amp;DATE(2024,6,21))</f>
        <v>0</v>
      </c>
      <c r="M67" s="1559">
        <f>countifs(QuitGrade,"7",QuitDate,"&gt;="&amp;DATE(2024,6,17),QuitDate,"&lt;="&amp;DATE(2024,6,21))</f>
        <v>0</v>
      </c>
      <c r="N67" s="1560">
        <f t="shared" ref="N67:O67" si="78">sum(B67,D67,F67,H67,J67,L67)</f>
        <v>0</v>
      </c>
      <c r="O67" s="1567">
        <f t="shared" si="78"/>
        <v>0</v>
      </c>
      <c r="P67" s="1564">
        <f t="shared" si="75"/>
        <v>0</v>
      </c>
      <c r="Q67" s="396"/>
      <c r="R67" s="1568" t="s">
        <v>2446</v>
      </c>
      <c r="S67" s="1558">
        <f>countifs(JoinG1,"&gt;="&amp;DATE(2024,12,16),JoinG1,"&lt;="&amp;DATE(2024,12,20))+countifs(QuitGrade,"1",QStart,"&gt;="&amp;DATE(2024,12,16),QStart,"&lt;="&amp;DATE(2024,12,20))</f>
        <v>0</v>
      </c>
      <c r="T67" s="1559">
        <f>countifs(QuitGrade,"1",QuitDate,"&gt;="&amp;DATE(2024,12,16),QuitDate,"&lt;="&amp;DATE(2024,12,20))</f>
        <v>0</v>
      </c>
      <c r="U67" s="1558">
        <f>countifs(JoinG2,"&gt;="&amp;DATE(2024,12,16),JoinG2,"&lt;="&amp;DATE(2024,12,20))+countifs(QuitGrade,"2",QStart,"&gt;="&amp;DATE(2024,12,16),QStart,"&lt;="&amp;DATE(2024,12,20))</f>
        <v>0</v>
      </c>
      <c r="V67" s="1559">
        <f>countifs(QuitGrade,"2",QuitDate,"&gt;="&amp;DATE(2024,12,16),QuitDate,"&lt;="&amp;DATE(2024,12,20))</f>
        <v>0</v>
      </c>
      <c r="W67" s="1558">
        <f>countifs(JoinG3,"&gt;="&amp;DATE(2024,12,16),JoinG3,"&lt;="&amp;DATE(2024,12,20))+countifs(QuitGrade,"3",QStart,"&gt;="&amp;DATE(2024,12,16),QStart,"&lt;="&amp;DATE(2024,12,20))</f>
        <v>0</v>
      </c>
      <c r="X67" s="1559">
        <f>countifs(QuitGrade,"3",QuitDate,"&gt;="&amp;DATE(2024,12,16),QuitDate,"&lt;="&amp;DATE(2024,12,20))</f>
        <v>0</v>
      </c>
      <c r="Y67" s="1558">
        <f>countifs(JoinG4,"&gt;="&amp;DATE(2024,12,16),JoinG4,"&lt;="&amp;DATE(2024,12,20))+countifs(QuitGrade,"4",QStart,"&gt;="&amp;DATE(2024,12,16),QStart,"&lt;="&amp;DATE(2024,12,20))</f>
        <v>0</v>
      </c>
      <c r="Z67" s="1559">
        <f>countifs(QuitGrade,"4",QuitDate,"&gt;="&amp;DATE(2024,12,16),QuitDate,"&lt;="&amp;DATE(2024,12,20))</f>
        <v>0</v>
      </c>
      <c r="AA67" s="1558">
        <f>countifs(JoinG5,"&gt;="&amp;DATE(2024,12,16),JoinG5,"&lt;="&amp;DATE(2024,12,20))+countifs(QuitGrade,"5",QStart,"&gt;="&amp;DATE(2024,12,16),QStart,"&lt;="&amp;DATE(2024,12,20))</f>
        <v>0</v>
      </c>
      <c r="AB67" s="1559">
        <f>countifs(QuitGrade,"5",QuitDate,"&gt;="&amp;DATE(2024,12,16),QuitDate,"&lt;="&amp;DATE(2024,12,20))</f>
        <v>0</v>
      </c>
      <c r="AC67" s="1558">
        <f>countifs(JoinG7,"&gt;="&amp;DATE(2024,12,16),JoinG7,"&lt;="&amp;DATE(2024,12,20))+countifs(QuitGrade,"7",QStart,"&gt;="&amp;DATE(2024,12,16),QStart,"&lt;="&amp;DATE(2024,12,20))</f>
        <v>0</v>
      </c>
      <c r="AD67" s="1559">
        <f>countifs(QuitGrade,"7",QuitDate,"&gt;="&amp;DATE(2024,12,16),QuitDate,"&lt;="&amp;DATE(2024,12,20))</f>
        <v>0</v>
      </c>
      <c r="AE67" s="1560">
        <f t="shared" ref="AE67:AF67" si="79">sum(S67,U67,W67,Y67,AA67,AC67)</f>
        <v>0</v>
      </c>
      <c r="AF67" s="1567">
        <f t="shared" si="79"/>
        <v>0</v>
      </c>
      <c r="AG67" s="1564">
        <f t="shared" si="77"/>
        <v>0</v>
      </c>
      <c r="AH67" s="396"/>
      <c r="AI67" s="396"/>
      <c r="AJ67" s="396"/>
      <c r="AK67" s="396"/>
      <c r="AL67" s="396"/>
      <c r="AM67" s="396"/>
      <c r="AN67" s="396"/>
    </row>
    <row r="68">
      <c r="A68" s="1234" t="s">
        <v>2447</v>
      </c>
      <c r="B68" s="1558">
        <f>countifs(JoinG1,"&gt;="&amp;DATE(2024,6,24),JoinG1,"&lt;="&amp;DATE(2024,6,28))+countifs(QuitGrade,"1",QStart,"&gt;="&amp;DATE(2024,6,24),QStart,"&lt;="&amp;DATE(2024,6,28))</f>
        <v>0</v>
      </c>
      <c r="C68" s="1559">
        <f>countifs(QuitGrade,"1",QuitDate,"&gt;="&amp;DATE(2024,6,24),QuitDate,"&lt;="&amp;DATE(2024,6,28))</f>
        <v>0</v>
      </c>
      <c r="D68" s="1558">
        <f>countifs(JoinG2,"&gt;="&amp;DATE(2024,6,24),JoinG2,"&lt;="&amp;DATE(2024,6,28))+countifs(QuitGrade,"2",QStart,"&gt;="&amp;DATE(2024,6,24),QStart,"&lt;="&amp;DATE(2024,6,28))</f>
        <v>4</v>
      </c>
      <c r="E68" s="1559">
        <f>countifs(QuitGrade,"2",QuitDate,"&gt;="&amp;DATE(2024,6,24),QuitDate,"&lt;="&amp;DATE(2024,6,28))</f>
        <v>0</v>
      </c>
      <c r="F68" s="1558">
        <f>countifs(JoinG3,"&gt;="&amp;DATE(2024,6,24),JoinG3,"&lt;="&amp;DATE(2024,6,28))+countifs(QuitGrade,"3",QStart,"&gt;="&amp;DATE(2024,6,24),QStart,"&lt;="&amp;DATE(2024,6,28))</f>
        <v>1</v>
      </c>
      <c r="G68" s="1559">
        <f>countifs(QuitGrade,"3",QuitDate,"&gt;="&amp;DATE(2024,6,24),QuitDate,"&lt;="&amp;DATE(2024,6,28))</f>
        <v>0</v>
      </c>
      <c r="H68" s="1558">
        <f>countifs(JoinG4,"&gt;="&amp;DATE(2024,6,24),JoinG4,"&lt;="&amp;DATE(2024,6,28))+countifs(QuitGrade,"4",QStart,"&gt;="&amp;DATE(2024,6,24),QStart,"&lt;="&amp;DATE(2024,6,28))</f>
        <v>0</v>
      </c>
      <c r="I68" s="1559">
        <f>countifs(QuitGrade,"4",QuitDate,"&gt;="&amp;DATE(2024,6,24),QuitDate,"&lt;="&amp;DATE(2024,6,28))</f>
        <v>0</v>
      </c>
      <c r="J68" s="1558">
        <f>countifs(JoinG5,"&gt;="&amp;DATE(2024,6,24),JoinG5,"&lt;="&amp;DATE(2024,6,28))+countifs(QuitGrade,"5",QStart,"&gt;="&amp;DATE(2024,6,24),QStart,"&lt;="&amp;DATE(2024,6,28))</f>
        <v>0</v>
      </c>
      <c r="K68" s="1559">
        <f>countifs(QuitGrade,"5",QuitDate,"&gt;="&amp;DATE(2024,6,24),QuitDate,"&lt;="&amp;DATE(2024,6,28))</f>
        <v>0</v>
      </c>
      <c r="L68" s="1558">
        <f>countifs(JoinG7,"&gt;="&amp;DATE(2024,6,24),JoinG7,"&lt;="&amp;DATE(2024,6,28))+countifs(QuitGrade,"7",QStart,"&gt;="&amp;DATE(2024,6,24),QStart,"&lt;="&amp;DATE(2024,6,28))</f>
        <v>0</v>
      </c>
      <c r="M68" s="1559">
        <f>countifs(QuitGrade,"7",QuitDate,"&gt;="&amp;DATE(2024,6,24),QuitDate,"&lt;="&amp;DATE(2024,6,28))</f>
        <v>0</v>
      </c>
      <c r="N68" s="1560">
        <f t="shared" ref="N68:O68" si="80">sum(B68,D68,F68,H68,J68,L68)</f>
        <v>5</v>
      </c>
      <c r="O68" s="1567">
        <f t="shared" si="80"/>
        <v>0</v>
      </c>
      <c r="P68" s="1564">
        <f t="shared" si="75"/>
        <v>5</v>
      </c>
      <c r="Q68" s="396"/>
      <c r="R68" s="1568" t="s">
        <v>2448</v>
      </c>
      <c r="S68" s="1558">
        <f>countifs(JoinG1,"&gt;="&amp;DATE(2024,12,23),JoinG1,"&lt;="&amp;DATE(2024,12,27))+countifs(QuitGrade,"1",QStart,"&gt;="&amp;DATE(2024,12,23),QStart,"&lt;="&amp;DATE(2024,12,27))</f>
        <v>0</v>
      </c>
      <c r="T68" s="1559">
        <f>countifs(QuitGrade,"1",QuitDate,"&gt;="&amp;DATE(2024,12,23),QuitDate,"&lt;="&amp;DATE(2024,12,27))</f>
        <v>0</v>
      </c>
      <c r="U68" s="1558">
        <f>countifs(JoinG2,"&gt;="&amp;DATE(2024,12,23),JoinG2,"&lt;="&amp;DATE(2024,12,27))+countifs(QuitGrade,"2",QStart,"&gt;="&amp;DATE(2024,12,23),QStart,"&lt;="&amp;DATE(2024,12,27))</f>
        <v>0</v>
      </c>
      <c r="V68" s="1559">
        <f>countifs(QuitGrade,"2",QuitDate,"&gt;="&amp;DATE(2024,12,23),QuitDate,"&lt;="&amp;DATE(2024,12,27))</f>
        <v>0</v>
      </c>
      <c r="W68" s="1558">
        <f>countifs(JoinG3,"&gt;="&amp;DATE(2024,12,23),JoinG3,"&lt;="&amp;DATE(2024,12,27))+countifs(QuitGrade,"3",QStart,"&gt;="&amp;DATE(2024,12,23),QStart,"&lt;="&amp;DATE(2024,12,27))</f>
        <v>0</v>
      </c>
      <c r="X68" s="1559">
        <f>countifs(QuitGrade,"3",QuitDate,"&gt;="&amp;DATE(2024,12,23),QuitDate,"&lt;="&amp;DATE(2024,12,27))</f>
        <v>0</v>
      </c>
      <c r="Y68" s="1558">
        <f>countifs(JoinG4,"&gt;="&amp;DATE(2024,12,23),JoinG4,"&lt;="&amp;DATE(2024,12,27))+countifs(QuitGrade,"4",QStart,"&gt;="&amp;DATE(2024,12,23),QStart,"&lt;="&amp;DATE(2024,12,27))</f>
        <v>0</v>
      </c>
      <c r="Z68" s="1559">
        <f>countifs(QuitGrade,"4",QuitDate,"&gt;="&amp;DATE(2024,12,23),QuitDate,"&lt;="&amp;DATE(2024,12,27))</f>
        <v>0</v>
      </c>
      <c r="AA68" s="1558">
        <f>countifs(JoinG5,"&gt;="&amp;DATE(2024,12,23),JoinG5,"&lt;="&amp;DATE(2024,12,27))+countifs(QuitGrade,"5",QStart,"&gt;="&amp;DATE(2024,12,23),QStart,"&lt;="&amp;DATE(2024,12,27))</f>
        <v>0</v>
      </c>
      <c r="AB68" s="1559">
        <f>countifs(QuitGrade,"5",QuitDate,"&gt;="&amp;DATE(2024,12,23),QuitDate,"&lt;="&amp;DATE(2024,12,27))</f>
        <v>0</v>
      </c>
      <c r="AC68" s="1558">
        <f>countifs(JoinG7,"&gt;="&amp;DATE(2024,12,23),JoinG7,"&lt;="&amp;DATE(2024,12,27))+countifs(QuitGrade,"7",QStart,"&gt;="&amp;DATE(2024,12,23),QStart,"&lt;="&amp;DATE(2024,12,27))</f>
        <v>0</v>
      </c>
      <c r="AD68" s="1559">
        <f>countifs(QuitGrade,"7",QuitDate,"&gt;="&amp;DATE(2024,12,23),QuitDate,"&lt;="&amp;DATE(2024,12,27))</f>
        <v>0</v>
      </c>
      <c r="AE68" s="1560">
        <f t="shared" ref="AE68:AF68" si="81">sum(S68,U68,W68,Y68,AA68,AC68)</f>
        <v>0</v>
      </c>
      <c r="AF68" s="1567">
        <f t="shared" si="81"/>
        <v>0</v>
      </c>
      <c r="AG68" s="1564">
        <f t="shared" si="77"/>
        <v>0</v>
      </c>
      <c r="AH68" s="396"/>
      <c r="AI68" s="396"/>
      <c r="AJ68" s="396"/>
      <c r="AK68" s="396"/>
      <c r="AL68" s="396"/>
      <c r="AM68" s="396"/>
      <c r="AN68" s="396"/>
    </row>
    <row r="69">
      <c r="A69" s="1611"/>
      <c r="B69" s="1558"/>
      <c r="C69" s="1571"/>
      <c r="D69" s="1558"/>
      <c r="E69" s="1571"/>
      <c r="F69" s="1558"/>
      <c r="G69" s="1571"/>
      <c r="H69" s="1558"/>
      <c r="I69" s="1571"/>
      <c r="J69" s="1558"/>
      <c r="K69" s="1571"/>
      <c r="L69" s="1558"/>
      <c r="M69" s="1571"/>
      <c r="N69" s="1560">
        <f t="shared" ref="N69:O69" si="82">sum(B69,D69,F69,H69,J69,L69)</f>
        <v>0</v>
      </c>
      <c r="O69" s="1599">
        <f t="shared" si="82"/>
        <v>0</v>
      </c>
      <c r="P69" s="1600">
        <f t="shared" si="75"/>
        <v>0</v>
      </c>
      <c r="Q69" s="396"/>
      <c r="R69" s="1572" t="s">
        <v>2449</v>
      </c>
      <c r="S69" s="1558">
        <f>countifs(JoinG1,"&gt;="&amp;DATE(2024,12,30),JoinG1,"&lt;="&amp;DATE(2024,12,31))+countifs(QuitGrade,"1",QStart,"&gt;="&amp;DATE(2024,12,30),QStart,"&lt;="&amp;DATE(2024,12,31))</f>
        <v>0</v>
      </c>
      <c r="T69" s="1559">
        <f>countifs(QuitGrade,"1",QuitDate,"&gt;="&amp;DATE(2024,12,30),QuitDate,"&lt;="&amp;DATE(2024,12,31))</f>
        <v>0</v>
      </c>
      <c r="U69" s="1558">
        <f>countifs(JoinG2,"&gt;="&amp;DATE(2024,12,30),JoinG2,"&lt;="&amp;DATE(2024,12,31))+countifs(QuitGrade,"2",QStart,"&gt;="&amp;DATE(2024,12,30),QStart,"&lt;="&amp;DATE(2024,12,31))</f>
        <v>0</v>
      </c>
      <c r="V69" s="1559">
        <f>countifs(QuitGrade,"2",QuitDate,"&gt;="&amp;DATE(2024,12,30),QuitDate,"&lt;="&amp;DATE(2024,12,31))</f>
        <v>0</v>
      </c>
      <c r="W69" s="1558">
        <f>countifs(JoinG3,"&gt;="&amp;DATE(2024,12,30),JoinG3,"&lt;="&amp;DATE(2024,12,31))+countifs(QuitGrade,"3",QStart,"&gt;="&amp;DATE(2024,12,30),QStart,"&lt;="&amp;DATE(2024,12,31))</f>
        <v>0</v>
      </c>
      <c r="X69" s="1559">
        <f>countifs(QuitGrade,"3",QuitDate,"&gt;="&amp;DATE(2024,12,30),QuitDate,"&lt;="&amp;DATE(2024,12,31))</f>
        <v>0</v>
      </c>
      <c r="Y69" s="1558">
        <f>countifs(JoinG4,"&gt;="&amp;DATE(2024,12,30),JoinG4,"&lt;="&amp;DATE(2024,12,31))+countifs(QuitGrade,"4",QStart,"&gt;="&amp;DATE(2024,12,30),QStart,"&lt;="&amp;DATE(2024,12,31))</f>
        <v>0</v>
      </c>
      <c r="Z69" s="1559">
        <f>countifs(QuitGrade,"4",QuitDate,"&gt;="&amp;DATE(2024,12,30),QuitDate,"&lt;="&amp;DATE(2024,12,31))</f>
        <v>0</v>
      </c>
      <c r="AA69" s="1558">
        <f>countifs(JoinG5,"&gt;="&amp;DATE(2024,12,30),JoinG5,"&lt;="&amp;DATE(2024,12,31))+countifs(QuitGrade,"5",QStart,"&gt;="&amp;DATE(2024,12,30),QStart,"&lt;="&amp;DATE(2024,12,31))</f>
        <v>0</v>
      </c>
      <c r="AB69" s="1559">
        <f>countifs(QuitGrade,"5",QuitDate,"&gt;="&amp;DATE(2024,12,30),QuitDate,"&lt;="&amp;DATE(2024,12,31))</f>
        <v>0</v>
      </c>
      <c r="AC69" s="1558">
        <f>countifs(JoinG7,"&gt;="&amp;DATE(2024,12,30),JoinG7,"&lt;="&amp;DATE(2024,12,31))+countifs(QuitGrade,"7",QStart,"&gt;="&amp;DATE(2024,12,30),QStart,"&lt;="&amp;DATE(2024,12,31))</f>
        <v>0</v>
      </c>
      <c r="AD69" s="1559">
        <f>countifs(QuitGrade,"7",QuitDate,"&gt;="&amp;DATE(2024,12,30),QuitDate,"&lt;="&amp;DATE(2024,12,31))</f>
        <v>0</v>
      </c>
      <c r="AE69" s="1560">
        <f t="shared" ref="AE69:AF69" si="83">sum(S69,U69,W69,Y69,AA69,AC69)</f>
        <v>0</v>
      </c>
      <c r="AF69" s="1599">
        <f t="shared" si="83"/>
        <v>0</v>
      </c>
      <c r="AG69" s="1600">
        <f t="shared" si="77"/>
        <v>0</v>
      </c>
      <c r="AH69" s="396"/>
      <c r="AI69" s="396"/>
      <c r="AJ69" s="396"/>
      <c r="AK69" s="396"/>
      <c r="AL69" s="396"/>
      <c r="AM69" s="396"/>
      <c r="AN69" s="396"/>
    </row>
    <row r="70">
      <c r="A70" s="1573" t="s">
        <v>182</v>
      </c>
      <c r="B70" s="1582">
        <f t="shared" ref="B70:P70" si="84">sum(B65:B69)</f>
        <v>3</v>
      </c>
      <c r="C70" s="1583">
        <f t="shared" si="84"/>
        <v>0</v>
      </c>
      <c r="D70" s="1584">
        <f t="shared" si="84"/>
        <v>5</v>
      </c>
      <c r="E70" s="1603">
        <f t="shared" si="84"/>
        <v>0</v>
      </c>
      <c r="F70" s="1582">
        <f t="shared" si="84"/>
        <v>2</v>
      </c>
      <c r="G70" s="1583">
        <f t="shared" si="84"/>
        <v>0</v>
      </c>
      <c r="H70" s="1584">
        <f t="shared" si="84"/>
        <v>0</v>
      </c>
      <c r="I70" s="1603">
        <f t="shared" si="84"/>
        <v>0</v>
      </c>
      <c r="J70" s="1582">
        <f t="shared" si="84"/>
        <v>0</v>
      </c>
      <c r="K70" s="1583">
        <f t="shared" si="84"/>
        <v>0</v>
      </c>
      <c r="L70" s="1584">
        <f t="shared" si="84"/>
        <v>0</v>
      </c>
      <c r="M70" s="1604">
        <f t="shared" si="84"/>
        <v>0</v>
      </c>
      <c r="N70" s="1585">
        <f t="shared" si="84"/>
        <v>10</v>
      </c>
      <c r="O70" s="1586">
        <f t="shared" si="84"/>
        <v>0</v>
      </c>
      <c r="P70" s="1587">
        <f t="shared" si="84"/>
        <v>10</v>
      </c>
      <c r="Q70" s="396"/>
      <c r="R70" s="1573" t="s">
        <v>182</v>
      </c>
      <c r="S70" s="1582">
        <f t="shared" ref="S70:AG70" si="85">sum(S65:S69)</f>
        <v>0</v>
      </c>
      <c r="T70" s="1583">
        <f t="shared" si="85"/>
        <v>0</v>
      </c>
      <c r="U70" s="1584">
        <f t="shared" si="85"/>
        <v>0</v>
      </c>
      <c r="V70" s="1603">
        <f t="shared" si="85"/>
        <v>0</v>
      </c>
      <c r="W70" s="1582">
        <f t="shared" si="85"/>
        <v>0</v>
      </c>
      <c r="X70" s="1583">
        <f t="shared" si="85"/>
        <v>0</v>
      </c>
      <c r="Y70" s="1584">
        <f t="shared" si="85"/>
        <v>0</v>
      </c>
      <c r="Z70" s="1603">
        <f t="shared" si="85"/>
        <v>0</v>
      </c>
      <c r="AA70" s="1582">
        <f t="shared" si="85"/>
        <v>0</v>
      </c>
      <c r="AB70" s="1583">
        <f t="shared" si="85"/>
        <v>0</v>
      </c>
      <c r="AC70" s="1584">
        <f t="shared" si="85"/>
        <v>0</v>
      </c>
      <c r="AD70" s="1604">
        <f t="shared" si="85"/>
        <v>0</v>
      </c>
      <c r="AE70" s="1585">
        <f t="shared" si="85"/>
        <v>0</v>
      </c>
      <c r="AF70" s="1586">
        <f t="shared" si="85"/>
        <v>0</v>
      </c>
      <c r="AG70" s="1587">
        <f t="shared" si="85"/>
        <v>0</v>
      </c>
      <c r="AH70" s="396"/>
      <c r="AI70" s="396"/>
      <c r="AJ70" s="396"/>
      <c r="AK70" s="396"/>
      <c r="AL70" s="396"/>
      <c r="AM70" s="396"/>
      <c r="AN70" s="396"/>
    </row>
    <row r="71">
      <c r="A71" s="559"/>
      <c r="B71" s="559"/>
      <c r="C71" s="559"/>
      <c r="D71" s="559"/>
      <c r="E71" s="559"/>
      <c r="F71" s="559"/>
      <c r="G71" s="559"/>
      <c r="H71" s="559"/>
      <c r="I71" s="559"/>
      <c r="J71" s="559"/>
      <c r="K71" s="559"/>
      <c r="L71" s="559"/>
      <c r="M71" s="559"/>
      <c r="N71" s="559"/>
      <c r="O71" s="559"/>
      <c r="P71" s="559"/>
      <c r="Q71" s="396"/>
      <c r="R71" s="396"/>
      <c r="S71" s="396"/>
      <c r="T71" s="396"/>
      <c r="U71" s="396"/>
      <c r="V71" s="396"/>
      <c r="W71" s="396"/>
      <c r="X71" s="396"/>
      <c r="Y71" s="396"/>
      <c r="Z71" s="396"/>
      <c r="AA71" s="396"/>
      <c r="AB71" s="396"/>
      <c r="AC71" s="396"/>
      <c r="AD71" s="396"/>
      <c r="AE71" s="396"/>
      <c r="AF71" s="396"/>
      <c r="AG71" s="396"/>
      <c r="AH71" s="396"/>
      <c r="AI71" s="396"/>
      <c r="AJ71" s="396"/>
      <c r="AK71" s="396"/>
      <c r="AL71" s="396"/>
      <c r="AM71" s="396"/>
      <c r="AN71" s="396"/>
    </row>
    <row r="72">
      <c r="A72" s="559"/>
      <c r="B72" s="559"/>
      <c r="C72" s="559"/>
      <c r="D72" s="559"/>
      <c r="E72" s="559"/>
      <c r="F72" s="559"/>
      <c r="G72" s="559"/>
      <c r="H72" s="559"/>
      <c r="I72" s="559"/>
      <c r="J72" s="559"/>
      <c r="K72" s="559"/>
      <c r="L72" s="559"/>
      <c r="M72" s="559"/>
      <c r="N72" s="559"/>
      <c r="O72" s="559"/>
      <c r="P72" s="559"/>
      <c r="Q72" s="396"/>
      <c r="R72" s="396"/>
      <c r="S72" s="396"/>
      <c r="T72" s="396"/>
      <c r="U72" s="396"/>
      <c r="V72" s="396"/>
      <c r="W72" s="396"/>
      <c r="X72" s="396"/>
      <c r="Y72" s="396"/>
      <c r="Z72" s="396"/>
      <c r="AA72" s="396"/>
      <c r="AB72" s="396"/>
      <c r="AC72" s="396"/>
      <c r="AD72" s="396"/>
      <c r="AE72" s="396"/>
      <c r="AF72" s="396"/>
      <c r="AG72" s="396"/>
      <c r="AH72" s="396"/>
      <c r="AI72" s="396"/>
      <c r="AJ72" s="396"/>
      <c r="AK72" s="396"/>
      <c r="AL72" s="396"/>
      <c r="AM72" s="396"/>
      <c r="AN72" s="396"/>
    </row>
    <row r="73">
      <c r="A73" s="559"/>
      <c r="B73" s="559"/>
      <c r="C73" s="559"/>
      <c r="D73" s="559"/>
      <c r="E73" s="559"/>
      <c r="F73" s="559"/>
      <c r="G73" s="559"/>
      <c r="H73" s="559"/>
      <c r="I73" s="559"/>
      <c r="J73" s="559"/>
      <c r="K73" s="559"/>
      <c r="L73" s="559"/>
      <c r="M73" s="559"/>
      <c r="N73" s="559"/>
      <c r="O73" s="559"/>
      <c r="P73" s="559"/>
      <c r="Q73" s="396"/>
      <c r="R73" s="396"/>
      <c r="S73" s="396"/>
      <c r="T73" s="396"/>
      <c r="U73" s="396"/>
      <c r="V73" s="396"/>
      <c r="W73" s="396"/>
      <c r="X73" s="396"/>
      <c r="Y73" s="396"/>
      <c r="Z73" s="396"/>
      <c r="AA73" s="396"/>
      <c r="AB73" s="396"/>
      <c r="AC73" s="396"/>
      <c r="AD73" s="396"/>
      <c r="AE73" s="396"/>
      <c r="AF73" s="396"/>
      <c r="AG73" s="396"/>
      <c r="AH73" s="396"/>
      <c r="AI73" s="396"/>
      <c r="AJ73" s="396"/>
      <c r="AK73" s="396"/>
      <c r="AL73" s="396"/>
      <c r="AM73" s="396"/>
      <c r="AN73" s="396"/>
    </row>
    <row r="74">
      <c r="A74" s="559"/>
      <c r="B74" s="559"/>
      <c r="C74" s="559"/>
      <c r="D74" s="559"/>
      <c r="E74" s="559"/>
      <c r="F74" s="559"/>
      <c r="G74" s="559"/>
      <c r="H74" s="559"/>
      <c r="I74" s="559"/>
      <c r="J74" s="559"/>
      <c r="K74" s="559"/>
      <c r="L74" s="559"/>
      <c r="M74" s="559"/>
      <c r="N74" s="559"/>
      <c r="O74" s="559"/>
      <c r="P74" s="559"/>
      <c r="Q74" s="396"/>
      <c r="R74" s="396"/>
      <c r="S74" s="396"/>
      <c r="T74" s="396"/>
      <c r="U74" s="396"/>
      <c r="V74" s="396"/>
      <c r="W74" s="396"/>
      <c r="X74" s="396"/>
      <c r="Y74" s="396"/>
      <c r="Z74" s="396"/>
      <c r="AA74" s="396"/>
      <c r="AB74" s="396"/>
      <c r="AC74" s="396"/>
      <c r="AD74" s="396"/>
      <c r="AE74" s="396"/>
      <c r="AF74" s="396"/>
      <c r="AG74" s="396"/>
      <c r="AH74" s="396"/>
      <c r="AI74" s="396"/>
      <c r="AJ74" s="396"/>
      <c r="AK74" s="396"/>
      <c r="AL74" s="396"/>
      <c r="AM74" s="396"/>
      <c r="AN74" s="396"/>
    </row>
    <row r="75">
      <c r="A75" s="559"/>
      <c r="B75" s="559"/>
      <c r="C75" s="559"/>
      <c r="D75" s="559"/>
      <c r="E75" s="559"/>
      <c r="F75" s="559"/>
      <c r="G75" s="559"/>
      <c r="H75" s="559"/>
      <c r="I75" s="559"/>
      <c r="J75" s="559"/>
      <c r="K75" s="559"/>
      <c r="L75" s="559"/>
      <c r="M75" s="559"/>
      <c r="N75" s="559"/>
      <c r="O75" s="559"/>
      <c r="P75" s="559"/>
      <c r="Q75" s="396"/>
      <c r="R75" s="396"/>
      <c r="S75" s="396"/>
      <c r="T75" s="396"/>
      <c r="U75" s="396"/>
      <c r="V75" s="396"/>
      <c r="W75" s="396"/>
      <c r="X75" s="396"/>
      <c r="Y75" s="396"/>
      <c r="Z75" s="396"/>
      <c r="AA75" s="396"/>
      <c r="AB75" s="396"/>
      <c r="AC75" s="396"/>
      <c r="AD75" s="396"/>
      <c r="AE75" s="396"/>
      <c r="AF75" s="396"/>
      <c r="AG75" s="396"/>
      <c r="AH75" s="396"/>
      <c r="AI75" s="396"/>
      <c r="AJ75" s="396"/>
      <c r="AK75" s="396"/>
      <c r="AL75" s="396"/>
      <c r="AM75" s="396"/>
      <c r="AN75" s="396"/>
    </row>
    <row r="76">
      <c r="A76" s="559"/>
      <c r="B76" s="559"/>
      <c r="C76" s="559"/>
      <c r="D76" s="559"/>
      <c r="E76" s="559"/>
      <c r="F76" s="559"/>
      <c r="G76" s="559"/>
      <c r="H76" s="559"/>
      <c r="I76" s="559"/>
      <c r="J76" s="559"/>
      <c r="K76" s="559"/>
      <c r="L76" s="559"/>
      <c r="M76" s="559"/>
      <c r="N76" s="559"/>
      <c r="O76" s="559"/>
      <c r="P76" s="559"/>
      <c r="Q76" s="396"/>
      <c r="R76" s="396"/>
      <c r="S76" s="396"/>
      <c r="T76" s="396"/>
      <c r="U76" s="396"/>
      <c r="V76" s="396"/>
      <c r="W76" s="396"/>
      <c r="X76" s="396"/>
      <c r="Y76" s="396"/>
      <c r="Z76" s="396"/>
      <c r="AA76" s="396"/>
      <c r="AB76" s="396"/>
      <c r="AC76" s="396"/>
      <c r="AD76" s="396"/>
      <c r="AE76" s="396"/>
      <c r="AF76" s="396"/>
      <c r="AG76" s="396"/>
      <c r="AH76" s="396"/>
      <c r="AI76" s="396"/>
      <c r="AJ76" s="396"/>
      <c r="AK76" s="396"/>
      <c r="AL76" s="396"/>
      <c r="AM76" s="396"/>
      <c r="AN76" s="396"/>
    </row>
    <row r="77">
      <c r="A77" s="559"/>
      <c r="B77" s="559"/>
      <c r="C77" s="559"/>
      <c r="D77" s="559"/>
      <c r="E77" s="559"/>
      <c r="F77" s="559"/>
      <c r="G77" s="559"/>
      <c r="H77" s="559"/>
      <c r="I77" s="559"/>
      <c r="J77" s="559"/>
      <c r="K77" s="559"/>
      <c r="L77" s="559"/>
      <c r="M77" s="559"/>
      <c r="N77" s="559"/>
      <c r="O77" s="559"/>
      <c r="P77" s="559"/>
      <c r="Q77" s="396"/>
      <c r="R77" s="396"/>
      <c r="S77" s="396"/>
      <c r="T77" s="396"/>
      <c r="U77" s="396"/>
      <c r="V77" s="396"/>
      <c r="W77" s="396"/>
      <c r="X77" s="396"/>
      <c r="Y77" s="396"/>
      <c r="Z77" s="396"/>
      <c r="AA77" s="396"/>
      <c r="AB77" s="396"/>
      <c r="AC77" s="396"/>
      <c r="AD77" s="396"/>
      <c r="AE77" s="396"/>
      <c r="AF77" s="396"/>
      <c r="AG77" s="396"/>
      <c r="AH77" s="396"/>
      <c r="AI77" s="396"/>
      <c r="AJ77" s="396"/>
      <c r="AK77" s="396"/>
      <c r="AL77" s="396"/>
      <c r="AM77" s="396"/>
      <c r="AN77" s="396"/>
    </row>
    <row r="78">
      <c r="Q78" s="396"/>
      <c r="R78" s="396"/>
      <c r="S78" s="396"/>
      <c r="T78" s="396"/>
      <c r="U78" s="396"/>
      <c r="V78" s="396"/>
      <c r="W78" s="396"/>
      <c r="X78" s="396"/>
      <c r="Y78" s="396"/>
      <c r="Z78" s="396"/>
      <c r="AA78" s="396"/>
      <c r="AB78" s="396"/>
      <c r="AC78" s="396"/>
      <c r="AD78" s="396"/>
      <c r="AE78" s="396"/>
      <c r="AF78" s="396"/>
      <c r="AG78" s="396"/>
      <c r="AH78" s="396"/>
      <c r="AI78" s="396"/>
      <c r="AJ78" s="396"/>
      <c r="AK78" s="396"/>
      <c r="AL78" s="396"/>
      <c r="AM78" s="396"/>
      <c r="AN78" s="396"/>
    </row>
    <row r="79">
      <c r="Q79" s="396"/>
      <c r="R79" s="396"/>
      <c r="S79" s="396"/>
      <c r="T79" s="396"/>
      <c r="U79" s="396"/>
      <c r="V79" s="396"/>
      <c r="W79" s="396"/>
      <c r="X79" s="396"/>
      <c r="Y79" s="396"/>
      <c r="Z79" s="396"/>
      <c r="AA79" s="396"/>
      <c r="AB79" s="396"/>
      <c r="AC79" s="396"/>
      <c r="AD79" s="396"/>
      <c r="AE79" s="396"/>
      <c r="AF79" s="396"/>
      <c r="AG79" s="396"/>
      <c r="AH79" s="396"/>
      <c r="AI79" s="396"/>
      <c r="AJ79" s="396"/>
      <c r="AK79" s="396"/>
      <c r="AL79" s="396"/>
      <c r="AM79" s="396"/>
      <c r="AN79" s="396"/>
    </row>
    <row r="80">
      <c r="Q80" s="396"/>
      <c r="R80" s="396"/>
      <c r="S80" s="396"/>
      <c r="T80" s="396"/>
      <c r="U80" s="396"/>
      <c r="V80" s="396"/>
      <c r="W80" s="396"/>
      <c r="X80" s="396"/>
      <c r="Y80" s="396"/>
      <c r="Z80" s="396"/>
      <c r="AA80" s="396"/>
      <c r="AB80" s="396"/>
      <c r="AC80" s="396"/>
      <c r="AD80" s="396"/>
      <c r="AE80" s="396"/>
      <c r="AF80" s="396"/>
      <c r="AG80" s="396"/>
      <c r="AH80" s="396"/>
      <c r="AI80" s="396"/>
      <c r="AJ80" s="396"/>
      <c r="AK80" s="396"/>
      <c r="AL80" s="396"/>
      <c r="AM80" s="396"/>
      <c r="AN80" s="396"/>
    </row>
    <row r="81">
      <c r="Q81" s="396"/>
      <c r="R81" s="396"/>
      <c r="S81" s="396"/>
      <c r="T81" s="396"/>
      <c r="U81" s="396"/>
      <c r="V81" s="396"/>
      <c r="W81" s="396"/>
      <c r="X81" s="396"/>
      <c r="Y81" s="396"/>
      <c r="Z81" s="396"/>
      <c r="AA81" s="396"/>
      <c r="AB81" s="396"/>
      <c r="AC81" s="396"/>
      <c r="AD81" s="396"/>
      <c r="AE81" s="396"/>
      <c r="AF81" s="396"/>
      <c r="AG81" s="396"/>
      <c r="AH81" s="396"/>
      <c r="AI81" s="396"/>
      <c r="AJ81" s="396"/>
      <c r="AK81" s="396"/>
      <c r="AL81" s="396"/>
      <c r="AM81" s="396"/>
      <c r="AN81" s="396"/>
    </row>
    <row r="82">
      <c r="Q82" s="396"/>
      <c r="R82" s="396"/>
      <c r="S82" s="396"/>
      <c r="T82" s="396"/>
      <c r="U82" s="396"/>
      <c r="V82" s="396"/>
      <c r="W82" s="396"/>
      <c r="X82" s="396"/>
      <c r="Y82" s="396"/>
      <c r="Z82" s="396"/>
      <c r="AA82" s="396"/>
      <c r="AB82" s="396"/>
      <c r="AC82" s="396"/>
      <c r="AD82" s="396"/>
      <c r="AE82" s="396"/>
      <c r="AF82" s="396"/>
      <c r="AG82" s="396"/>
      <c r="AH82" s="396"/>
      <c r="AI82" s="396"/>
      <c r="AJ82" s="396"/>
      <c r="AK82" s="396"/>
      <c r="AL82" s="396"/>
      <c r="AM82" s="396"/>
      <c r="AN82" s="396"/>
    </row>
    <row r="83">
      <c r="Q83" s="396"/>
      <c r="R83" s="396"/>
      <c r="S83" s="396"/>
      <c r="T83" s="396"/>
      <c r="U83" s="396"/>
      <c r="V83" s="396"/>
      <c r="W83" s="396"/>
      <c r="X83" s="396"/>
      <c r="Y83" s="396"/>
      <c r="Z83" s="396"/>
      <c r="AA83" s="396"/>
      <c r="AB83" s="396"/>
      <c r="AC83" s="396"/>
      <c r="AD83" s="396"/>
      <c r="AE83" s="396"/>
      <c r="AF83" s="396"/>
      <c r="AG83" s="396"/>
      <c r="AH83" s="396"/>
      <c r="AI83" s="396"/>
      <c r="AJ83" s="396"/>
      <c r="AK83" s="396"/>
      <c r="AL83" s="396"/>
      <c r="AM83" s="396"/>
      <c r="AN83" s="396"/>
    </row>
    <row r="84">
      <c r="Q84" s="396"/>
      <c r="R84" s="396"/>
      <c r="S84" s="396"/>
      <c r="T84" s="396"/>
      <c r="U84" s="396"/>
      <c r="V84" s="396"/>
      <c r="W84" s="396"/>
      <c r="X84" s="396"/>
      <c r="Y84" s="396"/>
      <c r="Z84" s="396"/>
      <c r="AA84" s="396"/>
      <c r="AB84" s="396"/>
      <c r="AC84" s="396"/>
      <c r="AD84" s="396"/>
      <c r="AE84" s="396"/>
      <c r="AF84" s="396"/>
      <c r="AG84" s="396"/>
      <c r="AH84" s="396"/>
      <c r="AI84" s="396"/>
      <c r="AJ84" s="396"/>
      <c r="AK84" s="396"/>
      <c r="AL84" s="396"/>
      <c r="AM84" s="396"/>
      <c r="AN84" s="396"/>
    </row>
    <row r="85">
      <c r="Q85" s="396"/>
      <c r="R85" s="396"/>
      <c r="S85" s="396"/>
      <c r="T85" s="396"/>
      <c r="U85" s="396"/>
      <c r="V85" s="396"/>
      <c r="W85" s="396"/>
      <c r="X85" s="396"/>
      <c r="Y85" s="396"/>
      <c r="Z85" s="396"/>
      <c r="AA85" s="396"/>
      <c r="AB85" s="396"/>
      <c r="AC85" s="396"/>
      <c r="AD85" s="396"/>
      <c r="AE85" s="396"/>
      <c r="AF85" s="396"/>
      <c r="AG85" s="396"/>
      <c r="AH85" s="396"/>
      <c r="AI85" s="396"/>
      <c r="AJ85" s="396"/>
      <c r="AK85" s="396"/>
      <c r="AL85" s="396"/>
      <c r="AM85" s="396"/>
      <c r="AN85" s="396"/>
    </row>
    <row r="86">
      <c r="Q86" s="396"/>
      <c r="R86" s="396"/>
      <c r="S86" s="396"/>
      <c r="T86" s="396"/>
      <c r="U86" s="396"/>
      <c r="V86" s="396"/>
      <c r="W86" s="396"/>
      <c r="X86" s="396"/>
      <c r="Y86" s="396"/>
      <c r="Z86" s="396"/>
      <c r="AA86" s="396"/>
      <c r="AB86" s="396"/>
      <c r="AC86" s="396"/>
      <c r="AD86" s="396"/>
      <c r="AE86" s="396"/>
      <c r="AF86" s="396"/>
      <c r="AG86" s="396"/>
      <c r="AH86" s="396"/>
      <c r="AI86" s="396"/>
      <c r="AJ86" s="396"/>
      <c r="AK86" s="396"/>
      <c r="AL86" s="396"/>
      <c r="AM86" s="396"/>
      <c r="AN86" s="396"/>
    </row>
    <row r="87">
      <c r="Q87" s="396"/>
      <c r="R87" s="396"/>
      <c r="S87" s="396"/>
      <c r="T87" s="396"/>
      <c r="U87" s="396"/>
      <c r="V87" s="396"/>
      <c r="W87" s="396"/>
      <c r="X87" s="396"/>
      <c r="Y87" s="396"/>
      <c r="Z87" s="396"/>
      <c r="AA87" s="396"/>
      <c r="AB87" s="396"/>
      <c r="AC87" s="396"/>
      <c r="AD87" s="396"/>
      <c r="AE87" s="396"/>
      <c r="AF87" s="396"/>
      <c r="AG87" s="396"/>
      <c r="AH87" s="396"/>
      <c r="AI87" s="396"/>
      <c r="AJ87" s="396"/>
      <c r="AK87" s="396"/>
      <c r="AL87" s="396"/>
      <c r="AM87" s="396"/>
      <c r="AN87" s="396"/>
    </row>
    <row r="88">
      <c r="Q88" s="396"/>
      <c r="R88" s="396"/>
      <c r="S88" s="396"/>
      <c r="T88" s="396"/>
      <c r="U88" s="396"/>
      <c r="V88" s="396"/>
      <c r="W88" s="396"/>
      <c r="X88" s="396"/>
      <c r="Y88" s="396"/>
      <c r="Z88" s="396"/>
      <c r="AA88" s="396"/>
      <c r="AB88" s="396"/>
      <c r="AC88" s="396"/>
      <c r="AD88" s="396"/>
      <c r="AE88" s="396"/>
      <c r="AF88" s="396"/>
      <c r="AG88" s="396"/>
      <c r="AH88" s="396"/>
      <c r="AI88" s="396"/>
      <c r="AJ88" s="396"/>
      <c r="AK88" s="396"/>
      <c r="AL88" s="396"/>
      <c r="AM88" s="396"/>
      <c r="AN88" s="396"/>
    </row>
    <row r="89">
      <c r="Q89" s="396"/>
      <c r="R89" s="396"/>
      <c r="S89" s="396"/>
      <c r="T89" s="396"/>
      <c r="U89" s="396"/>
      <c r="V89" s="396"/>
      <c r="W89" s="396"/>
      <c r="X89" s="396"/>
      <c r="Y89" s="396"/>
      <c r="Z89" s="396"/>
      <c r="AA89" s="396"/>
      <c r="AB89" s="396"/>
      <c r="AC89" s="396"/>
      <c r="AD89" s="396"/>
      <c r="AE89" s="396"/>
      <c r="AF89" s="396"/>
      <c r="AG89" s="396"/>
      <c r="AH89" s="396"/>
      <c r="AI89" s="396"/>
      <c r="AJ89" s="396"/>
      <c r="AK89" s="396"/>
      <c r="AL89" s="396"/>
      <c r="AM89" s="396"/>
      <c r="AN89" s="396"/>
    </row>
    <row r="90">
      <c r="Q90" s="559"/>
      <c r="R90" s="559"/>
      <c r="S90" s="559"/>
      <c r="T90" s="559"/>
      <c r="U90" s="559"/>
      <c r="V90" s="559"/>
      <c r="W90" s="559"/>
      <c r="X90" s="559"/>
      <c r="Y90" s="559"/>
      <c r="Z90" s="559"/>
      <c r="AA90" s="559"/>
      <c r="AB90" s="559"/>
      <c r="AC90" s="559"/>
      <c r="AD90" s="559"/>
      <c r="AE90" s="559"/>
      <c r="AF90" s="559"/>
      <c r="AG90" s="559"/>
      <c r="AH90" s="559"/>
      <c r="AI90" s="559"/>
      <c r="AJ90" s="559"/>
      <c r="AK90" s="559"/>
      <c r="AL90" s="559"/>
      <c r="AM90" s="559"/>
      <c r="AN90" s="559"/>
    </row>
    <row r="91">
      <c r="Q91" s="559"/>
      <c r="R91" s="559"/>
      <c r="S91" s="559"/>
      <c r="T91" s="559"/>
      <c r="U91" s="559"/>
      <c r="V91" s="559"/>
      <c r="W91" s="559"/>
      <c r="X91" s="559"/>
      <c r="Y91" s="559"/>
      <c r="Z91" s="559"/>
      <c r="AA91" s="559"/>
      <c r="AB91" s="559"/>
      <c r="AC91" s="559"/>
      <c r="AD91" s="559"/>
      <c r="AE91" s="559"/>
      <c r="AF91" s="559"/>
      <c r="AG91" s="559"/>
      <c r="AH91" s="559"/>
      <c r="AI91" s="559"/>
      <c r="AJ91" s="559"/>
      <c r="AK91" s="559"/>
      <c r="AL91" s="559"/>
      <c r="AM91" s="559"/>
      <c r="AN91" s="559"/>
    </row>
    <row r="92">
      <c r="Q92" s="559"/>
      <c r="R92" s="559"/>
      <c r="S92" s="559"/>
      <c r="T92" s="559"/>
      <c r="U92" s="559"/>
      <c r="V92" s="559"/>
      <c r="W92" s="559"/>
      <c r="X92" s="559"/>
      <c r="Y92" s="559"/>
      <c r="Z92" s="559"/>
      <c r="AA92" s="559"/>
      <c r="AB92" s="559"/>
      <c r="AC92" s="559"/>
      <c r="AD92" s="559"/>
      <c r="AE92" s="559"/>
      <c r="AF92" s="559"/>
      <c r="AG92" s="559"/>
      <c r="AH92" s="559"/>
      <c r="AI92" s="559"/>
      <c r="AJ92" s="559"/>
      <c r="AK92" s="559"/>
      <c r="AL92" s="559"/>
      <c r="AM92" s="559"/>
      <c r="AN92" s="559"/>
    </row>
    <row r="93">
      <c r="Q93" s="559"/>
      <c r="R93" s="559"/>
      <c r="S93" s="559"/>
      <c r="T93" s="559"/>
      <c r="U93" s="559"/>
      <c r="V93" s="559"/>
      <c r="W93" s="559"/>
      <c r="X93" s="559"/>
      <c r="Y93" s="559"/>
      <c r="Z93" s="559"/>
      <c r="AA93" s="559"/>
      <c r="AB93" s="559"/>
      <c r="AC93" s="559"/>
      <c r="AD93" s="559"/>
      <c r="AE93" s="559"/>
      <c r="AF93" s="559"/>
      <c r="AG93" s="559"/>
      <c r="AH93" s="559"/>
      <c r="AI93" s="559"/>
      <c r="AJ93" s="559"/>
      <c r="AK93" s="559"/>
      <c r="AL93" s="559"/>
      <c r="AM93" s="559"/>
      <c r="AN93" s="559"/>
    </row>
    <row r="94">
      <c r="Q94" s="559"/>
      <c r="R94" s="559"/>
      <c r="S94" s="559"/>
      <c r="T94" s="559"/>
      <c r="U94" s="559"/>
      <c r="V94" s="559"/>
      <c r="W94" s="559"/>
      <c r="X94" s="559"/>
      <c r="Y94" s="559"/>
      <c r="Z94" s="559"/>
      <c r="AA94" s="559"/>
      <c r="AB94" s="559"/>
      <c r="AC94" s="559"/>
      <c r="AD94" s="559"/>
      <c r="AE94" s="559"/>
      <c r="AF94" s="559"/>
      <c r="AG94" s="559"/>
      <c r="AH94" s="559"/>
      <c r="AI94" s="559"/>
      <c r="AJ94" s="559"/>
      <c r="AK94" s="559"/>
      <c r="AL94" s="559"/>
      <c r="AM94" s="559"/>
      <c r="AN94" s="559"/>
    </row>
    <row r="95">
      <c r="Q95" s="559"/>
      <c r="R95" s="559"/>
      <c r="S95" s="559"/>
      <c r="T95" s="559"/>
      <c r="U95" s="559"/>
      <c r="V95" s="559"/>
      <c r="W95" s="559"/>
      <c r="X95" s="559"/>
      <c r="Y95" s="559"/>
      <c r="Z95" s="559"/>
      <c r="AA95" s="559"/>
      <c r="AB95" s="559"/>
      <c r="AC95" s="559"/>
      <c r="AD95" s="559"/>
      <c r="AE95" s="559"/>
      <c r="AF95" s="559"/>
      <c r="AG95" s="559"/>
      <c r="AH95" s="559"/>
      <c r="AI95" s="559"/>
      <c r="AJ95" s="559"/>
      <c r="AK95" s="559"/>
      <c r="AL95" s="559"/>
      <c r="AM95" s="559"/>
      <c r="AN95" s="559"/>
    </row>
    <row r="96">
      <c r="Q96" s="559"/>
      <c r="R96" s="559"/>
      <c r="S96" s="559"/>
      <c r="T96" s="559"/>
      <c r="U96" s="559"/>
      <c r="V96" s="559"/>
      <c r="W96" s="559"/>
      <c r="X96" s="559"/>
      <c r="Y96" s="559"/>
      <c r="Z96" s="559"/>
      <c r="AA96" s="559"/>
      <c r="AB96" s="559"/>
      <c r="AC96" s="559"/>
      <c r="AD96" s="559"/>
      <c r="AE96" s="559"/>
      <c r="AF96" s="559"/>
      <c r="AG96" s="559"/>
      <c r="AH96" s="559"/>
      <c r="AI96" s="559"/>
      <c r="AJ96" s="559"/>
      <c r="AK96" s="559"/>
      <c r="AL96" s="559"/>
      <c r="AM96" s="559"/>
      <c r="AN96" s="559"/>
    </row>
    <row r="97">
      <c r="A97" s="559"/>
      <c r="B97" s="559"/>
      <c r="C97" s="559"/>
      <c r="D97" s="559"/>
      <c r="E97" s="559"/>
      <c r="F97" s="559"/>
      <c r="G97" s="559"/>
      <c r="H97" s="559"/>
      <c r="I97" s="559"/>
      <c r="J97" s="559"/>
      <c r="K97" s="559"/>
      <c r="L97" s="559"/>
      <c r="M97" s="559"/>
      <c r="N97" s="559"/>
      <c r="O97" s="559"/>
      <c r="P97" s="559"/>
      <c r="Q97" s="559"/>
      <c r="R97" s="559"/>
      <c r="S97" s="559"/>
      <c r="T97" s="559"/>
      <c r="U97" s="559"/>
      <c r="V97" s="559"/>
      <c r="W97" s="559"/>
      <c r="X97" s="559"/>
      <c r="Y97" s="559"/>
      <c r="Z97" s="559"/>
      <c r="AA97" s="559"/>
      <c r="AB97" s="559"/>
      <c r="AC97" s="559"/>
      <c r="AD97" s="559"/>
      <c r="AE97" s="559"/>
      <c r="AF97" s="559"/>
      <c r="AG97" s="559"/>
      <c r="AH97" s="559"/>
      <c r="AI97" s="559"/>
      <c r="AJ97" s="559"/>
      <c r="AK97" s="559"/>
      <c r="AL97" s="559"/>
      <c r="AM97" s="559"/>
      <c r="AN97" s="559"/>
    </row>
    <row r="98">
      <c r="A98" s="559"/>
      <c r="B98" s="559"/>
      <c r="C98" s="559"/>
      <c r="D98" s="559"/>
      <c r="E98" s="559"/>
      <c r="F98" s="559"/>
      <c r="G98" s="559"/>
      <c r="H98" s="559"/>
      <c r="I98" s="559"/>
      <c r="J98" s="559"/>
      <c r="K98" s="559"/>
      <c r="L98" s="559"/>
      <c r="M98" s="559"/>
      <c r="N98" s="559"/>
      <c r="O98" s="559"/>
      <c r="P98" s="559"/>
      <c r="Q98" s="559"/>
      <c r="R98" s="559"/>
      <c r="S98" s="559"/>
      <c r="T98" s="559"/>
      <c r="U98" s="559"/>
      <c r="V98" s="559"/>
      <c r="W98" s="559"/>
      <c r="X98" s="559"/>
      <c r="Y98" s="559"/>
      <c r="Z98" s="559"/>
      <c r="AA98" s="559"/>
      <c r="AB98" s="559"/>
      <c r="AC98" s="559"/>
      <c r="AD98" s="559"/>
      <c r="AE98" s="559"/>
      <c r="AF98" s="559"/>
      <c r="AG98" s="559"/>
      <c r="AH98" s="559"/>
      <c r="AI98" s="559"/>
      <c r="AJ98" s="559"/>
      <c r="AK98" s="559"/>
      <c r="AL98" s="559"/>
      <c r="AM98" s="559"/>
      <c r="AN98" s="559"/>
    </row>
    <row r="99">
      <c r="A99" s="559"/>
      <c r="B99" s="559"/>
      <c r="C99" s="559"/>
      <c r="D99" s="559"/>
      <c r="E99" s="559"/>
      <c r="F99" s="559"/>
      <c r="G99" s="559"/>
      <c r="H99" s="559"/>
      <c r="I99" s="559"/>
      <c r="J99" s="559"/>
      <c r="K99" s="559"/>
      <c r="L99" s="559"/>
      <c r="M99" s="559"/>
      <c r="N99" s="559"/>
      <c r="O99" s="559"/>
      <c r="P99" s="559"/>
      <c r="Q99" s="559"/>
      <c r="R99" s="559"/>
      <c r="S99" s="559"/>
      <c r="T99" s="559"/>
      <c r="U99" s="559"/>
      <c r="V99" s="559"/>
      <c r="W99" s="559"/>
      <c r="X99" s="559"/>
      <c r="Y99" s="559"/>
      <c r="Z99" s="559"/>
      <c r="AA99" s="559"/>
      <c r="AB99" s="559"/>
      <c r="AC99" s="559"/>
      <c r="AD99" s="559"/>
      <c r="AE99" s="559"/>
      <c r="AF99" s="559"/>
      <c r="AG99" s="559"/>
      <c r="AH99" s="559"/>
      <c r="AI99" s="559"/>
      <c r="AJ99" s="559"/>
      <c r="AK99" s="559"/>
      <c r="AL99" s="559"/>
      <c r="AM99" s="559"/>
      <c r="AN99" s="559"/>
    </row>
    <row r="100">
      <c r="A100" s="559"/>
      <c r="B100" s="559"/>
      <c r="C100" s="559"/>
      <c r="D100" s="559"/>
      <c r="E100" s="559"/>
      <c r="F100" s="559"/>
      <c r="G100" s="559"/>
      <c r="H100" s="559"/>
      <c r="I100" s="559"/>
      <c r="J100" s="559"/>
      <c r="K100" s="559"/>
      <c r="L100" s="559"/>
      <c r="M100" s="559"/>
      <c r="N100" s="559"/>
      <c r="O100" s="559"/>
      <c r="P100" s="559"/>
      <c r="Q100" s="559"/>
      <c r="R100" s="559"/>
      <c r="S100" s="559"/>
      <c r="T100" s="559"/>
      <c r="U100" s="559"/>
      <c r="V100" s="559"/>
      <c r="W100" s="559"/>
      <c r="X100" s="559"/>
      <c r="Y100" s="559"/>
      <c r="Z100" s="559"/>
      <c r="AA100" s="559"/>
      <c r="AB100" s="559"/>
      <c r="AC100" s="559"/>
      <c r="AD100" s="559"/>
      <c r="AE100" s="559"/>
      <c r="AF100" s="559"/>
      <c r="AG100" s="559"/>
      <c r="AH100" s="559"/>
      <c r="AI100" s="559"/>
      <c r="AJ100" s="559"/>
      <c r="AK100" s="559"/>
      <c r="AL100" s="559"/>
      <c r="AM100" s="559"/>
      <c r="AN100" s="559"/>
    </row>
    <row r="101">
      <c r="A101" s="559"/>
      <c r="B101" s="559"/>
      <c r="C101" s="559"/>
      <c r="D101" s="559"/>
      <c r="E101" s="559"/>
      <c r="F101" s="559"/>
      <c r="G101" s="559"/>
      <c r="H101" s="559"/>
      <c r="I101" s="559"/>
      <c r="J101" s="559"/>
      <c r="K101" s="559"/>
      <c r="L101" s="559"/>
      <c r="M101" s="559"/>
      <c r="N101" s="559"/>
      <c r="O101" s="559"/>
      <c r="P101" s="559"/>
      <c r="Q101" s="559"/>
      <c r="R101" s="559"/>
      <c r="S101" s="559"/>
      <c r="T101" s="559"/>
      <c r="U101" s="559"/>
      <c r="V101" s="559"/>
      <c r="W101" s="559"/>
      <c r="X101" s="559"/>
      <c r="Y101" s="559"/>
      <c r="Z101" s="559"/>
      <c r="AA101" s="559"/>
      <c r="AB101" s="559"/>
      <c r="AC101" s="559"/>
      <c r="AD101" s="559"/>
      <c r="AE101" s="559"/>
      <c r="AF101" s="559"/>
      <c r="AG101" s="559"/>
      <c r="AH101" s="559"/>
      <c r="AI101" s="559"/>
      <c r="AJ101" s="559"/>
      <c r="AK101" s="559"/>
      <c r="AL101" s="559"/>
      <c r="AM101" s="559"/>
      <c r="AN101" s="559"/>
    </row>
    <row r="102">
      <c r="A102" s="559"/>
      <c r="B102" s="559"/>
      <c r="C102" s="559"/>
      <c r="D102" s="559"/>
      <c r="E102" s="559"/>
      <c r="F102" s="559"/>
      <c r="G102" s="559"/>
      <c r="H102" s="559"/>
      <c r="I102" s="559"/>
      <c r="J102" s="559"/>
      <c r="K102" s="559"/>
      <c r="L102" s="559"/>
      <c r="M102" s="559"/>
      <c r="N102" s="559"/>
      <c r="O102" s="559"/>
      <c r="P102" s="559"/>
      <c r="Q102" s="559"/>
      <c r="R102" s="559"/>
      <c r="S102" s="559"/>
      <c r="T102" s="559"/>
      <c r="U102" s="559"/>
      <c r="V102" s="559"/>
      <c r="W102" s="559"/>
      <c r="X102" s="559"/>
      <c r="Y102" s="559"/>
      <c r="Z102" s="559"/>
      <c r="AA102" s="559"/>
      <c r="AB102" s="559"/>
      <c r="AC102" s="559"/>
      <c r="AD102" s="559"/>
      <c r="AE102" s="559"/>
      <c r="AF102" s="559"/>
      <c r="AG102" s="559"/>
      <c r="AH102" s="559"/>
      <c r="AI102" s="559"/>
      <c r="AJ102" s="559"/>
      <c r="AK102" s="559"/>
      <c r="AL102" s="559"/>
      <c r="AM102" s="559"/>
      <c r="AN102" s="559"/>
    </row>
    <row r="103">
      <c r="A103" s="559"/>
      <c r="B103" s="559"/>
      <c r="C103" s="559"/>
      <c r="D103" s="559"/>
      <c r="E103" s="559"/>
      <c r="F103" s="559"/>
      <c r="G103" s="559"/>
      <c r="H103" s="559"/>
      <c r="I103" s="559"/>
      <c r="J103" s="559"/>
      <c r="K103" s="559"/>
      <c r="L103" s="559"/>
      <c r="M103" s="559"/>
      <c r="N103" s="559"/>
      <c r="O103" s="559"/>
      <c r="P103" s="559"/>
      <c r="Q103" s="559"/>
      <c r="R103" s="559"/>
      <c r="S103" s="559"/>
      <c r="T103" s="559"/>
      <c r="U103" s="559"/>
      <c r="V103" s="559"/>
      <c r="W103" s="559"/>
      <c r="X103" s="559"/>
      <c r="Y103" s="559"/>
      <c r="Z103" s="559"/>
      <c r="AA103" s="559"/>
      <c r="AB103" s="559"/>
      <c r="AC103" s="559"/>
      <c r="AD103" s="559"/>
      <c r="AE103" s="559"/>
      <c r="AF103" s="559"/>
      <c r="AG103" s="559"/>
      <c r="AH103" s="559"/>
      <c r="AI103" s="559"/>
      <c r="AJ103" s="559"/>
      <c r="AK103" s="559"/>
      <c r="AL103" s="559"/>
      <c r="AM103" s="559"/>
      <c r="AN103" s="559"/>
    </row>
    <row r="104">
      <c r="A104" s="559"/>
      <c r="B104" s="559"/>
      <c r="C104" s="559"/>
      <c r="D104" s="559"/>
      <c r="E104" s="559"/>
      <c r="F104" s="559"/>
      <c r="G104" s="559"/>
      <c r="H104" s="559"/>
      <c r="I104" s="559"/>
      <c r="J104" s="559"/>
      <c r="K104" s="559"/>
      <c r="L104" s="559"/>
      <c r="M104" s="559"/>
      <c r="N104" s="559"/>
      <c r="O104" s="559"/>
      <c r="P104" s="559"/>
      <c r="Q104" s="559"/>
      <c r="R104" s="559"/>
      <c r="S104" s="559"/>
      <c r="T104" s="559"/>
      <c r="U104" s="559"/>
      <c r="V104" s="559"/>
      <c r="W104" s="559"/>
      <c r="X104" s="559"/>
      <c r="Y104" s="559"/>
      <c r="Z104" s="559"/>
      <c r="AA104" s="559"/>
      <c r="AB104" s="559"/>
      <c r="AC104" s="559"/>
      <c r="AD104" s="559"/>
      <c r="AE104" s="559"/>
      <c r="AF104" s="559"/>
      <c r="AG104" s="559"/>
      <c r="AH104" s="559"/>
      <c r="AI104" s="559"/>
      <c r="AJ104" s="559"/>
      <c r="AK104" s="559"/>
      <c r="AL104" s="559"/>
      <c r="AM104" s="559"/>
      <c r="AN104" s="559"/>
    </row>
    <row r="105">
      <c r="A105" s="559"/>
      <c r="B105" s="559"/>
      <c r="C105" s="559"/>
      <c r="D105" s="559"/>
      <c r="E105" s="559"/>
      <c r="F105" s="559"/>
      <c r="G105" s="559"/>
      <c r="H105" s="559"/>
      <c r="I105" s="559"/>
      <c r="J105" s="559"/>
      <c r="K105" s="559"/>
      <c r="L105" s="559"/>
      <c r="M105" s="559"/>
      <c r="N105" s="559"/>
      <c r="O105" s="559"/>
      <c r="P105" s="559"/>
      <c r="Q105" s="559"/>
      <c r="R105" s="559"/>
      <c r="S105" s="559"/>
      <c r="T105" s="559"/>
      <c r="U105" s="559"/>
      <c r="V105" s="559"/>
      <c r="W105" s="559"/>
      <c r="X105" s="559"/>
      <c r="Y105" s="559"/>
      <c r="Z105" s="559"/>
      <c r="AA105" s="559"/>
      <c r="AB105" s="559"/>
      <c r="AC105" s="559"/>
      <c r="AD105" s="559"/>
      <c r="AE105" s="559"/>
      <c r="AF105" s="559"/>
      <c r="AG105" s="559"/>
      <c r="AH105" s="559"/>
      <c r="AI105" s="559"/>
      <c r="AJ105" s="559"/>
      <c r="AK105" s="559"/>
      <c r="AL105" s="559"/>
      <c r="AM105" s="559"/>
      <c r="AN105" s="559"/>
    </row>
    <row r="106">
      <c r="A106" s="559"/>
      <c r="B106" s="559"/>
      <c r="C106" s="559"/>
      <c r="D106" s="559"/>
      <c r="E106" s="559"/>
      <c r="F106" s="559"/>
      <c r="G106" s="559"/>
      <c r="H106" s="559"/>
      <c r="I106" s="559"/>
      <c r="J106" s="559"/>
      <c r="K106" s="559"/>
      <c r="L106" s="559"/>
      <c r="M106" s="559"/>
      <c r="N106" s="559"/>
      <c r="O106" s="559"/>
      <c r="P106" s="559"/>
      <c r="Q106" s="559"/>
      <c r="R106" s="559"/>
      <c r="S106" s="559"/>
      <c r="T106" s="559"/>
      <c r="U106" s="559"/>
      <c r="V106" s="559"/>
      <c r="W106" s="559"/>
      <c r="X106" s="559"/>
      <c r="Y106" s="559"/>
      <c r="Z106" s="559"/>
      <c r="AA106" s="559"/>
      <c r="AB106" s="559"/>
      <c r="AC106" s="559"/>
      <c r="AD106" s="559"/>
      <c r="AE106" s="559"/>
      <c r="AF106" s="559"/>
      <c r="AG106" s="559"/>
      <c r="AH106" s="559"/>
      <c r="AI106" s="559"/>
      <c r="AJ106" s="559"/>
      <c r="AK106" s="559"/>
      <c r="AL106" s="559"/>
      <c r="AM106" s="559"/>
      <c r="AN106" s="559"/>
    </row>
    <row r="107">
      <c r="A107" s="559"/>
      <c r="B107" s="559"/>
      <c r="C107" s="559"/>
      <c r="D107" s="559"/>
      <c r="E107" s="559"/>
      <c r="F107" s="559"/>
      <c r="G107" s="559"/>
      <c r="H107" s="559"/>
      <c r="I107" s="559"/>
      <c r="J107" s="559"/>
      <c r="K107" s="559"/>
      <c r="L107" s="559"/>
      <c r="M107" s="559"/>
      <c r="N107" s="559"/>
      <c r="O107" s="559"/>
      <c r="P107" s="559"/>
      <c r="Q107" s="559"/>
      <c r="R107" s="559"/>
      <c r="S107" s="559"/>
      <c r="T107" s="559"/>
      <c r="U107" s="559"/>
      <c r="V107" s="559"/>
      <c r="W107" s="559"/>
      <c r="X107" s="559"/>
      <c r="Y107" s="559"/>
      <c r="Z107" s="559"/>
      <c r="AA107" s="559"/>
      <c r="AB107" s="559"/>
      <c r="AC107" s="559"/>
      <c r="AD107" s="559"/>
      <c r="AE107" s="559"/>
      <c r="AF107" s="559"/>
      <c r="AG107" s="559"/>
      <c r="AH107" s="559"/>
      <c r="AI107" s="559"/>
      <c r="AJ107" s="559"/>
      <c r="AK107" s="559"/>
      <c r="AL107" s="559"/>
      <c r="AM107" s="559"/>
      <c r="AN107" s="559"/>
    </row>
    <row r="108">
      <c r="A108" s="559"/>
      <c r="B108" s="559"/>
      <c r="C108" s="559"/>
      <c r="D108" s="559"/>
      <c r="E108" s="559"/>
      <c r="F108" s="559"/>
      <c r="G108" s="559"/>
      <c r="H108" s="559"/>
      <c r="I108" s="559"/>
      <c r="J108" s="559"/>
      <c r="K108" s="559"/>
      <c r="L108" s="559"/>
      <c r="M108" s="559"/>
      <c r="N108" s="559"/>
      <c r="O108" s="559"/>
      <c r="P108" s="559"/>
      <c r="Q108" s="559"/>
      <c r="R108" s="559"/>
      <c r="S108" s="559"/>
      <c r="T108" s="559"/>
      <c r="U108" s="559"/>
      <c r="V108" s="559"/>
      <c r="W108" s="559"/>
      <c r="X108" s="559"/>
      <c r="Y108" s="559"/>
      <c r="Z108" s="559"/>
      <c r="AA108" s="559"/>
      <c r="AB108" s="559"/>
      <c r="AC108" s="559"/>
      <c r="AD108" s="559"/>
      <c r="AE108" s="559"/>
      <c r="AF108" s="559"/>
      <c r="AG108" s="559"/>
      <c r="AH108" s="559"/>
      <c r="AI108" s="559"/>
      <c r="AJ108" s="559"/>
      <c r="AK108" s="559"/>
      <c r="AL108" s="559"/>
      <c r="AM108" s="559"/>
      <c r="AN108" s="559"/>
    </row>
    <row r="109">
      <c r="A109" s="559"/>
      <c r="B109" s="559"/>
      <c r="C109" s="559"/>
      <c r="D109" s="559"/>
      <c r="E109" s="559"/>
      <c r="F109" s="559"/>
      <c r="G109" s="559"/>
      <c r="H109" s="559"/>
      <c r="I109" s="559"/>
      <c r="J109" s="559"/>
      <c r="K109" s="559"/>
      <c r="L109" s="559"/>
      <c r="M109" s="559"/>
      <c r="N109" s="559"/>
      <c r="O109" s="559"/>
      <c r="P109" s="559"/>
      <c r="Q109" s="559"/>
      <c r="R109" s="559"/>
      <c r="S109" s="559"/>
      <c r="T109" s="559"/>
      <c r="U109" s="559"/>
      <c r="V109" s="559"/>
      <c r="W109" s="559"/>
      <c r="X109" s="559"/>
      <c r="Y109" s="559"/>
      <c r="Z109" s="559"/>
      <c r="AA109" s="559"/>
      <c r="AB109" s="559"/>
      <c r="AC109" s="559"/>
      <c r="AD109" s="559"/>
      <c r="AE109" s="559"/>
      <c r="AF109" s="559"/>
      <c r="AG109" s="559"/>
      <c r="AH109" s="559"/>
      <c r="AI109" s="559"/>
      <c r="AJ109" s="559"/>
      <c r="AK109" s="559"/>
      <c r="AL109" s="559"/>
      <c r="AM109" s="559"/>
      <c r="AN109" s="559"/>
    </row>
    <row r="110">
      <c r="A110" s="559"/>
      <c r="B110" s="559"/>
      <c r="C110" s="559"/>
      <c r="D110" s="559"/>
      <c r="E110" s="559"/>
      <c r="F110" s="559"/>
      <c r="G110" s="559"/>
      <c r="H110" s="559"/>
      <c r="I110" s="559"/>
      <c r="J110" s="559"/>
      <c r="K110" s="559"/>
      <c r="L110" s="559"/>
      <c r="M110" s="559"/>
      <c r="N110" s="559"/>
      <c r="O110" s="559"/>
      <c r="P110" s="559"/>
      <c r="Q110" s="559"/>
      <c r="R110" s="559"/>
      <c r="S110" s="559"/>
      <c r="T110" s="559"/>
      <c r="U110" s="559"/>
      <c r="V110" s="559"/>
      <c r="W110" s="559"/>
      <c r="X110" s="559"/>
      <c r="Y110" s="559"/>
      <c r="Z110" s="559"/>
      <c r="AA110" s="559"/>
      <c r="AB110" s="559"/>
      <c r="AC110" s="559"/>
      <c r="AD110" s="559"/>
      <c r="AE110" s="559"/>
      <c r="AF110" s="559"/>
      <c r="AG110" s="559"/>
      <c r="AH110" s="559"/>
      <c r="AI110" s="559"/>
      <c r="AJ110" s="559"/>
      <c r="AK110" s="559"/>
      <c r="AL110" s="559"/>
      <c r="AM110" s="559"/>
      <c r="AN110" s="559"/>
    </row>
    <row r="111">
      <c r="A111" s="559"/>
      <c r="B111" s="559"/>
      <c r="C111" s="559"/>
      <c r="D111" s="559"/>
      <c r="E111" s="559"/>
      <c r="F111" s="559"/>
      <c r="G111" s="559"/>
      <c r="H111" s="559"/>
      <c r="I111" s="559"/>
      <c r="J111" s="559"/>
      <c r="K111" s="559"/>
      <c r="L111" s="559"/>
      <c r="M111" s="559"/>
      <c r="N111" s="559"/>
      <c r="O111" s="559"/>
      <c r="P111" s="559"/>
      <c r="Q111" s="559"/>
      <c r="R111" s="559"/>
      <c r="S111" s="559"/>
      <c r="T111" s="559"/>
      <c r="U111" s="559"/>
      <c r="V111" s="559"/>
      <c r="W111" s="559"/>
      <c r="X111" s="559"/>
      <c r="Y111" s="559"/>
      <c r="Z111" s="559"/>
      <c r="AA111" s="559"/>
      <c r="AB111" s="559"/>
      <c r="AC111" s="559"/>
      <c r="AD111" s="559"/>
      <c r="AE111" s="559"/>
      <c r="AF111" s="559"/>
      <c r="AG111" s="559"/>
      <c r="AH111" s="559"/>
      <c r="AI111" s="559"/>
      <c r="AJ111" s="559"/>
      <c r="AK111" s="559"/>
      <c r="AL111" s="559"/>
      <c r="AM111" s="559"/>
      <c r="AN111" s="559"/>
    </row>
    <row r="112">
      <c r="A112" s="559"/>
      <c r="B112" s="559"/>
      <c r="C112" s="559"/>
      <c r="D112" s="559"/>
      <c r="E112" s="559"/>
      <c r="F112" s="559"/>
      <c r="G112" s="559"/>
      <c r="H112" s="559"/>
      <c r="I112" s="559"/>
      <c r="J112" s="559"/>
      <c r="K112" s="559"/>
      <c r="L112" s="559"/>
      <c r="M112" s="559"/>
      <c r="N112" s="559"/>
      <c r="O112" s="559"/>
      <c r="P112" s="559"/>
      <c r="Q112" s="559"/>
      <c r="R112" s="559"/>
      <c r="S112" s="559"/>
      <c r="T112" s="559"/>
      <c r="U112" s="559"/>
      <c r="V112" s="559"/>
      <c r="W112" s="559"/>
      <c r="X112" s="559"/>
      <c r="Y112" s="559"/>
      <c r="Z112" s="559"/>
      <c r="AA112" s="559"/>
      <c r="AB112" s="559"/>
      <c r="AC112" s="559"/>
      <c r="AD112" s="559"/>
      <c r="AE112" s="559"/>
      <c r="AF112" s="559"/>
      <c r="AG112" s="559"/>
      <c r="AH112" s="559"/>
      <c r="AI112" s="559"/>
      <c r="AJ112" s="559"/>
      <c r="AK112" s="559"/>
      <c r="AL112" s="559"/>
      <c r="AM112" s="559"/>
      <c r="AN112" s="559"/>
    </row>
    <row r="113">
      <c r="A113" s="559"/>
      <c r="B113" s="559"/>
      <c r="C113" s="559"/>
      <c r="D113" s="559"/>
      <c r="E113" s="559"/>
      <c r="F113" s="559"/>
      <c r="G113" s="559"/>
      <c r="H113" s="559"/>
      <c r="I113" s="559"/>
      <c r="J113" s="559"/>
      <c r="K113" s="559"/>
      <c r="L113" s="559"/>
      <c r="M113" s="559"/>
      <c r="N113" s="559"/>
      <c r="O113" s="559"/>
      <c r="P113" s="559"/>
      <c r="Q113" s="559"/>
      <c r="R113" s="559"/>
      <c r="S113" s="559"/>
      <c r="T113" s="559"/>
      <c r="U113" s="559"/>
      <c r="V113" s="559"/>
      <c r="W113" s="559"/>
      <c r="X113" s="559"/>
      <c r="Y113" s="559"/>
      <c r="Z113" s="559"/>
      <c r="AA113" s="559"/>
      <c r="AB113" s="559"/>
      <c r="AC113" s="559"/>
      <c r="AD113" s="559"/>
      <c r="AE113" s="559"/>
      <c r="AF113" s="559"/>
      <c r="AG113" s="559"/>
      <c r="AH113" s="559"/>
      <c r="AI113" s="559"/>
      <c r="AJ113" s="559"/>
      <c r="AK113" s="559"/>
      <c r="AL113" s="559"/>
      <c r="AM113" s="559"/>
      <c r="AN113" s="559"/>
    </row>
    <row r="114">
      <c r="A114" s="559"/>
      <c r="B114" s="559"/>
      <c r="C114" s="559"/>
      <c r="D114" s="559"/>
      <c r="E114" s="559"/>
      <c r="F114" s="559"/>
      <c r="G114" s="559"/>
      <c r="H114" s="559"/>
      <c r="I114" s="559"/>
      <c r="J114" s="559"/>
      <c r="K114" s="559"/>
      <c r="L114" s="559"/>
      <c r="M114" s="559"/>
      <c r="N114" s="559"/>
      <c r="O114" s="559"/>
      <c r="P114" s="559"/>
      <c r="Q114" s="559"/>
      <c r="R114" s="559"/>
      <c r="S114" s="559"/>
      <c r="T114" s="559"/>
      <c r="U114" s="559"/>
      <c r="V114" s="559"/>
      <c r="W114" s="559"/>
      <c r="X114" s="559"/>
      <c r="Y114" s="559"/>
      <c r="Z114" s="559"/>
      <c r="AA114" s="559"/>
      <c r="AB114" s="559"/>
      <c r="AC114" s="559"/>
      <c r="AD114" s="559"/>
      <c r="AE114" s="559"/>
      <c r="AF114" s="559"/>
      <c r="AG114" s="559"/>
      <c r="AH114" s="559"/>
      <c r="AI114" s="559"/>
      <c r="AJ114" s="559"/>
      <c r="AK114" s="559"/>
      <c r="AL114" s="559"/>
      <c r="AM114" s="559"/>
      <c r="AN114" s="559"/>
    </row>
    <row r="115">
      <c r="A115" s="559"/>
      <c r="B115" s="559"/>
      <c r="C115" s="559"/>
      <c r="D115" s="559"/>
      <c r="E115" s="559"/>
      <c r="F115" s="559"/>
      <c r="G115" s="559"/>
      <c r="H115" s="559"/>
      <c r="I115" s="559"/>
      <c r="J115" s="559"/>
      <c r="K115" s="559"/>
      <c r="L115" s="559"/>
      <c r="M115" s="559"/>
      <c r="N115" s="559"/>
      <c r="O115" s="559"/>
      <c r="P115" s="559"/>
      <c r="Q115" s="559"/>
      <c r="R115" s="559"/>
      <c r="S115" s="559"/>
      <c r="T115" s="559"/>
      <c r="U115" s="559"/>
      <c r="V115" s="559"/>
      <c r="W115" s="559"/>
      <c r="X115" s="559"/>
      <c r="Y115" s="559"/>
      <c r="Z115" s="559"/>
      <c r="AA115" s="559"/>
      <c r="AB115" s="559"/>
      <c r="AC115" s="559"/>
      <c r="AD115" s="559"/>
      <c r="AE115" s="559"/>
      <c r="AF115" s="559"/>
      <c r="AG115" s="559"/>
      <c r="AH115" s="559"/>
      <c r="AI115" s="559"/>
      <c r="AJ115" s="559"/>
      <c r="AK115" s="559"/>
      <c r="AL115" s="559"/>
      <c r="AM115" s="559"/>
      <c r="AN115" s="559"/>
    </row>
    <row r="116">
      <c r="A116" s="559"/>
      <c r="B116" s="559"/>
      <c r="C116" s="559"/>
      <c r="D116" s="559"/>
      <c r="E116" s="559"/>
      <c r="F116" s="559"/>
      <c r="G116" s="559"/>
      <c r="H116" s="559"/>
      <c r="I116" s="559"/>
      <c r="J116" s="559"/>
      <c r="K116" s="559"/>
      <c r="L116" s="559"/>
      <c r="M116" s="559"/>
      <c r="N116" s="559"/>
      <c r="O116" s="559"/>
      <c r="P116" s="559"/>
      <c r="Q116" s="559"/>
      <c r="R116" s="559"/>
      <c r="S116" s="559"/>
      <c r="T116" s="559"/>
      <c r="U116" s="559"/>
      <c r="V116" s="559"/>
      <c r="W116" s="559"/>
      <c r="X116" s="559"/>
      <c r="Y116" s="559"/>
      <c r="Z116" s="559"/>
      <c r="AA116" s="559"/>
      <c r="AB116" s="559"/>
      <c r="AC116" s="559"/>
      <c r="AD116" s="559"/>
      <c r="AE116" s="559"/>
      <c r="AF116" s="559"/>
      <c r="AG116" s="559"/>
      <c r="AH116" s="559"/>
      <c r="AI116" s="559"/>
      <c r="AJ116" s="559"/>
      <c r="AK116" s="559"/>
      <c r="AL116" s="559"/>
      <c r="AM116" s="559"/>
      <c r="AN116" s="559"/>
    </row>
    <row r="117">
      <c r="A117" s="559"/>
      <c r="B117" s="559"/>
      <c r="C117" s="559"/>
      <c r="D117" s="559"/>
      <c r="E117" s="559"/>
      <c r="F117" s="559"/>
      <c r="G117" s="559"/>
      <c r="H117" s="559"/>
      <c r="I117" s="559"/>
      <c r="J117" s="559"/>
      <c r="K117" s="559"/>
      <c r="L117" s="559"/>
      <c r="M117" s="559"/>
      <c r="N117" s="559"/>
      <c r="O117" s="559"/>
      <c r="P117" s="559"/>
      <c r="Q117" s="559"/>
      <c r="R117" s="559"/>
      <c r="S117" s="559"/>
      <c r="T117" s="559"/>
      <c r="U117" s="559"/>
      <c r="V117" s="559"/>
      <c r="W117" s="559"/>
      <c r="X117" s="559"/>
      <c r="Y117" s="559"/>
      <c r="Z117" s="559"/>
      <c r="AA117" s="559"/>
      <c r="AB117" s="559"/>
      <c r="AC117" s="559"/>
      <c r="AD117" s="559"/>
      <c r="AE117" s="559"/>
      <c r="AF117" s="559"/>
      <c r="AG117" s="559"/>
      <c r="AH117" s="559"/>
      <c r="AI117" s="559"/>
      <c r="AJ117" s="559"/>
      <c r="AK117" s="559"/>
      <c r="AL117" s="559"/>
      <c r="AM117" s="559"/>
      <c r="AN117" s="559"/>
    </row>
    <row r="118">
      <c r="A118" s="559"/>
      <c r="B118" s="559"/>
      <c r="C118" s="559"/>
      <c r="D118" s="559"/>
      <c r="E118" s="559"/>
      <c r="F118" s="559"/>
      <c r="G118" s="559"/>
      <c r="H118" s="559"/>
      <c r="I118" s="559"/>
      <c r="J118" s="559"/>
      <c r="K118" s="559"/>
      <c r="L118" s="559"/>
      <c r="M118" s="559"/>
      <c r="N118" s="559"/>
      <c r="O118" s="559"/>
      <c r="P118" s="559"/>
      <c r="Q118" s="559"/>
      <c r="R118" s="559"/>
      <c r="S118" s="559"/>
      <c r="T118" s="559"/>
      <c r="U118" s="559"/>
      <c r="V118" s="559"/>
      <c r="W118" s="559"/>
      <c r="X118" s="559"/>
      <c r="Y118" s="559"/>
      <c r="Z118" s="559"/>
      <c r="AA118" s="559"/>
      <c r="AB118" s="559"/>
      <c r="AC118" s="559"/>
      <c r="AD118" s="559"/>
      <c r="AE118" s="559"/>
      <c r="AF118" s="559"/>
      <c r="AG118" s="559"/>
      <c r="AH118" s="559"/>
      <c r="AI118" s="559"/>
      <c r="AJ118" s="559"/>
      <c r="AK118" s="559"/>
      <c r="AL118" s="559"/>
      <c r="AM118" s="559"/>
      <c r="AN118" s="559"/>
    </row>
    <row r="119">
      <c r="A119" s="559"/>
      <c r="B119" s="559"/>
      <c r="C119" s="559"/>
      <c r="D119" s="559"/>
      <c r="E119" s="559"/>
      <c r="F119" s="559"/>
      <c r="G119" s="559"/>
      <c r="H119" s="559"/>
      <c r="I119" s="559"/>
      <c r="J119" s="559"/>
      <c r="K119" s="559"/>
      <c r="L119" s="559"/>
      <c r="M119" s="559"/>
      <c r="N119" s="559"/>
      <c r="O119" s="559"/>
      <c r="P119" s="559"/>
      <c r="Q119" s="559"/>
      <c r="R119" s="559"/>
      <c r="S119" s="559"/>
      <c r="T119" s="559"/>
      <c r="U119" s="559"/>
      <c r="V119" s="559"/>
      <c r="W119" s="559"/>
      <c r="X119" s="559"/>
      <c r="Y119" s="559"/>
      <c r="Z119" s="559"/>
      <c r="AA119" s="559"/>
      <c r="AB119" s="559"/>
      <c r="AC119" s="559"/>
      <c r="AD119" s="559"/>
      <c r="AE119" s="559"/>
      <c r="AF119" s="559"/>
      <c r="AG119" s="559"/>
      <c r="AH119" s="559"/>
      <c r="AI119" s="559"/>
      <c r="AJ119" s="559"/>
      <c r="AK119" s="559"/>
      <c r="AL119" s="559"/>
      <c r="AM119" s="559"/>
      <c r="AN119" s="559"/>
    </row>
    <row r="120">
      <c r="A120" s="559"/>
      <c r="B120" s="559"/>
      <c r="C120" s="559"/>
      <c r="D120" s="559"/>
      <c r="E120" s="559"/>
      <c r="F120" s="559"/>
      <c r="G120" s="559"/>
      <c r="H120" s="559"/>
      <c r="I120" s="559"/>
      <c r="J120" s="559"/>
      <c r="K120" s="559"/>
      <c r="L120" s="559"/>
      <c r="M120" s="559"/>
      <c r="N120" s="559"/>
      <c r="O120" s="559"/>
      <c r="P120" s="559"/>
      <c r="Q120" s="559"/>
      <c r="R120" s="559"/>
      <c r="S120" s="559"/>
      <c r="T120" s="559"/>
      <c r="U120" s="559"/>
      <c r="V120" s="559"/>
      <c r="W120" s="559"/>
      <c r="X120" s="559"/>
      <c r="Y120" s="559"/>
      <c r="Z120" s="559"/>
      <c r="AA120" s="559"/>
      <c r="AB120" s="559"/>
      <c r="AC120" s="559"/>
      <c r="AD120" s="559"/>
      <c r="AE120" s="559"/>
      <c r="AF120" s="559"/>
      <c r="AG120" s="559"/>
      <c r="AH120" s="559"/>
      <c r="AI120" s="559"/>
      <c r="AJ120" s="559"/>
      <c r="AK120" s="559"/>
      <c r="AL120" s="559"/>
      <c r="AM120" s="559"/>
      <c r="AN120" s="559"/>
    </row>
    <row r="121">
      <c r="A121" s="559"/>
      <c r="B121" s="559"/>
      <c r="C121" s="559"/>
      <c r="D121" s="559"/>
      <c r="E121" s="559"/>
      <c r="F121" s="559"/>
      <c r="G121" s="559"/>
      <c r="H121" s="559"/>
      <c r="I121" s="559"/>
      <c r="J121" s="559"/>
      <c r="K121" s="559"/>
      <c r="L121" s="559"/>
      <c r="M121" s="559"/>
      <c r="N121" s="559"/>
      <c r="O121" s="559"/>
      <c r="P121" s="559"/>
      <c r="Q121" s="559"/>
      <c r="R121" s="559"/>
      <c r="S121" s="559"/>
      <c r="T121" s="559"/>
      <c r="U121" s="559"/>
      <c r="V121" s="559"/>
      <c r="W121" s="559"/>
      <c r="X121" s="559"/>
      <c r="Y121" s="559"/>
      <c r="Z121" s="559"/>
      <c r="AA121" s="559"/>
      <c r="AB121" s="559"/>
      <c r="AC121" s="559"/>
      <c r="AD121" s="559"/>
      <c r="AE121" s="559"/>
      <c r="AF121" s="559"/>
      <c r="AG121" s="559"/>
      <c r="AH121" s="559"/>
      <c r="AI121" s="559"/>
      <c r="AJ121" s="559"/>
      <c r="AK121" s="559"/>
      <c r="AL121" s="559"/>
      <c r="AM121" s="559"/>
      <c r="AN121" s="559"/>
    </row>
    <row r="122">
      <c r="A122" s="559"/>
      <c r="B122" s="559"/>
      <c r="C122" s="559"/>
      <c r="D122" s="559"/>
      <c r="E122" s="559"/>
      <c r="F122" s="559"/>
      <c r="G122" s="559"/>
      <c r="H122" s="559"/>
      <c r="I122" s="559"/>
      <c r="J122" s="559"/>
      <c r="K122" s="559"/>
      <c r="L122" s="559"/>
      <c r="M122" s="559"/>
      <c r="N122" s="559"/>
      <c r="O122" s="559"/>
      <c r="P122" s="559"/>
      <c r="Q122" s="559"/>
      <c r="R122" s="559"/>
      <c r="S122" s="559"/>
      <c r="T122" s="559"/>
      <c r="U122" s="559"/>
      <c r="V122" s="559"/>
      <c r="W122" s="559"/>
      <c r="X122" s="559"/>
      <c r="Y122" s="559"/>
      <c r="Z122" s="559"/>
      <c r="AA122" s="559"/>
      <c r="AB122" s="559"/>
      <c r="AC122" s="559"/>
      <c r="AD122" s="559"/>
      <c r="AE122" s="559"/>
      <c r="AF122" s="559"/>
      <c r="AG122" s="559"/>
      <c r="AH122" s="559"/>
      <c r="AI122" s="559"/>
      <c r="AJ122" s="559"/>
      <c r="AK122" s="559"/>
      <c r="AL122" s="559"/>
      <c r="AM122" s="559"/>
      <c r="AN122" s="559"/>
    </row>
    <row r="123">
      <c r="A123" s="559"/>
      <c r="B123" s="559"/>
      <c r="C123" s="559"/>
      <c r="D123" s="559"/>
      <c r="E123" s="559"/>
      <c r="F123" s="559"/>
      <c r="G123" s="559"/>
      <c r="H123" s="559"/>
      <c r="I123" s="559"/>
      <c r="J123" s="559"/>
      <c r="K123" s="559"/>
      <c r="L123" s="559"/>
      <c r="M123" s="559"/>
      <c r="N123" s="559"/>
      <c r="O123" s="559"/>
      <c r="P123" s="559"/>
      <c r="Q123" s="559"/>
      <c r="R123" s="559"/>
      <c r="S123" s="559"/>
      <c r="T123" s="559"/>
      <c r="U123" s="559"/>
      <c r="V123" s="559"/>
      <c r="W123" s="559"/>
      <c r="X123" s="559"/>
      <c r="Y123" s="559"/>
      <c r="Z123" s="559"/>
      <c r="AA123" s="559"/>
      <c r="AB123" s="559"/>
      <c r="AC123" s="559"/>
      <c r="AD123" s="559"/>
      <c r="AE123" s="559"/>
      <c r="AF123" s="559"/>
      <c r="AG123" s="559"/>
      <c r="AH123" s="559"/>
      <c r="AI123" s="559"/>
      <c r="AJ123" s="559"/>
      <c r="AK123" s="559"/>
      <c r="AL123" s="559"/>
      <c r="AM123" s="559"/>
      <c r="AN123" s="559"/>
    </row>
    <row r="124">
      <c r="A124" s="559"/>
      <c r="B124" s="559"/>
      <c r="C124" s="559"/>
      <c r="D124" s="559"/>
      <c r="E124" s="559"/>
      <c r="F124" s="559"/>
      <c r="G124" s="559"/>
      <c r="H124" s="559"/>
      <c r="I124" s="559"/>
      <c r="J124" s="559"/>
      <c r="K124" s="559"/>
      <c r="L124" s="559"/>
      <c r="M124" s="559"/>
      <c r="N124" s="559"/>
      <c r="O124" s="559"/>
      <c r="P124" s="559"/>
      <c r="Q124" s="559"/>
      <c r="R124" s="559"/>
      <c r="S124" s="559"/>
      <c r="T124" s="559"/>
      <c r="U124" s="559"/>
      <c r="V124" s="559"/>
      <c r="W124" s="559"/>
      <c r="X124" s="559"/>
      <c r="Y124" s="559"/>
      <c r="Z124" s="559"/>
      <c r="AA124" s="559"/>
      <c r="AB124" s="559"/>
      <c r="AC124" s="559"/>
      <c r="AD124" s="559"/>
      <c r="AE124" s="559"/>
      <c r="AF124" s="559"/>
      <c r="AG124" s="559"/>
      <c r="AH124" s="559"/>
      <c r="AI124" s="559"/>
      <c r="AJ124" s="559"/>
      <c r="AK124" s="559"/>
      <c r="AL124" s="559"/>
      <c r="AM124" s="559"/>
      <c r="AN124" s="559"/>
    </row>
    <row r="125">
      <c r="A125" s="559"/>
      <c r="B125" s="559"/>
      <c r="C125" s="559"/>
      <c r="D125" s="559"/>
      <c r="E125" s="559"/>
      <c r="F125" s="559"/>
      <c r="G125" s="559"/>
      <c r="H125" s="559"/>
      <c r="I125" s="559"/>
      <c r="J125" s="559"/>
      <c r="K125" s="559"/>
      <c r="L125" s="559"/>
      <c r="M125" s="559"/>
      <c r="N125" s="559"/>
      <c r="O125" s="559"/>
      <c r="P125" s="559"/>
      <c r="Q125" s="559"/>
      <c r="R125" s="559"/>
      <c r="S125" s="559"/>
      <c r="T125" s="559"/>
      <c r="U125" s="559"/>
      <c r="V125" s="559"/>
      <c r="W125" s="559"/>
      <c r="X125" s="559"/>
      <c r="Y125" s="559"/>
      <c r="Z125" s="559"/>
      <c r="AA125" s="559"/>
      <c r="AB125" s="559"/>
      <c r="AC125" s="559"/>
      <c r="AD125" s="559"/>
      <c r="AE125" s="559"/>
      <c r="AF125" s="559"/>
      <c r="AG125" s="559"/>
      <c r="AH125" s="559"/>
      <c r="AI125" s="559"/>
      <c r="AJ125" s="559"/>
      <c r="AK125" s="559"/>
      <c r="AL125" s="559"/>
      <c r="AM125" s="559"/>
      <c r="AN125" s="559"/>
    </row>
    <row r="126">
      <c r="A126" s="559"/>
      <c r="B126" s="559"/>
      <c r="C126" s="559"/>
      <c r="D126" s="559"/>
      <c r="E126" s="559"/>
      <c r="F126" s="559"/>
      <c r="G126" s="559"/>
      <c r="H126" s="559"/>
      <c r="I126" s="559"/>
      <c r="J126" s="559"/>
      <c r="K126" s="559"/>
      <c r="L126" s="559"/>
      <c r="M126" s="559"/>
      <c r="N126" s="559"/>
      <c r="O126" s="559"/>
      <c r="P126" s="559"/>
      <c r="Q126" s="559"/>
      <c r="R126" s="559"/>
      <c r="S126" s="559"/>
      <c r="T126" s="559"/>
      <c r="U126" s="559"/>
      <c r="V126" s="559"/>
      <c r="W126" s="559"/>
      <c r="X126" s="559"/>
      <c r="Y126" s="559"/>
      <c r="Z126" s="559"/>
      <c r="AA126" s="559"/>
      <c r="AB126" s="559"/>
      <c r="AC126" s="559"/>
      <c r="AD126" s="559"/>
      <c r="AE126" s="559"/>
      <c r="AF126" s="559"/>
      <c r="AG126" s="559"/>
      <c r="AH126" s="559"/>
      <c r="AI126" s="559"/>
      <c r="AJ126" s="559"/>
      <c r="AK126" s="559"/>
      <c r="AL126" s="559"/>
      <c r="AM126" s="559"/>
      <c r="AN126" s="559"/>
    </row>
    <row r="127">
      <c r="A127" s="559"/>
      <c r="B127" s="559"/>
      <c r="C127" s="559"/>
      <c r="D127" s="559"/>
      <c r="E127" s="559"/>
      <c r="F127" s="559"/>
      <c r="G127" s="559"/>
      <c r="H127" s="559"/>
      <c r="I127" s="559"/>
      <c r="J127" s="559"/>
      <c r="K127" s="559"/>
      <c r="L127" s="559"/>
      <c r="M127" s="559"/>
      <c r="N127" s="559"/>
      <c r="O127" s="559"/>
      <c r="P127" s="559"/>
      <c r="Q127" s="559"/>
      <c r="R127" s="559"/>
      <c r="S127" s="559"/>
      <c r="T127" s="559"/>
      <c r="U127" s="559"/>
      <c r="V127" s="559"/>
      <c r="W127" s="559"/>
      <c r="X127" s="559"/>
      <c r="Y127" s="559"/>
      <c r="Z127" s="559"/>
      <c r="AA127" s="559"/>
      <c r="AB127" s="559"/>
      <c r="AC127" s="559"/>
      <c r="AD127" s="559"/>
      <c r="AE127" s="559"/>
      <c r="AF127" s="559"/>
      <c r="AG127" s="559"/>
      <c r="AH127" s="559"/>
      <c r="AI127" s="559"/>
      <c r="AJ127" s="559"/>
      <c r="AK127" s="559"/>
      <c r="AL127" s="559"/>
      <c r="AM127" s="559"/>
      <c r="AN127" s="559"/>
    </row>
    <row r="128">
      <c r="A128" s="559"/>
      <c r="B128" s="559"/>
      <c r="C128" s="559"/>
      <c r="D128" s="559"/>
      <c r="E128" s="559"/>
      <c r="F128" s="559"/>
      <c r="G128" s="559"/>
      <c r="H128" s="559"/>
      <c r="I128" s="559"/>
      <c r="J128" s="559"/>
      <c r="K128" s="559"/>
      <c r="L128" s="559"/>
      <c r="M128" s="559"/>
      <c r="N128" s="559"/>
      <c r="O128" s="559"/>
      <c r="P128" s="559"/>
      <c r="Q128" s="559"/>
      <c r="R128" s="559"/>
      <c r="S128" s="559"/>
      <c r="T128" s="559"/>
      <c r="U128" s="559"/>
      <c r="V128" s="559"/>
      <c r="W128" s="559"/>
      <c r="X128" s="559"/>
      <c r="Y128" s="559"/>
      <c r="Z128" s="559"/>
      <c r="AA128" s="559"/>
      <c r="AB128" s="559"/>
      <c r="AC128" s="559"/>
      <c r="AD128" s="559"/>
      <c r="AE128" s="559"/>
      <c r="AF128" s="559"/>
      <c r="AG128" s="559"/>
      <c r="AH128" s="559"/>
      <c r="AI128" s="559"/>
      <c r="AJ128" s="559"/>
      <c r="AK128" s="559"/>
      <c r="AL128" s="559"/>
      <c r="AM128" s="559"/>
      <c r="AN128" s="559"/>
    </row>
    <row r="129">
      <c r="A129" s="559"/>
      <c r="B129" s="559"/>
      <c r="C129" s="559"/>
      <c r="D129" s="559"/>
      <c r="E129" s="559"/>
      <c r="F129" s="559"/>
      <c r="G129" s="559"/>
      <c r="H129" s="559"/>
      <c r="I129" s="559"/>
      <c r="J129" s="559"/>
      <c r="K129" s="559"/>
      <c r="L129" s="559"/>
      <c r="M129" s="559"/>
      <c r="N129" s="559"/>
      <c r="O129" s="559"/>
      <c r="P129" s="559"/>
      <c r="Q129" s="559"/>
      <c r="R129" s="559"/>
      <c r="S129" s="559"/>
      <c r="T129" s="559"/>
      <c r="U129" s="559"/>
      <c r="V129" s="559"/>
      <c r="W129" s="559"/>
      <c r="X129" s="559"/>
      <c r="Y129" s="559"/>
      <c r="Z129" s="559"/>
      <c r="AA129" s="559"/>
      <c r="AB129" s="559"/>
      <c r="AC129" s="559"/>
      <c r="AD129" s="559"/>
      <c r="AE129" s="559"/>
      <c r="AF129" s="559"/>
      <c r="AG129" s="559"/>
      <c r="AH129" s="559"/>
      <c r="AI129" s="559"/>
      <c r="AJ129" s="559"/>
      <c r="AK129" s="559"/>
      <c r="AL129" s="559"/>
      <c r="AM129" s="559"/>
      <c r="AN129" s="559"/>
    </row>
    <row r="130">
      <c r="A130" s="559"/>
      <c r="B130" s="559"/>
      <c r="C130" s="559"/>
      <c r="D130" s="559"/>
      <c r="E130" s="559"/>
      <c r="F130" s="559"/>
      <c r="G130" s="559"/>
      <c r="H130" s="559"/>
      <c r="I130" s="559"/>
      <c r="J130" s="559"/>
      <c r="K130" s="559"/>
      <c r="L130" s="559"/>
      <c r="M130" s="559"/>
      <c r="N130" s="559"/>
      <c r="O130" s="559"/>
      <c r="P130" s="559"/>
      <c r="Q130" s="559"/>
      <c r="R130" s="559"/>
      <c r="S130" s="559"/>
      <c r="T130" s="559"/>
      <c r="U130" s="559"/>
      <c r="V130" s="559"/>
      <c r="W130" s="559"/>
      <c r="X130" s="559"/>
      <c r="Y130" s="559"/>
      <c r="Z130" s="559"/>
      <c r="AA130" s="559"/>
      <c r="AB130" s="559"/>
      <c r="AC130" s="559"/>
      <c r="AD130" s="559"/>
      <c r="AE130" s="559"/>
      <c r="AF130" s="559"/>
      <c r="AG130" s="559"/>
      <c r="AH130" s="559"/>
      <c r="AI130" s="559"/>
      <c r="AJ130" s="559"/>
      <c r="AK130" s="559"/>
      <c r="AL130" s="559"/>
      <c r="AM130" s="559"/>
      <c r="AN130" s="559"/>
    </row>
    <row r="131">
      <c r="A131" s="559"/>
      <c r="B131" s="559"/>
      <c r="C131" s="559"/>
      <c r="D131" s="559"/>
      <c r="E131" s="559"/>
      <c r="F131" s="559"/>
      <c r="G131" s="559"/>
      <c r="H131" s="559"/>
      <c r="I131" s="559"/>
      <c r="J131" s="559"/>
      <c r="K131" s="559"/>
      <c r="L131" s="559"/>
      <c r="M131" s="559"/>
      <c r="N131" s="559"/>
      <c r="O131" s="559"/>
      <c r="P131" s="559"/>
      <c r="Q131" s="559"/>
      <c r="R131" s="559"/>
      <c r="S131" s="559"/>
      <c r="T131" s="559"/>
      <c r="U131" s="559"/>
      <c r="V131" s="559"/>
      <c r="W131" s="559"/>
      <c r="X131" s="559"/>
      <c r="Y131" s="559"/>
      <c r="Z131" s="559"/>
      <c r="AA131" s="559"/>
      <c r="AB131" s="559"/>
      <c r="AC131" s="559"/>
      <c r="AD131" s="559"/>
      <c r="AE131" s="559"/>
      <c r="AF131" s="559"/>
      <c r="AG131" s="559"/>
      <c r="AH131" s="559"/>
      <c r="AI131" s="559"/>
      <c r="AJ131" s="559"/>
      <c r="AK131" s="559"/>
      <c r="AL131" s="559"/>
      <c r="AM131" s="559"/>
      <c r="AN131" s="559"/>
    </row>
    <row r="132">
      <c r="A132" s="559"/>
      <c r="B132" s="559"/>
      <c r="C132" s="559"/>
      <c r="D132" s="559"/>
      <c r="E132" s="559"/>
      <c r="F132" s="559"/>
      <c r="G132" s="559"/>
      <c r="H132" s="559"/>
      <c r="I132" s="559"/>
      <c r="J132" s="559"/>
      <c r="K132" s="559"/>
      <c r="L132" s="559"/>
      <c r="M132" s="559"/>
      <c r="N132" s="559"/>
      <c r="O132" s="559"/>
      <c r="P132" s="559"/>
      <c r="Q132" s="559"/>
      <c r="R132" s="559"/>
      <c r="S132" s="559"/>
      <c r="T132" s="559"/>
      <c r="U132" s="559"/>
      <c r="V132" s="559"/>
      <c r="W132" s="559"/>
      <c r="X132" s="559"/>
      <c r="Y132" s="559"/>
      <c r="Z132" s="559"/>
      <c r="AA132" s="559"/>
      <c r="AB132" s="559"/>
      <c r="AC132" s="559"/>
      <c r="AD132" s="559"/>
      <c r="AE132" s="559"/>
      <c r="AF132" s="559"/>
      <c r="AG132" s="559"/>
      <c r="AH132" s="559"/>
      <c r="AI132" s="559"/>
      <c r="AJ132" s="559"/>
      <c r="AK132" s="559"/>
      <c r="AL132" s="559"/>
      <c r="AM132" s="559"/>
      <c r="AN132" s="559"/>
    </row>
    <row r="133">
      <c r="A133" s="559"/>
      <c r="B133" s="559"/>
      <c r="C133" s="559"/>
      <c r="D133" s="559"/>
      <c r="E133" s="559"/>
      <c r="F133" s="559"/>
      <c r="G133" s="559"/>
      <c r="H133" s="559"/>
      <c r="I133" s="559"/>
      <c r="J133" s="559"/>
      <c r="K133" s="559"/>
      <c r="L133" s="559"/>
      <c r="M133" s="559"/>
      <c r="N133" s="559"/>
      <c r="O133" s="559"/>
      <c r="P133" s="559"/>
      <c r="Q133" s="559"/>
      <c r="R133" s="559"/>
      <c r="S133" s="559"/>
      <c r="T133" s="559"/>
      <c r="U133" s="559"/>
      <c r="V133" s="559"/>
      <c r="W133" s="559"/>
      <c r="X133" s="559"/>
      <c r="Y133" s="559"/>
      <c r="Z133" s="559"/>
      <c r="AA133" s="559"/>
      <c r="AB133" s="559"/>
      <c r="AC133" s="559"/>
      <c r="AD133" s="559"/>
      <c r="AE133" s="559"/>
      <c r="AF133" s="559"/>
      <c r="AG133" s="559"/>
      <c r="AH133" s="559"/>
      <c r="AI133" s="559"/>
      <c r="AJ133" s="559"/>
      <c r="AK133" s="559"/>
      <c r="AL133" s="559"/>
      <c r="AM133" s="559"/>
      <c r="AN133" s="559"/>
    </row>
    <row r="134">
      <c r="A134" s="559"/>
      <c r="B134" s="559"/>
      <c r="C134" s="559"/>
      <c r="D134" s="559"/>
      <c r="E134" s="559"/>
      <c r="F134" s="559"/>
      <c r="G134" s="559"/>
      <c r="H134" s="559"/>
      <c r="I134" s="559"/>
      <c r="J134" s="559"/>
      <c r="K134" s="559"/>
      <c r="L134" s="559"/>
      <c r="M134" s="559"/>
      <c r="N134" s="559"/>
      <c r="O134" s="559"/>
      <c r="P134" s="559"/>
      <c r="Q134" s="559"/>
      <c r="R134" s="559"/>
      <c r="S134" s="559"/>
      <c r="T134" s="559"/>
      <c r="U134" s="559"/>
      <c r="V134" s="559"/>
      <c r="W134" s="559"/>
      <c r="X134" s="559"/>
      <c r="Y134" s="559"/>
      <c r="Z134" s="559"/>
      <c r="AA134" s="559"/>
      <c r="AB134" s="559"/>
      <c r="AC134" s="559"/>
      <c r="AD134" s="559"/>
      <c r="AE134" s="559"/>
      <c r="AF134" s="559"/>
      <c r="AG134" s="559"/>
      <c r="AH134" s="559"/>
      <c r="AI134" s="559"/>
      <c r="AJ134" s="559"/>
      <c r="AK134" s="559"/>
      <c r="AL134" s="559"/>
      <c r="AM134" s="559"/>
      <c r="AN134" s="559"/>
    </row>
    <row r="135">
      <c r="A135" s="559"/>
      <c r="B135" s="559"/>
      <c r="C135" s="559"/>
      <c r="D135" s="559"/>
      <c r="E135" s="559"/>
      <c r="F135" s="559"/>
      <c r="G135" s="559"/>
      <c r="H135" s="559"/>
      <c r="I135" s="559"/>
      <c r="J135" s="559"/>
      <c r="K135" s="559"/>
      <c r="L135" s="559"/>
      <c r="M135" s="559"/>
      <c r="N135" s="559"/>
      <c r="O135" s="559"/>
      <c r="P135" s="559"/>
      <c r="Q135" s="559"/>
      <c r="R135" s="559"/>
      <c r="S135" s="559"/>
      <c r="T135" s="559"/>
      <c r="U135" s="559"/>
      <c r="V135" s="559"/>
      <c r="W135" s="559"/>
      <c r="X135" s="559"/>
      <c r="Y135" s="559"/>
      <c r="Z135" s="559"/>
      <c r="AA135" s="559"/>
      <c r="AB135" s="559"/>
      <c r="AC135" s="559"/>
      <c r="AD135" s="559"/>
      <c r="AE135" s="559"/>
      <c r="AF135" s="559"/>
      <c r="AG135" s="559"/>
      <c r="AH135" s="559"/>
      <c r="AI135" s="559"/>
      <c r="AJ135" s="559"/>
      <c r="AK135" s="559"/>
      <c r="AL135" s="559"/>
      <c r="AM135" s="559"/>
      <c r="AN135" s="559"/>
    </row>
    <row r="136">
      <c r="A136" s="559"/>
      <c r="B136" s="559"/>
      <c r="C136" s="559"/>
      <c r="D136" s="559"/>
      <c r="E136" s="559"/>
      <c r="F136" s="559"/>
      <c r="G136" s="559"/>
      <c r="H136" s="559"/>
      <c r="I136" s="559"/>
      <c r="J136" s="559"/>
      <c r="K136" s="559"/>
      <c r="L136" s="559"/>
      <c r="M136" s="559"/>
      <c r="N136" s="559"/>
      <c r="O136" s="559"/>
      <c r="P136" s="559"/>
      <c r="Q136" s="559"/>
      <c r="R136" s="559"/>
      <c r="S136" s="559"/>
      <c r="T136" s="559"/>
      <c r="U136" s="559"/>
      <c r="V136" s="559"/>
      <c r="W136" s="559"/>
      <c r="X136" s="559"/>
      <c r="Y136" s="559"/>
      <c r="Z136" s="559"/>
      <c r="AA136" s="559"/>
      <c r="AB136" s="559"/>
      <c r="AC136" s="559"/>
      <c r="AD136" s="559"/>
      <c r="AE136" s="559"/>
      <c r="AF136" s="559"/>
      <c r="AG136" s="559"/>
      <c r="AH136" s="559"/>
      <c r="AI136" s="559"/>
      <c r="AJ136" s="559"/>
      <c r="AK136" s="559"/>
      <c r="AL136" s="559"/>
      <c r="AM136" s="559"/>
      <c r="AN136" s="559"/>
    </row>
    <row r="137">
      <c r="A137" s="559"/>
      <c r="B137" s="559"/>
      <c r="C137" s="559"/>
      <c r="D137" s="559"/>
      <c r="E137" s="559"/>
      <c r="F137" s="559"/>
      <c r="G137" s="559"/>
      <c r="H137" s="559"/>
      <c r="I137" s="559"/>
      <c r="J137" s="559"/>
      <c r="K137" s="559"/>
      <c r="L137" s="559"/>
      <c r="M137" s="559"/>
      <c r="N137" s="559"/>
      <c r="O137" s="559"/>
      <c r="P137" s="559"/>
      <c r="Q137" s="559"/>
      <c r="R137" s="559"/>
      <c r="S137" s="559"/>
      <c r="T137" s="559"/>
      <c r="U137" s="559"/>
      <c r="V137" s="559"/>
      <c r="W137" s="559"/>
      <c r="X137" s="559"/>
      <c r="Y137" s="559"/>
      <c r="Z137" s="559"/>
      <c r="AA137" s="559"/>
      <c r="AB137" s="559"/>
      <c r="AC137" s="559"/>
      <c r="AD137" s="559"/>
      <c r="AE137" s="559"/>
      <c r="AF137" s="559"/>
      <c r="AG137" s="559"/>
      <c r="AH137" s="559"/>
      <c r="AI137" s="559"/>
      <c r="AJ137" s="559"/>
      <c r="AK137" s="559"/>
      <c r="AL137" s="559"/>
      <c r="AM137" s="559"/>
      <c r="AN137" s="559"/>
    </row>
    <row r="138">
      <c r="A138" s="559"/>
      <c r="B138" s="559"/>
      <c r="C138" s="559"/>
      <c r="D138" s="559"/>
      <c r="E138" s="559"/>
      <c r="F138" s="559"/>
      <c r="G138" s="559"/>
      <c r="H138" s="559"/>
      <c r="I138" s="559"/>
      <c r="J138" s="559"/>
      <c r="K138" s="559"/>
      <c r="L138" s="559"/>
      <c r="M138" s="559"/>
      <c r="N138" s="559"/>
      <c r="O138" s="559"/>
      <c r="P138" s="559"/>
      <c r="Q138" s="559"/>
      <c r="R138" s="559"/>
      <c r="S138" s="559"/>
      <c r="T138" s="559"/>
      <c r="U138" s="559"/>
      <c r="V138" s="559"/>
      <c r="W138" s="559"/>
      <c r="X138" s="559"/>
      <c r="Y138" s="559"/>
      <c r="Z138" s="559"/>
      <c r="AA138" s="559"/>
      <c r="AB138" s="559"/>
      <c r="AC138" s="559"/>
      <c r="AD138" s="559"/>
      <c r="AE138" s="559"/>
      <c r="AF138" s="559"/>
      <c r="AG138" s="559"/>
      <c r="AH138" s="559"/>
      <c r="AI138" s="559"/>
      <c r="AJ138" s="559"/>
      <c r="AK138" s="559"/>
      <c r="AL138" s="559"/>
      <c r="AM138" s="559"/>
      <c r="AN138" s="559"/>
    </row>
    <row r="139">
      <c r="A139" s="559"/>
      <c r="B139" s="559"/>
      <c r="C139" s="559"/>
      <c r="D139" s="559"/>
      <c r="E139" s="559"/>
      <c r="F139" s="559"/>
      <c r="G139" s="559"/>
      <c r="H139" s="559"/>
      <c r="I139" s="559"/>
      <c r="J139" s="559"/>
      <c r="K139" s="559"/>
      <c r="L139" s="559"/>
      <c r="M139" s="559"/>
      <c r="N139" s="559"/>
      <c r="O139" s="559"/>
      <c r="P139" s="559"/>
      <c r="Q139" s="559"/>
      <c r="R139" s="559"/>
      <c r="S139" s="559"/>
      <c r="T139" s="559"/>
      <c r="U139" s="559"/>
      <c r="V139" s="559"/>
      <c r="W139" s="559"/>
      <c r="X139" s="559"/>
      <c r="Y139" s="559"/>
      <c r="Z139" s="559"/>
      <c r="AA139" s="559"/>
      <c r="AB139" s="559"/>
      <c r="AC139" s="559"/>
      <c r="AD139" s="559"/>
      <c r="AE139" s="559"/>
      <c r="AF139" s="559"/>
      <c r="AG139" s="559"/>
      <c r="AH139" s="559"/>
      <c r="AI139" s="559"/>
      <c r="AJ139" s="559"/>
      <c r="AK139" s="559"/>
      <c r="AL139" s="559"/>
      <c r="AM139" s="559"/>
      <c r="AN139" s="559"/>
    </row>
    <row r="140">
      <c r="A140" s="559"/>
      <c r="B140" s="559"/>
      <c r="C140" s="559"/>
      <c r="D140" s="559"/>
      <c r="E140" s="559"/>
      <c r="F140" s="559"/>
      <c r="G140" s="559"/>
      <c r="H140" s="559"/>
      <c r="I140" s="559"/>
      <c r="J140" s="559"/>
      <c r="K140" s="559"/>
      <c r="L140" s="559"/>
      <c r="M140" s="559"/>
      <c r="N140" s="559"/>
      <c r="O140" s="559"/>
      <c r="P140" s="559"/>
      <c r="Q140" s="559"/>
      <c r="R140" s="559"/>
      <c r="S140" s="559"/>
      <c r="T140" s="559"/>
      <c r="U140" s="559"/>
      <c r="V140" s="559"/>
      <c r="W140" s="559"/>
      <c r="X140" s="559"/>
      <c r="Y140" s="559"/>
      <c r="Z140" s="559"/>
      <c r="AA140" s="559"/>
      <c r="AB140" s="559"/>
      <c r="AC140" s="559"/>
      <c r="AD140" s="559"/>
      <c r="AE140" s="559"/>
      <c r="AF140" s="559"/>
      <c r="AG140" s="559"/>
      <c r="AH140" s="559"/>
      <c r="AI140" s="559"/>
      <c r="AJ140" s="559"/>
      <c r="AK140" s="559"/>
      <c r="AL140" s="559"/>
      <c r="AM140" s="559"/>
      <c r="AN140" s="559"/>
    </row>
    <row r="141">
      <c r="A141" s="559"/>
      <c r="B141" s="559"/>
      <c r="C141" s="559"/>
      <c r="D141" s="559"/>
      <c r="E141" s="559"/>
      <c r="F141" s="559"/>
      <c r="G141" s="559"/>
      <c r="H141" s="559"/>
      <c r="I141" s="559"/>
      <c r="J141" s="559"/>
      <c r="K141" s="559"/>
      <c r="L141" s="559"/>
      <c r="M141" s="559"/>
      <c r="N141" s="559"/>
      <c r="O141" s="559"/>
      <c r="P141" s="559"/>
      <c r="Q141" s="559"/>
      <c r="R141" s="559"/>
      <c r="S141" s="559"/>
      <c r="T141" s="559"/>
      <c r="U141" s="559"/>
      <c r="V141" s="559"/>
      <c r="W141" s="559"/>
      <c r="X141" s="559"/>
      <c r="Y141" s="559"/>
      <c r="Z141" s="559"/>
      <c r="AA141" s="559"/>
      <c r="AB141" s="559"/>
      <c r="AC141" s="559"/>
      <c r="AD141" s="559"/>
      <c r="AE141" s="559"/>
      <c r="AF141" s="559"/>
      <c r="AG141" s="559"/>
      <c r="AH141" s="559"/>
      <c r="AI141" s="559"/>
      <c r="AJ141" s="559"/>
      <c r="AK141" s="559"/>
      <c r="AL141" s="559"/>
      <c r="AM141" s="559"/>
      <c r="AN141" s="559"/>
    </row>
    <row r="142">
      <c r="A142" s="559"/>
      <c r="B142" s="559"/>
      <c r="C142" s="559"/>
      <c r="D142" s="559"/>
      <c r="E142" s="559"/>
      <c r="F142" s="559"/>
      <c r="G142" s="559"/>
      <c r="H142" s="559"/>
      <c r="I142" s="559"/>
      <c r="J142" s="559"/>
      <c r="K142" s="559"/>
      <c r="L142" s="559"/>
      <c r="M142" s="559"/>
      <c r="N142" s="559"/>
      <c r="O142" s="559"/>
      <c r="P142" s="559"/>
      <c r="Q142" s="559"/>
      <c r="R142" s="559"/>
      <c r="S142" s="559"/>
      <c r="T142" s="559"/>
      <c r="U142" s="559"/>
      <c r="V142" s="559"/>
      <c r="W142" s="559"/>
      <c r="X142" s="559"/>
      <c r="Y142" s="559"/>
      <c r="Z142" s="559"/>
      <c r="AA142" s="559"/>
      <c r="AB142" s="559"/>
      <c r="AC142" s="559"/>
      <c r="AD142" s="559"/>
      <c r="AE142" s="559"/>
      <c r="AF142" s="559"/>
      <c r="AG142" s="559"/>
      <c r="AH142" s="559"/>
      <c r="AI142" s="559"/>
      <c r="AJ142" s="559"/>
      <c r="AK142" s="559"/>
      <c r="AL142" s="559"/>
      <c r="AM142" s="559"/>
      <c r="AN142" s="559"/>
    </row>
    <row r="143">
      <c r="A143" s="559"/>
      <c r="B143" s="559"/>
      <c r="C143" s="559"/>
      <c r="D143" s="559"/>
      <c r="E143" s="559"/>
      <c r="F143" s="559"/>
      <c r="G143" s="559"/>
      <c r="H143" s="559"/>
      <c r="I143" s="559"/>
      <c r="J143" s="559"/>
      <c r="K143" s="559"/>
      <c r="L143" s="559"/>
      <c r="M143" s="559"/>
      <c r="N143" s="559"/>
      <c r="O143" s="559"/>
      <c r="P143" s="559"/>
      <c r="Q143" s="559"/>
      <c r="R143" s="559"/>
      <c r="S143" s="559"/>
      <c r="T143" s="559"/>
      <c r="U143" s="559"/>
      <c r="V143" s="559"/>
      <c r="W143" s="559"/>
      <c r="X143" s="559"/>
      <c r="Y143" s="559"/>
      <c r="Z143" s="559"/>
      <c r="AA143" s="559"/>
      <c r="AB143" s="559"/>
      <c r="AC143" s="559"/>
      <c r="AD143" s="559"/>
      <c r="AE143" s="559"/>
      <c r="AF143" s="559"/>
      <c r="AG143" s="559"/>
      <c r="AH143" s="559"/>
      <c r="AI143" s="559"/>
      <c r="AJ143" s="559"/>
      <c r="AK143" s="559"/>
      <c r="AL143" s="559"/>
      <c r="AM143" s="559"/>
      <c r="AN143" s="559"/>
    </row>
    <row r="144">
      <c r="A144" s="559"/>
      <c r="B144" s="559"/>
      <c r="C144" s="559"/>
      <c r="D144" s="559"/>
      <c r="E144" s="559"/>
      <c r="F144" s="559"/>
      <c r="G144" s="559"/>
      <c r="H144" s="559"/>
      <c r="I144" s="559"/>
      <c r="J144" s="559"/>
      <c r="K144" s="559"/>
      <c r="L144" s="559"/>
      <c r="M144" s="559"/>
      <c r="N144" s="559"/>
      <c r="O144" s="559"/>
      <c r="P144" s="559"/>
      <c r="Q144" s="559"/>
      <c r="R144" s="559"/>
      <c r="S144" s="559"/>
      <c r="T144" s="559"/>
      <c r="U144" s="559"/>
      <c r="V144" s="559"/>
      <c r="W144" s="559"/>
      <c r="X144" s="559"/>
      <c r="Y144" s="559"/>
      <c r="Z144" s="559"/>
      <c r="AA144" s="559"/>
      <c r="AB144" s="559"/>
      <c r="AC144" s="559"/>
      <c r="AD144" s="559"/>
      <c r="AE144" s="559"/>
      <c r="AF144" s="559"/>
      <c r="AG144" s="559"/>
      <c r="AH144" s="559"/>
      <c r="AI144" s="559"/>
      <c r="AJ144" s="559"/>
      <c r="AK144" s="559"/>
      <c r="AL144" s="559"/>
      <c r="AM144" s="559"/>
      <c r="AN144" s="559"/>
    </row>
    <row r="145">
      <c r="A145" s="559"/>
      <c r="B145" s="559"/>
      <c r="C145" s="559"/>
      <c r="D145" s="559"/>
      <c r="E145" s="559"/>
      <c r="F145" s="559"/>
      <c r="G145" s="559"/>
      <c r="H145" s="559"/>
      <c r="I145" s="559"/>
      <c r="J145" s="559"/>
      <c r="K145" s="559"/>
      <c r="L145" s="559"/>
      <c r="M145" s="559"/>
      <c r="N145" s="559"/>
      <c r="O145" s="559"/>
      <c r="P145" s="559"/>
      <c r="Q145" s="559"/>
      <c r="R145" s="559"/>
      <c r="S145" s="559"/>
      <c r="T145" s="559"/>
      <c r="U145" s="559"/>
      <c r="V145" s="559"/>
      <c r="W145" s="559"/>
      <c r="X145" s="559"/>
      <c r="Y145" s="559"/>
      <c r="Z145" s="559"/>
      <c r="AA145" s="559"/>
      <c r="AB145" s="559"/>
      <c r="AC145" s="559"/>
      <c r="AD145" s="559"/>
      <c r="AE145" s="559"/>
      <c r="AF145" s="559"/>
      <c r="AG145" s="559"/>
      <c r="AH145" s="559"/>
      <c r="AI145" s="559"/>
      <c r="AJ145" s="559"/>
      <c r="AK145" s="559"/>
      <c r="AL145" s="559"/>
      <c r="AM145" s="559"/>
      <c r="AN145" s="559"/>
    </row>
    <row r="146">
      <c r="A146" s="559"/>
      <c r="B146" s="559"/>
      <c r="C146" s="559"/>
      <c r="D146" s="559"/>
      <c r="E146" s="559"/>
      <c r="F146" s="559"/>
      <c r="G146" s="559"/>
      <c r="H146" s="559"/>
      <c r="I146" s="559"/>
      <c r="J146" s="559"/>
      <c r="K146" s="559"/>
      <c r="L146" s="559"/>
      <c r="M146" s="559"/>
      <c r="N146" s="559"/>
      <c r="O146" s="559"/>
      <c r="P146" s="559"/>
      <c r="Q146" s="559"/>
      <c r="R146" s="559"/>
      <c r="S146" s="559"/>
      <c r="T146" s="559"/>
      <c r="U146" s="559"/>
      <c r="V146" s="559"/>
      <c r="W146" s="559"/>
      <c r="X146" s="559"/>
      <c r="Y146" s="559"/>
      <c r="Z146" s="559"/>
      <c r="AA146" s="559"/>
      <c r="AB146" s="559"/>
      <c r="AC146" s="559"/>
      <c r="AD146" s="559"/>
      <c r="AE146" s="559"/>
      <c r="AF146" s="559"/>
      <c r="AG146" s="559"/>
      <c r="AH146" s="559"/>
      <c r="AI146" s="559"/>
      <c r="AJ146" s="559"/>
      <c r="AK146" s="559"/>
      <c r="AL146" s="559"/>
      <c r="AM146" s="559"/>
      <c r="AN146" s="559"/>
    </row>
    <row r="147">
      <c r="A147" s="559"/>
      <c r="B147" s="559"/>
      <c r="C147" s="559"/>
      <c r="D147" s="559"/>
      <c r="E147" s="559"/>
      <c r="F147" s="559"/>
      <c r="G147" s="559"/>
      <c r="H147" s="559"/>
      <c r="I147" s="559"/>
      <c r="J147" s="559"/>
      <c r="K147" s="559"/>
      <c r="L147" s="559"/>
      <c r="M147" s="559"/>
      <c r="N147" s="559"/>
      <c r="O147" s="559"/>
      <c r="P147" s="559"/>
      <c r="Q147" s="559"/>
      <c r="R147" s="559"/>
      <c r="S147" s="559"/>
      <c r="T147" s="559"/>
      <c r="U147" s="559"/>
      <c r="V147" s="559"/>
      <c r="W147" s="559"/>
      <c r="X147" s="559"/>
      <c r="Y147" s="559"/>
      <c r="Z147" s="559"/>
      <c r="AA147" s="559"/>
      <c r="AB147" s="559"/>
      <c r="AC147" s="559"/>
      <c r="AD147" s="559"/>
      <c r="AE147" s="559"/>
      <c r="AF147" s="559"/>
      <c r="AG147" s="559"/>
      <c r="AH147" s="559"/>
      <c r="AI147" s="559"/>
      <c r="AJ147" s="559"/>
      <c r="AK147" s="559"/>
      <c r="AL147" s="559"/>
      <c r="AM147" s="559"/>
      <c r="AN147" s="559"/>
    </row>
    <row r="148">
      <c r="A148" s="559"/>
      <c r="B148" s="559"/>
      <c r="C148" s="559"/>
      <c r="D148" s="559"/>
      <c r="E148" s="559"/>
      <c r="F148" s="559"/>
      <c r="G148" s="559"/>
      <c r="H148" s="559"/>
      <c r="I148" s="559"/>
      <c r="J148" s="559"/>
      <c r="K148" s="559"/>
      <c r="L148" s="559"/>
      <c r="M148" s="559"/>
      <c r="N148" s="559"/>
      <c r="O148" s="559"/>
      <c r="P148" s="559"/>
      <c r="Q148" s="559"/>
      <c r="R148" s="559"/>
      <c r="S148" s="559"/>
      <c r="T148" s="559"/>
      <c r="U148" s="559"/>
      <c r="V148" s="559"/>
      <c r="W148" s="559"/>
      <c r="X148" s="559"/>
      <c r="Y148" s="559"/>
      <c r="Z148" s="559"/>
      <c r="AA148" s="559"/>
      <c r="AB148" s="559"/>
      <c r="AC148" s="559"/>
      <c r="AD148" s="559"/>
      <c r="AE148" s="559"/>
      <c r="AF148" s="559"/>
      <c r="AG148" s="559"/>
      <c r="AH148" s="559"/>
      <c r="AI148" s="559"/>
      <c r="AJ148" s="559"/>
      <c r="AK148" s="559"/>
      <c r="AL148" s="559"/>
      <c r="AM148" s="559"/>
      <c r="AN148" s="559"/>
    </row>
    <row r="149">
      <c r="A149" s="559"/>
      <c r="B149" s="559"/>
      <c r="C149" s="559"/>
      <c r="D149" s="559"/>
      <c r="E149" s="559"/>
      <c r="F149" s="559"/>
      <c r="G149" s="559"/>
      <c r="H149" s="559"/>
      <c r="I149" s="559"/>
      <c r="J149" s="559"/>
      <c r="K149" s="559"/>
      <c r="L149" s="559"/>
      <c r="M149" s="559"/>
      <c r="N149" s="559"/>
      <c r="O149" s="559"/>
      <c r="P149" s="559"/>
      <c r="Q149" s="559"/>
      <c r="R149" s="559"/>
      <c r="S149" s="559"/>
      <c r="T149" s="559"/>
      <c r="U149" s="559"/>
      <c r="V149" s="559"/>
      <c r="W149" s="559"/>
      <c r="X149" s="559"/>
      <c r="Y149" s="559"/>
      <c r="Z149" s="559"/>
      <c r="AA149" s="559"/>
      <c r="AB149" s="559"/>
      <c r="AC149" s="559"/>
      <c r="AD149" s="559"/>
      <c r="AE149" s="559"/>
      <c r="AF149" s="559"/>
      <c r="AG149" s="559"/>
      <c r="AH149" s="559"/>
      <c r="AI149" s="559"/>
      <c r="AJ149" s="559"/>
      <c r="AK149" s="559"/>
      <c r="AL149" s="559"/>
      <c r="AM149" s="559"/>
      <c r="AN149" s="559"/>
    </row>
    <row r="150">
      <c r="A150" s="559"/>
      <c r="B150" s="559"/>
      <c r="C150" s="559"/>
      <c r="D150" s="559"/>
      <c r="E150" s="559"/>
      <c r="F150" s="559"/>
      <c r="G150" s="559"/>
      <c r="H150" s="559"/>
      <c r="I150" s="559"/>
      <c r="J150" s="559"/>
      <c r="K150" s="559"/>
      <c r="L150" s="559"/>
      <c r="M150" s="559"/>
      <c r="N150" s="559"/>
      <c r="O150" s="559"/>
      <c r="P150" s="559"/>
      <c r="Q150" s="559"/>
      <c r="R150" s="559"/>
      <c r="S150" s="559"/>
      <c r="T150" s="559"/>
      <c r="U150" s="559"/>
      <c r="V150" s="559"/>
      <c r="W150" s="559"/>
      <c r="X150" s="559"/>
      <c r="Y150" s="559"/>
      <c r="Z150" s="559"/>
      <c r="AA150" s="559"/>
      <c r="AB150" s="559"/>
      <c r="AC150" s="559"/>
      <c r="AD150" s="559"/>
      <c r="AE150" s="559"/>
      <c r="AF150" s="559"/>
      <c r="AG150" s="559"/>
      <c r="AH150" s="559"/>
      <c r="AI150" s="559"/>
      <c r="AJ150" s="559"/>
      <c r="AK150" s="559"/>
      <c r="AL150" s="559"/>
      <c r="AM150" s="559"/>
      <c r="AN150" s="559"/>
    </row>
    <row r="151">
      <c r="A151" s="559"/>
      <c r="B151" s="559"/>
      <c r="C151" s="559"/>
      <c r="D151" s="559"/>
      <c r="E151" s="559"/>
      <c r="F151" s="559"/>
      <c r="G151" s="559"/>
      <c r="H151" s="559"/>
      <c r="I151" s="559"/>
      <c r="J151" s="559"/>
      <c r="K151" s="559"/>
      <c r="L151" s="559"/>
      <c r="M151" s="559"/>
      <c r="N151" s="559"/>
      <c r="O151" s="559"/>
      <c r="P151" s="559"/>
      <c r="Q151" s="559"/>
      <c r="R151" s="559"/>
      <c r="S151" s="559"/>
      <c r="T151" s="559"/>
      <c r="U151" s="559"/>
      <c r="V151" s="559"/>
      <c r="W151" s="559"/>
      <c r="X151" s="559"/>
      <c r="Y151" s="559"/>
      <c r="Z151" s="559"/>
      <c r="AA151" s="559"/>
      <c r="AB151" s="559"/>
      <c r="AC151" s="559"/>
      <c r="AD151" s="559"/>
      <c r="AE151" s="559"/>
      <c r="AF151" s="559"/>
      <c r="AG151" s="559"/>
      <c r="AH151" s="559"/>
      <c r="AI151" s="559"/>
      <c r="AJ151" s="559"/>
      <c r="AK151" s="559"/>
      <c r="AL151" s="559"/>
      <c r="AM151" s="559"/>
      <c r="AN151" s="559"/>
    </row>
    <row r="152">
      <c r="A152" s="559"/>
      <c r="B152" s="559"/>
      <c r="C152" s="559"/>
      <c r="D152" s="559"/>
      <c r="E152" s="559"/>
      <c r="F152" s="559"/>
      <c r="G152" s="559"/>
      <c r="H152" s="559"/>
      <c r="I152" s="559"/>
      <c r="J152" s="559"/>
      <c r="K152" s="559"/>
      <c r="L152" s="559"/>
      <c r="M152" s="559"/>
      <c r="N152" s="559"/>
      <c r="O152" s="559"/>
      <c r="P152" s="559"/>
      <c r="Q152" s="559"/>
      <c r="R152" s="559"/>
      <c r="S152" s="559"/>
      <c r="T152" s="559"/>
      <c r="U152" s="559"/>
      <c r="V152" s="559"/>
      <c r="W152" s="559"/>
      <c r="X152" s="559"/>
      <c r="Y152" s="559"/>
      <c r="Z152" s="559"/>
      <c r="AA152" s="559"/>
      <c r="AB152" s="559"/>
      <c r="AC152" s="559"/>
      <c r="AD152" s="559"/>
      <c r="AE152" s="559"/>
      <c r="AF152" s="559"/>
      <c r="AG152" s="559"/>
      <c r="AH152" s="559"/>
      <c r="AI152" s="559"/>
      <c r="AJ152" s="559"/>
      <c r="AK152" s="559"/>
      <c r="AL152" s="559"/>
      <c r="AM152" s="559"/>
      <c r="AN152" s="559"/>
    </row>
    <row r="153">
      <c r="A153" s="559"/>
      <c r="B153" s="559"/>
      <c r="C153" s="559"/>
      <c r="D153" s="559"/>
      <c r="E153" s="559"/>
      <c r="F153" s="559"/>
      <c r="G153" s="559"/>
      <c r="H153" s="559"/>
      <c r="I153" s="559"/>
      <c r="J153" s="559"/>
      <c r="K153" s="559"/>
      <c r="L153" s="559"/>
      <c r="M153" s="559"/>
      <c r="N153" s="559"/>
      <c r="O153" s="559"/>
      <c r="P153" s="559"/>
      <c r="Q153" s="559"/>
      <c r="R153" s="559"/>
      <c r="S153" s="559"/>
      <c r="T153" s="559"/>
      <c r="U153" s="559"/>
      <c r="V153" s="559"/>
      <c r="W153" s="559"/>
      <c r="X153" s="559"/>
      <c r="Y153" s="559"/>
      <c r="Z153" s="559"/>
      <c r="AA153" s="559"/>
      <c r="AB153" s="559"/>
      <c r="AC153" s="559"/>
      <c r="AD153" s="559"/>
      <c r="AE153" s="559"/>
      <c r="AF153" s="559"/>
      <c r="AG153" s="559"/>
      <c r="AH153" s="559"/>
      <c r="AI153" s="559"/>
      <c r="AJ153" s="559"/>
      <c r="AK153" s="559"/>
      <c r="AL153" s="559"/>
      <c r="AM153" s="559"/>
      <c r="AN153" s="559"/>
    </row>
    <row r="154">
      <c r="A154" s="559"/>
      <c r="B154" s="559"/>
      <c r="C154" s="559"/>
      <c r="D154" s="559"/>
      <c r="E154" s="559"/>
      <c r="F154" s="559"/>
      <c r="G154" s="559"/>
      <c r="H154" s="559"/>
      <c r="I154" s="559"/>
      <c r="J154" s="559"/>
      <c r="K154" s="559"/>
      <c r="L154" s="559"/>
      <c r="M154" s="559"/>
      <c r="N154" s="559"/>
      <c r="O154" s="559"/>
      <c r="P154" s="559"/>
      <c r="Q154" s="559"/>
      <c r="R154" s="559"/>
      <c r="S154" s="559"/>
      <c r="T154" s="559"/>
      <c r="U154" s="559"/>
      <c r="V154" s="559"/>
      <c r="W154" s="559"/>
      <c r="X154" s="559"/>
      <c r="Y154" s="559"/>
      <c r="Z154" s="559"/>
      <c r="AA154" s="559"/>
      <c r="AB154" s="559"/>
      <c r="AC154" s="559"/>
      <c r="AD154" s="559"/>
      <c r="AE154" s="559"/>
      <c r="AF154" s="559"/>
      <c r="AG154" s="559"/>
      <c r="AH154" s="559"/>
      <c r="AI154" s="559"/>
      <c r="AJ154" s="559"/>
      <c r="AK154" s="559"/>
      <c r="AL154" s="559"/>
      <c r="AM154" s="559"/>
      <c r="AN154" s="559"/>
    </row>
    <row r="155">
      <c r="A155" s="559"/>
      <c r="B155" s="559"/>
      <c r="C155" s="559"/>
      <c r="D155" s="559"/>
      <c r="E155" s="559"/>
      <c r="F155" s="559"/>
      <c r="G155" s="559"/>
      <c r="H155" s="559"/>
      <c r="I155" s="559"/>
      <c r="J155" s="559"/>
      <c r="K155" s="559"/>
      <c r="L155" s="559"/>
      <c r="M155" s="559"/>
      <c r="N155" s="559"/>
      <c r="O155" s="559"/>
      <c r="P155" s="559"/>
      <c r="Q155" s="559"/>
      <c r="R155" s="559"/>
      <c r="S155" s="559"/>
      <c r="T155" s="559"/>
      <c r="U155" s="559"/>
      <c r="V155" s="559"/>
      <c r="W155" s="559"/>
      <c r="X155" s="559"/>
      <c r="Y155" s="559"/>
      <c r="Z155" s="559"/>
      <c r="AA155" s="559"/>
      <c r="AB155" s="559"/>
      <c r="AC155" s="559"/>
      <c r="AD155" s="559"/>
      <c r="AE155" s="559"/>
      <c r="AF155" s="559"/>
      <c r="AG155" s="559"/>
      <c r="AH155" s="559"/>
      <c r="AI155" s="559"/>
      <c r="AJ155" s="559"/>
      <c r="AK155" s="559"/>
      <c r="AL155" s="559"/>
      <c r="AM155" s="559"/>
      <c r="AN155" s="559"/>
    </row>
    <row r="156">
      <c r="A156" s="559"/>
      <c r="B156" s="559"/>
      <c r="C156" s="559"/>
      <c r="D156" s="559"/>
      <c r="E156" s="559"/>
      <c r="F156" s="559"/>
      <c r="G156" s="559"/>
      <c r="H156" s="559"/>
      <c r="I156" s="559"/>
      <c r="J156" s="559"/>
      <c r="K156" s="559"/>
      <c r="L156" s="559"/>
      <c r="M156" s="559"/>
      <c r="N156" s="559"/>
      <c r="O156" s="559"/>
      <c r="P156" s="559"/>
      <c r="Q156" s="559"/>
      <c r="R156" s="559"/>
      <c r="S156" s="559"/>
      <c r="T156" s="559"/>
      <c r="U156" s="559"/>
      <c r="V156" s="559"/>
      <c r="W156" s="559"/>
      <c r="X156" s="559"/>
      <c r="Y156" s="559"/>
      <c r="Z156" s="559"/>
      <c r="AA156" s="559"/>
      <c r="AB156" s="559"/>
      <c r="AC156" s="559"/>
      <c r="AD156" s="559"/>
      <c r="AE156" s="559"/>
      <c r="AF156" s="559"/>
      <c r="AG156" s="559"/>
      <c r="AH156" s="559"/>
      <c r="AI156" s="559"/>
      <c r="AJ156" s="559"/>
      <c r="AK156" s="559"/>
      <c r="AL156" s="559"/>
      <c r="AM156" s="559"/>
      <c r="AN156" s="559"/>
    </row>
    <row r="157">
      <c r="A157" s="559"/>
      <c r="B157" s="559"/>
      <c r="C157" s="559"/>
      <c r="D157" s="559"/>
      <c r="E157" s="559"/>
      <c r="F157" s="559"/>
      <c r="G157" s="559"/>
      <c r="H157" s="559"/>
      <c r="I157" s="559"/>
      <c r="J157" s="559"/>
      <c r="K157" s="559"/>
      <c r="L157" s="559"/>
      <c r="M157" s="559"/>
      <c r="N157" s="559"/>
      <c r="O157" s="559"/>
      <c r="P157" s="559"/>
      <c r="Q157" s="559"/>
      <c r="R157" s="559"/>
      <c r="S157" s="559"/>
      <c r="T157" s="559"/>
      <c r="U157" s="559"/>
      <c r="V157" s="559"/>
      <c r="W157" s="559"/>
      <c r="X157" s="559"/>
      <c r="Y157" s="559"/>
      <c r="Z157" s="559"/>
      <c r="AA157" s="559"/>
      <c r="AB157" s="559"/>
      <c r="AC157" s="559"/>
      <c r="AD157" s="559"/>
      <c r="AE157" s="559"/>
      <c r="AF157" s="559"/>
      <c r="AG157" s="559"/>
      <c r="AH157" s="559"/>
      <c r="AI157" s="559"/>
      <c r="AJ157" s="559"/>
      <c r="AK157" s="559"/>
      <c r="AL157" s="559"/>
      <c r="AM157" s="559"/>
      <c r="AN157" s="559"/>
    </row>
    <row r="158">
      <c r="A158" s="559"/>
      <c r="B158" s="559"/>
      <c r="C158" s="559"/>
      <c r="D158" s="559"/>
      <c r="E158" s="559"/>
      <c r="F158" s="559"/>
      <c r="G158" s="559"/>
      <c r="H158" s="559"/>
      <c r="I158" s="559"/>
      <c r="J158" s="559"/>
      <c r="K158" s="559"/>
      <c r="L158" s="559"/>
      <c r="M158" s="559"/>
      <c r="N158" s="559"/>
      <c r="O158" s="559"/>
      <c r="P158" s="559"/>
      <c r="Q158" s="559"/>
      <c r="R158" s="559"/>
      <c r="S158" s="559"/>
      <c r="T158" s="559"/>
      <c r="U158" s="559"/>
      <c r="V158" s="559"/>
      <c r="W158" s="559"/>
      <c r="X158" s="559"/>
      <c r="Y158" s="559"/>
      <c r="Z158" s="559"/>
      <c r="AA158" s="559"/>
      <c r="AB158" s="559"/>
      <c r="AC158" s="559"/>
      <c r="AD158" s="559"/>
      <c r="AE158" s="559"/>
      <c r="AF158" s="559"/>
      <c r="AG158" s="559"/>
      <c r="AH158" s="559"/>
      <c r="AI158" s="559"/>
      <c r="AJ158" s="559"/>
      <c r="AK158" s="559"/>
      <c r="AL158" s="559"/>
      <c r="AM158" s="559"/>
      <c r="AN158" s="559"/>
    </row>
    <row r="159">
      <c r="A159" s="559"/>
      <c r="B159" s="559"/>
      <c r="C159" s="559"/>
      <c r="D159" s="559"/>
      <c r="E159" s="559"/>
      <c r="F159" s="559"/>
      <c r="G159" s="559"/>
      <c r="H159" s="559"/>
      <c r="I159" s="559"/>
      <c r="J159" s="559"/>
      <c r="K159" s="559"/>
      <c r="L159" s="559"/>
      <c r="M159" s="559"/>
      <c r="N159" s="559"/>
      <c r="O159" s="559"/>
      <c r="P159" s="559"/>
      <c r="Q159" s="559"/>
      <c r="R159" s="559"/>
      <c r="S159" s="559"/>
      <c r="T159" s="559"/>
      <c r="U159" s="559"/>
      <c r="V159" s="559"/>
      <c r="W159" s="559"/>
      <c r="X159" s="559"/>
      <c r="Y159" s="559"/>
      <c r="Z159" s="559"/>
      <c r="AA159" s="559"/>
      <c r="AB159" s="559"/>
      <c r="AC159" s="559"/>
      <c r="AD159" s="559"/>
      <c r="AE159" s="559"/>
      <c r="AF159" s="559"/>
      <c r="AG159" s="559"/>
      <c r="AH159" s="559"/>
      <c r="AI159" s="559"/>
      <c r="AJ159" s="559"/>
      <c r="AK159" s="559"/>
      <c r="AL159" s="559"/>
      <c r="AM159" s="559"/>
      <c r="AN159" s="559"/>
    </row>
    <row r="160">
      <c r="A160" s="559"/>
      <c r="B160" s="559"/>
      <c r="C160" s="559"/>
      <c r="D160" s="559"/>
      <c r="E160" s="559"/>
      <c r="F160" s="559"/>
      <c r="G160" s="559"/>
      <c r="H160" s="559"/>
      <c r="I160" s="559"/>
      <c r="J160" s="559"/>
      <c r="K160" s="559"/>
      <c r="L160" s="559"/>
      <c r="M160" s="559"/>
      <c r="N160" s="559"/>
      <c r="O160" s="559"/>
      <c r="P160" s="559"/>
      <c r="Q160" s="559"/>
      <c r="R160" s="559"/>
      <c r="S160" s="559"/>
      <c r="T160" s="559"/>
      <c r="U160" s="559"/>
      <c r="V160" s="559"/>
      <c r="W160" s="559"/>
      <c r="X160" s="559"/>
      <c r="Y160" s="559"/>
      <c r="Z160" s="559"/>
      <c r="AA160" s="559"/>
      <c r="AB160" s="559"/>
      <c r="AC160" s="559"/>
      <c r="AD160" s="559"/>
      <c r="AE160" s="559"/>
      <c r="AF160" s="559"/>
      <c r="AG160" s="559"/>
      <c r="AH160" s="559"/>
      <c r="AI160" s="559"/>
      <c r="AJ160" s="559"/>
      <c r="AK160" s="559"/>
      <c r="AL160" s="559"/>
      <c r="AM160" s="559"/>
      <c r="AN160" s="559"/>
    </row>
    <row r="161">
      <c r="A161" s="559"/>
      <c r="B161" s="559"/>
      <c r="C161" s="559"/>
      <c r="D161" s="559"/>
      <c r="E161" s="559"/>
      <c r="F161" s="559"/>
      <c r="G161" s="559"/>
      <c r="H161" s="559"/>
      <c r="I161" s="559"/>
      <c r="J161" s="559"/>
      <c r="K161" s="559"/>
      <c r="L161" s="559"/>
      <c r="M161" s="559"/>
      <c r="N161" s="559"/>
      <c r="O161" s="559"/>
      <c r="P161" s="559"/>
      <c r="Q161" s="559"/>
      <c r="R161" s="559"/>
      <c r="S161" s="559"/>
      <c r="T161" s="559"/>
      <c r="U161" s="559"/>
      <c r="V161" s="559"/>
      <c r="W161" s="559"/>
      <c r="X161" s="559"/>
      <c r="Y161" s="559"/>
      <c r="Z161" s="559"/>
      <c r="AA161" s="559"/>
      <c r="AB161" s="559"/>
      <c r="AC161" s="559"/>
      <c r="AD161" s="559"/>
      <c r="AE161" s="559"/>
      <c r="AF161" s="559"/>
      <c r="AG161" s="559"/>
      <c r="AH161" s="559"/>
      <c r="AI161" s="559"/>
      <c r="AJ161" s="559"/>
      <c r="AK161" s="559"/>
      <c r="AL161" s="559"/>
      <c r="AM161" s="559"/>
      <c r="AN161" s="559"/>
    </row>
    <row r="162">
      <c r="A162" s="559"/>
      <c r="B162" s="559"/>
      <c r="C162" s="559"/>
      <c r="D162" s="559"/>
      <c r="E162" s="559"/>
      <c r="F162" s="559"/>
      <c r="G162" s="559"/>
      <c r="H162" s="559"/>
      <c r="I162" s="559"/>
      <c r="J162" s="559"/>
      <c r="K162" s="559"/>
      <c r="L162" s="559"/>
      <c r="M162" s="559"/>
      <c r="N162" s="559"/>
      <c r="O162" s="559"/>
      <c r="P162" s="559"/>
      <c r="Q162" s="559"/>
      <c r="R162" s="559"/>
      <c r="S162" s="559"/>
      <c r="T162" s="559"/>
      <c r="U162" s="559"/>
      <c r="V162" s="559"/>
      <c r="W162" s="559"/>
      <c r="X162" s="559"/>
      <c r="Y162" s="559"/>
      <c r="Z162" s="559"/>
      <c r="AA162" s="559"/>
      <c r="AB162" s="559"/>
      <c r="AC162" s="559"/>
      <c r="AD162" s="559"/>
      <c r="AE162" s="559"/>
      <c r="AF162" s="559"/>
      <c r="AG162" s="559"/>
      <c r="AH162" s="559"/>
      <c r="AI162" s="559"/>
      <c r="AJ162" s="559"/>
      <c r="AK162" s="559"/>
      <c r="AL162" s="559"/>
      <c r="AM162" s="559"/>
      <c r="AN162" s="559"/>
    </row>
    <row r="163">
      <c r="A163" s="559"/>
      <c r="B163" s="559"/>
      <c r="C163" s="559"/>
      <c r="D163" s="559"/>
      <c r="E163" s="559"/>
      <c r="F163" s="559"/>
      <c r="G163" s="559"/>
      <c r="H163" s="559"/>
      <c r="I163" s="559"/>
      <c r="J163" s="559"/>
      <c r="K163" s="559"/>
      <c r="L163" s="559"/>
      <c r="M163" s="559"/>
      <c r="N163" s="559"/>
      <c r="O163" s="559"/>
      <c r="P163" s="559"/>
      <c r="Q163" s="559"/>
      <c r="R163" s="559"/>
      <c r="S163" s="559"/>
      <c r="T163" s="559"/>
      <c r="U163" s="559"/>
      <c r="V163" s="559"/>
      <c r="W163" s="559"/>
      <c r="X163" s="559"/>
      <c r="Y163" s="559"/>
      <c r="Z163" s="559"/>
      <c r="AA163" s="559"/>
      <c r="AB163" s="559"/>
      <c r="AC163" s="559"/>
      <c r="AD163" s="559"/>
      <c r="AE163" s="559"/>
      <c r="AF163" s="559"/>
      <c r="AG163" s="559"/>
      <c r="AH163" s="559"/>
      <c r="AI163" s="559"/>
      <c r="AJ163" s="559"/>
      <c r="AK163" s="559"/>
      <c r="AL163" s="559"/>
      <c r="AM163" s="559"/>
      <c r="AN163" s="559"/>
    </row>
    <row r="164">
      <c r="A164" s="559"/>
      <c r="B164" s="559"/>
      <c r="C164" s="559"/>
      <c r="D164" s="559"/>
      <c r="E164" s="559"/>
      <c r="F164" s="559"/>
      <c r="G164" s="559"/>
      <c r="H164" s="559"/>
      <c r="I164" s="559"/>
      <c r="J164" s="559"/>
      <c r="K164" s="559"/>
      <c r="L164" s="559"/>
      <c r="M164" s="559"/>
      <c r="N164" s="559"/>
      <c r="O164" s="559"/>
      <c r="P164" s="559"/>
      <c r="Q164" s="559"/>
      <c r="R164" s="559"/>
      <c r="S164" s="559"/>
      <c r="T164" s="559"/>
      <c r="U164" s="559"/>
      <c r="V164" s="559"/>
      <c r="W164" s="559"/>
      <c r="X164" s="559"/>
      <c r="Y164" s="559"/>
      <c r="Z164" s="559"/>
      <c r="AA164" s="559"/>
      <c r="AB164" s="559"/>
      <c r="AC164" s="559"/>
      <c r="AD164" s="559"/>
      <c r="AE164" s="559"/>
      <c r="AF164" s="559"/>
      <c r="AG164" s="559"/>
      <c r="AH164" s="559"/>
      <c r="AI164" s="559"/>
      <c r="AJ164" s="559"/>
      <c r="AK164" s="559"/>
      <c r="AL164" s="559"/>
      <c r="AM164" s="559"/>
      <c r="AN164" s="559"/>
    </row>
    <row r="165">
      <c r="A165" s="559"/>
      <c r="B165" s="559"/>
      <c r="C165" s="559"/>
      <c r="D165" s="559"/>
      <c r="E165" s="559"/>
      <c r="F165" s="559"/>
      <c r="G165" s="559"/>
      <c r="H165" s="559"/>
      <c r="I165" s="559"/>
      <c r="J165" s="559"/>
      <c r="K165" s="559"/>
      <c r="L165" s="559"/>
      <c r="M165" s="559"/>
      <c r="N165" s="559"/>
      <c r="O165" s="559"/>
      <c r="P165" s="559"/>
      <c r="Q165" s="559"/>
      <c r="R165" s="559"/>
      <c r="S165" s="559"/>
      <c r="T165" s="559"/>
      <c r="U165" s="559"/>
      <c r="V165" s="559"/>
      <c r="W165" s="559"/>
      <c r="X165" s="559"/>
      <c r="Y165" s="559"/>
      <c r="Z165" s="559"/>
      <c r="AA165" s="559"/>
      <c r="AB165" s="559"/>
      <c r="AC165" s="559"/>
      <c r="AD165" s="559"/>
      <c r="AE165" s="559"/>
      <c r="AF165" s="559"/>
      <c r="AG165" s="559"/>
      <c r="AH165" s="559"/>
      <c r="AI165" s="559"/>
      <c r="AJ165" s="559"/>
      <c r="AK165" s="559"/>
      <c r="AL165" s="559"/>
      <c r="AM165" s="559"/>
      <c r="AN165" s="559"/>
    </row>
    <row r="166">
      <c r="A166" s="559"/>
      <c r="B166" s="559"/>
      <c r="C166" s="559"/>
      <c r="D166" s="559"/>
      <c r="E166" s="559"/>
      <c r="F166" s="559"/>
      <c r="G166" s="559"/>
      <c r="H166" s="559"/>
      <c r="I166" s="559"/>
      <c r="J166" s="559"/>
      <c r="K166" s="559"/>
      <c r="L166" s="559"/>
      <c r="M166" s="559"/>
      <c r="N166" s="559"/>
      <c r="O166" s="559"/>
      <c r="P166" s="559"/>
      <c r="Q166" s="559"/>
      <c r="R166" s="559"/>
      <c r="S166" s="559"/>
      <c r="T166" s="559"/>
      <c r="U166" s="559"/>
      <c r="V166" s="559"/>
      <c r="W166" s="559"/>
      <c r="X166" s="559"/>
      <c r="Y166" s="559"/>
      <c r="Z166" s="559"/>
      <c r="AA166" s="559"/>
      <c r="AB166" s="559"/>
      <c r="AC166" s="559"/>
      <c r="AD166" s="559"/>
      <c r="AE166" s="559"/>
      <c r="AF166" s="559"/>
      <c r="AG166" s="559"/>
      <c r="AH166" s="559"/>
      <c r="AI166" s="559"/>
      <c r="AJ166" s="559"/>
      <c r="AK166" s="559"/>
      <c r="AL166" s="559"/>
      <c r="AM166" s="559"/>
      <c r="AN166" s="559"/>
    </row>
    <row r="167">
      <c r="A167" s="559"/>
      <c r="B167" s="559"/>
      <c r="C167" s="559"/>
      <c r="D167" s="559"/>
      <c r="E167" s="559"/>
      <c r="F167" s="559"/>
      <c r="G167" s="559"/>
      <c r="H167" s="559"/>
      <c r="I167" s="559"/>
      <c r="J167" s="559"/>
      <c r="K167" s="559"/>
      <c r="L167" s="559"/>
      <c r="M167" s="559"/>
      <c r="N167" s="559"/>
      <c r="O167" s="559"/>
      <c r="P167" s="559"/>
      <c r="Q167" s="559"/>
      <c r="R167" s="559"/>
      <c r="S167" s="559"/>
      <c r="T167" s="559"/>
      <c r="U167" s="559"/>
      <c r="V167" s="559"/>
      <c r="W167" s="559"/>
      <c r="X167" s="559"/>
      <c r="Y167" s="559"/>
      <c r="Z167" s="559"/>
      <c r="AA167" s="559"/>
      <c r="AB167" s="559"/>
      <c r="AC167" s="559"/>
      <c r="AD167" s="559"/>
      <c r="AE167" s="559"/>
      <c r="AF167" s="559"/>
      <c r="AG167" s="559"/>
      <c r="AH167" s="559"/>
      <c r="AI167" s="559"/>
      <c r="AJ167" s="559"/>
      <c r="AK167" s="559"/>
      <c r="AL167" s="559"/>
      <c r="AM167" s="559"/>
      <c r="AN167" s="559"/>
    </row>
    <row r="168">
      <c r="A168" s="559"/>
      <c r="B168" s="559"/>
      <c r="C168" s="559"/>
      <c r="D168" s="559"/>
      <c r="E168" s="559"/>
      <c r="F168" s="559"/>
      <c r="G168" s="559"/>
      <c r="H168" s="559"/>
      <c r="I168" s="559"/>
      <c r="J168" s="559"/>
      <c r="K168" s="559"/>
      <c r="L168" s="559"/>
      <c r="M168" s="559"/>
      <c r="N168" s="559"/>
      <c r="O168" s="559"/>
      <c r="P168" s="559"/>
      <c r="Q168" s="559"/>
      <c r="R168" s="559"/>
      <c r="S168" s="559"/>
      <c r="T168" s="559"/>
      <c r="U168" s="559"/>
      <c r="V168" s="559"/>
      <c r="W168" s="559"/>
      <c r="X168" s="559"/>
      <c r="Y168" s="559"/>
      <c r="Z168" s="559"/>
      <c r="AA168" s="559"/>
      <c r="AB168" s="559"/>
      <c r="AC168" s="559"/>
      <c r="AD168" s="559"/>
      <c r="AE168" s="559"/>
      <c r="AF168" s="559"/>
      <c r="AG168" s="559"/>
      <c r="AH168" s="559"/>
      <c r="AI168" s="559"/>
      <c r="AJ168" s="559"/>
      <c r="AK168" s="559"/>
      <c r="AL168" s="559"/>
      <c r="AM168" s="559"/>
      <c r="AN168" s="559"/>
    </row>
    <row r="169">
      <c r="A169" s="559"/>
      <c r="B169" s="559"/>
      <c r="C169" s="559"/>
      <c r="D169" s="559"/>
      <c r="E169" s="559"/>
      <c r="F169" s="559"/>
      <c r="G169" s="559"/>
      <c r="H169" s="559"/>
      <c r="I169" s="559"/>
      <c r="J169" s="559"/>
      <c r="K169" s="559"/>
      <c r="L169" s="559"/>
      <c r="M169" s="559"/>
      <c r="N169" s="559"/>
      <c r="O169" s="559"/>
      <c r="P169" s="559"/>
      <c r="Q169" s="559"/>
      <c r="R169" s="559"/>
      <c r="S169" s="559"/>
      <c r="T169" s="559"/>
      <c r="U169" s="559"/>
      <c r="V169" s="559"/>
      <c r="W169" s="559"/>
      <c r="X169" s="559"/>
      <c r="Y169" s="559"/>
      <c r="Z169" s="559"/>
      <c r="AA169" s="559"/>
      <c r="AB169" s="559"/>
      <c r="AC169" s="559"/>
      <c r="AD169" s="559"/>
      <c r="AE169" s="559"/>
      <c r="AF169" s="559"/>
      <c r="AG169" s="559"/>
      <c r="AH169" s="559"/>
      <c r="AI169" s="559"/>
      <c r="AJ169" s="559"/>
      <c r="AK169" s="559"/>
      <c r="AL169" s="559"/>
      <c r="AM169" s="559"/>
      <c r="AN169" s="559"/>
    </row>
    <row r="170">
      <c r="A170" s="559"/>
      <c r="B170" s="559"/>
      <c r="C170" s="559"/>
      <c r="D170" s="559"/>
      <c r="E170" s="559"/>
      <c r="F170" s="559"/>
      <c r="G170" s="559"/>
      <c r="H170" s="559"/>
      <c r="I170" s="559"/>
      <c r="J170" s="559"/>
      <c r="K170" s="559"/>
      <c r="L170" s="559"/>
      <c r="M170" s="559"/>
      <c r="N170" s="559"/>
      <c r="O170" s="559"/>
      <c r="P170" s="559"/>
      <c r="Q170" s="559"/>
      <c r="R170" s="559"/>
      <c r="S170" s="559"/>
      <c r="T170" s="559"/>
      <c r="U170" s="559"/>
      <c r="V170" s="559"/>
      <c r="W170" s="559"/>
      <c r="X170" s="559"/>
      <c r="Y170" s="559"/>
      <c r="Z170" s="559"/>
      <c r="AA170" s="559"/>
      <c r="AB170" s="559"/>
      <c r="AC170" s="559"/>
      <c r="AD170" s="559"/>
      <c r="AE170" s="559"/>
      <c r="AF170" s="559"/>
      <c r="AG170" s="559"/>
      <c r="AH170" s="559"/>
      <c r="AI170" s="559"/>
      <c r="AJ170" s="559"/>
      <c r="AK170" s="559"/>
      <c r="AL170" s="559"/>
      <c r="AM170" s="559"/>
      <c r="AN170" s="559"/>
    </row>
    <row r="171">
      <c r="A171" s="559"/>
      <c r="B171" s="559"/>
      <c r="C171" s="559"/>
      <c r="D171" s="559"/>
      <c r="E171" s="559"/>
      <c r="F171" s="559"/>
      <c r="G171" s="559"/>
      <c r="H171" s="559"/>
      <c r="I171" s="559"/>
      <c r="J171" s="559"/>
      <c r="K171" s="559"/>
      <c r="L171" s="559"/>
      <c r="M171" s="559"/>
      <c r="N171" s="559"/>
      <c r="O171" s="559"/>
      <c r="P171" s="559"/>
      <c r="Q171" s="559"/>
      <c r="R171" s="559"/>
      <c r="S171" s="559"/>
      <c r="T171" s="559"/>
      <c r="U171" s="559"/>
      <c r="V171" s="559"/>
      <c r="W171" s="559"/>
      <c r="X171" s="559"/>
      <c r="Y171" s="559"/>
      <c r="Z171" s="559"/>
      <c r="AA171" s="559"/>
      <c r="AB171" s="559"/>
      <c r="AC171" s="559"/>
      <c r="AD171" s="559"/>
      <c r="AE171" s="559"/>
      <c r="AF171" s="559"/>
      <c r="AG171" s="559"/>
      <c r="AH171" s="559"/>
      <c r="AI171" s="559"/>
      <c r="AJ171" s="559"/>
      <c r="AK171" s="559"/>
      <c r="AL171" s="559"/>
      <c r="AM171" s="559"/>
      <c r="AN171" s="559"/>
    </row>
    <row r="172">
      <c r="A172" s="559"/>
      <c r="B172" s="559"/>
      <c r="C172" s="559"/>
      <c r="D172" s="559"/>
      <c r="E172" s="559"/>
      <c r="F172" s="559"/>
      <c r="G172" s="559"/>
      <c r="H172" s="559"/>
      <c r="I172" s="559"/>
      <c r="J172" s="559"/>
      <c r="K172" s="559"/>
      <c r="L172" s="559"/>
      <c r="M172" s="559"/>
      <c r="N172" s="559"/>
      <c r="O172" s="559"/>
      <c r="P172" s="559"/>
      <c r="Q172" s="559"/>
      <c r="R172" s="559"/>
      <c r="S172" s="559"/>
      <c r="T172" s="559"/>
      <c r="U172" s="559"/>
      <c r="V172" s="559"/>
      <c r="W172" s="559"/>
      <c r="X172" s="559"/>
      <c r="Y172" s="559"/>
      <c r="Z172" s="559"/>
      <c r="AA172" s="559"/>
      <c r="AB172" s="559"/>
      <c r="AC172" s="559"/>
      <c r="AD172" s="559"/>
      <c r="AE172" s="559"/>
      <c r="AF172" s="559"/>
      <c r="AG172" s="559"/>
      <c r="AH172" s="559"/>
      <c r="AI172" s="559"/>
      <c r="AJ172" s="559"/>
      <c r="AK172" s="559"/>
      <c r="AL172" s="559"/>
      <c r="AM172" s="559"/>
      <c r="AN172" s="559"/>
    </row>
    <row r="173">
      <c r="A173" s="559"/>
      <c r="B173" s="559"/>
      <c r="C173" s="559"/>
      <c r="D173" s="559"/>
      <c r="E173" s="559"/>
      <c r="F173" s="559"/>
      <c r="G173" s="559"/>
      <c r="H173" s="559"/>
      <c r="I173" s="559"/>
      <c r="J173" s="559"/>
      <c r="K173" s="559"/>
      <c r="L173" s="559"/>
      <c r="M173" s="559"/>
      <c r="N173" s="559"/>
      <c r="O173" s="559"/>
      <c r="P173" s="559"/>
      <c r="Q173" s="559"/>
      <c r="R173" s="559"/>
      <c r="S173" s="559"/>
      <c r="T173" s="559"/>
      <c r="U173" s="559"/>
      <c r="V173" s="559"/>
      <c r="W173" s="559"/>
      <c r="X173" s="559"/>
      <c r="Y173" s="559"/>
      <c r="Z173" s="559"/>
      <c r="AA173" s="559"/>
      <c r="AB173" s="559"/>
      <c r="AC173" s="559"/>
      <c r="AD173" s="559"/>
      <c r="AE173" s="559"/>
      <c r="AF173" s="559"/>
      <c r="AG173" s="559"/>
      <c r="AH173" s="559"/>
      <c r="AI173" s="559"/>
      <c r="AJ173" s="559"/>
      <c r="AK173" s="559"/>
      <c r="AL173" s="559"/>
      <c r="AM173" s="559"/>
      <c r="AN173" s="559"/>
    </row>
    <row r="174">
      <c r="A174" s="559"/>
      <c r="B174" s="559"/>
      <c r="C174" s="559"/>
      <c r="D174" s="559"/>
      <c r="E174" s="559"/>
      <c r="F174" s="559"/>
      <c r="G174" s="559"/>
      <c r="H174" s="559"/>
      <c r="I174" s="559"/>
      <c r="J174" s="559"/>
      <c r="K174" s="559"/>
      <c r="L174" s="559"/>
      <c r="M174" s="559"/>
      <c r="N174" s="559"/>
      <c r="O174" s="559"/>
      <c r="P174" s="559"/>
      <c r="Q174" s="559"/>
      <c r="R174" s="559"/>
      <c r="S174" s="559"/>
      <c r="T174" s="559"/>
      <c r="U174" s="559"/>
      <c r="V174" s="559"/>
      <c r="W174" s="559"/>
      <c r="X174" s="559"/>
      <c r="Y174" s="559"/>
      <c r="Z174" s="559"/>
      <c r="AA174" s="559"/>
      <c r="AB174" s="559"/>
      <c r="AC174" s="559"/>
      <c r="AD174" s="559"/>
      <c r="AE174" s="559"/>
      <c r="AF174" s="559"/>
      <c r="AG174" s="559"/>
      <c r="AH174" s="559"/>
      <c r="AI174" s="559"/>
      <c r="AJ174" s="559"/>
      <c r="AK174" s="559"/>
      <c r="AL174" s="559"/>
      <c r="AM174" s="559"/>
      <c r="AN174" s="559"/>
    </row>
    <row r="175">
      <c r="A175" s="559"/>
      <c r="B175" s="559"/>
      <c r="C175" s="559"/>
      <c r="D175" s="559"/>
      <c r="E175" s="559"/>
      <c r="F175" s="559"/>
      <c r="G175" s="559"/>
      <c r="H175" s="559"/>
      <c r="I175" s="559"/>
      <c r="J175" s="559"/>
      <c r="K175" s="559"/>
      <c r="L175" s="559"/>
      <c r="M175" s="559"/>
      <c r="N175" s="559"/>
      <c r="O175" s="559"/>
      <c r="P175" s="559"/>
      <c r="Q175" s="559"/>
      <c r="R175" s="559"/>
      <c r="S175" s="559"/>
      <c r="T175" s="559"/>
      <c r="U175" s="559"/>
      <c r="V175" s="559"/>
      <c r="W175" s="559"/>
      <c r="X175" s="559"/>
      <c r="Y175" s="559"/>
      <c r="Z175" s="559"/>
      <c r="AA175" s="559"/>
      <c r="AB175" s="559"/>
      <c r="AC175" s="559"/>
      <c r="AD175" s="559"/>
      <c r="AE175" s="559"/>
      <c r="AF175" s="559"/>
      <c r="AG175" s="559"/>
      <c r="AH175" s="559"/>
      <c r="AI175" s="559"/>
      <c r="AJ175" s="559"/>
      <c r="AK175" s="559"/>
      <c r="AL175" s="559"/>
      <c r="AM175" s="559"/>
      <c r="AN175" s="559"/>
    </row>
    <row r="176">
      <c r="A176" s="559"/>
      <c r="B176" s="559"/>
      <c r="C176" s="559"/>
      <c r="D176" s="559"/>
      <c r="E176" s="559"/>
      <c r="F176" s="559"/>
      <c r="G176" s="559"/>
      <c r="H176" s="559"/>
      <c r="I176" s="559"/>
      <c r="J176" s="559"/>
      <c r="K176" s="559"/>
      <c r="L176" s="559"/>
      <c r="M176" s="559"/>
      <c r="N176" s="559"/>
      <c r="O176" s="559"/>
      <c r="P176" s="559"/>
      <c r="Q176" s="559"/>
      <c r="R176" s="559"/>
      <c r="S176" s="559"/>
      <c r="T176" s="559"/>
      <c r="U176" s="559"/>
      <c r="V176" s="559"/>
      <c r="W176" s="559"/>
      <c r="X176" s="559"/>
      <c r="Y176" s="559"/>
      <c r="Z176" s="559"/>
      <c r="AA176" s="559"/>
      <c r="AB176" s="559"/>
      <c r="AC176" s="559"/>
      <c r="AD176" s="559"/>
      <c r="AE176" s="559"/>
      <c r="AF176" s="559"/>
      <c r="AG176" s="559"/>
      <c r="AH176" s="559"/>
      <c r="AI176" s="559"/>
      <c r="AJ176" s="559"/>
      <c r="AK176" s="559"/>
      <c r="AL176" s="559"/>
      <c r="AM176" s="559"/>
      <c r="AN176" s="559"/>
    </row>
    <row r="177">
      <c r="A177" s="559"/>
      <c r="B177" s="559"/>
      <c r="C177" s="559"/>
      <c r="D177" s="559"/>
      <c r="E177" s="559"/>
      <c r="F177" s="559"/>
      <c r="G177" s="559"/>
      <c r="H177" s="559"/>
      <c r="I177" s="559"/>
      <c r="J177" s="559"/>
      <c r="K177" s="559"/>
      <c r="L177" s="559"/>
      <c r="M177" s="559"/>
      <c r="N177" s="559"/>
      <c r="O177" s="559"/>
      <c r="P177" s="559"/>
      <c r="Q177" s="559"/>
      <c r="R177" s="559"/>
      <c r="S177" s="559"/>
      <c r="T177" s="559"/>
      <c r="U177" s="559"/>
      <c r="V177" s="559"/>
      <c r="W177" s="559"/>
      <c r="X177" s="559"/>
      <c r="Y177" s="559"/>
      <c r="Z177" s="559"/>
      <c r="AA177" s="559"/>
      <c r="AB177" s="559"/>
      <c r="AC177" s="559"/>
      <c r="AD177" s="559"/>
      <c r="AE177" s="559"/>
      <c r="AF177" s="559"/>
      <c r="AG177" s="559"/>
      <c r="AH177" s="559"/>
      <c r="AI177" s="559"/>
      <c r="AJ177" s="559"/>
      <c r="AK177" s="559"/>
      <c r="AL177" s="559"/>
      <c r="AM177" s="559"/>
      <c r="AN177" s="559"/>
    </row>
    <row r="178">
      <c r="A178" s="559"/>
      <c r="B178" s="559"/>
      <c r="C178" s="559"/>
      <c r="D178" s="559"/>
      <c r="E178" s="559"/>
      <c r="F178" s="559"/>
      <c r="G178" s="559"/>
      <c r="H178" s="559"/>
      <c r="I178" s="559"/>
      <c r="J178" s="559"/>
      <c r="K178" s="559"/>
      <c r="L178" s="559"/>
      <c r="M178" s="559"/>
      <c r="N178" s="559"/>
      <c r="O178" s="559"/>
      <c r="P178" s="559"/>
      <c r="Q178" s="559"/>
      <c r="R178" s="559"/>
      <c r="S178" s="559"/>
      <c r="T178" s="559"/>
      <c r="U178" s="559"/>
      <c r="V178" s="559"/>
      <c r="W178" s="559"/>
      <c r="X178" s="559"/>
      <c r="Y178" s="559"/>
      <c r="Z178" s="559"/>
      <c r="AA178" s="559"/>
      <c r="AB178" s="559"/>
      <c r="AC178" s="559"/>
      <c r="AD178" s="559"/>
      <c r="AE178" s="559"/>
      <c r="AF178" s="559"/>
      <c r="AG178" s="559"/>
      <c r="AH178" s="559"/>
      <c r="AI178" s="559"/>
      <c r="AJ178" s="559"/>
      <c r="AK178" s="559"/>
      <c r="AL178" s="559"/>
      <c r="AM178" s="559"/>
      <c r="AN178" s="559"/>
    </row>
    <row r="179">
      <c r="A179" s="559"/>
      <c r="B179" s="559"/>
      <c r="C179" s="559"/>
      <c r="D179" s="559"/>
      <c r="E179" s="559"/>
      <c r="F179" s="559"/>
      <c r="G179" s="559"/>
      <c r="H179" s="559"/>
      <c r="I179" s="559"/>
      <c r="J179" s="559"/>
      <c r="K179" s="559"/>
      <c r="L179" s="559"/>
      <c r="M179" s="559"/>
      <c r="N179" s="559"/>
      <c r="O179" s="559"/>
      <c r="P179" s="559"/>
      <c r="Q179" s="559"/>
      <c r="R179" s="559"/>
      <c r="S179" s="559"/>
      <c r="T179" s="559"/>
      <c r="U179" s="559"/>
      <c r="V179" s="559"/>
      <c r="W179" s="559"/>
      <c r="X179" s="559"/>
      <c r="Y179" s="559"/>
      <c r="Z179" s="559"/>
      <c r="AA179" s="559"/>
      <c r="AB179" s="559"/>
      <c r="AC179" s="559"/>
      <c r="AD179" s="559"/>
      <c r="AE179" s="559"/>
      <c r="AF179" s="559"/>
      <c r="AG179" s="559"/>
      <c r="AH179" s="559"/>
      <c r="AI179" s="559"/>
      <c r="AJ179" s="559"/>
      <c r="AK179" s="559"/>
      <c r="AL179" s="559"/>
      <c r="AM179" s="559"/>
      <c r="AN179" s="559"/>
    </row>
    <row r="180">
      <c r="A180" s="559"/>
      <c r="B180" s="559"/>
      <c r="C180" s="559"/>
      <c r="D180" s="559"/>
      <c r="E180" s="559"/>
      <c r="F180" s="559"/>
      <c r="G180" s="559"/>
      <c r="H180" s="559"/>
      <c r="I180" s="559"/>
      <c r="J180" s="559"/>
      <c r="K180" s="559"/>
      <c r="L180" s="559"/>
      <c r="M180" s="559"/>
      <c r="N180" s="559"/>
      <c r="O180" s="559"/>
      <c r="P180" s="559"/>
      <c r="Q180" s="559"/>
      <c r="R180" s="559"/>
      <c r="S180" s="559"/>
      <c r="T180" s="559"/>
      <c r="U180" s="559"/>
      <c r="V180" s="559"/>
      <c r="W180" s="559"/>
      <c r="X180" s="559"/>
      <c r="Y180" s="559"/>
      <c r="Z180" s="559"/>
      <c r="AA180" s="559"/>
      <c r="AB180" s="559"/>
      <c r="AC180" s="559"/>
      <c r="AD180" s="559"/>
      <c r="AE180" s="559"/>
      <c r="AF180" s="559"/>
      <c r="AG180" s="559"/>
      <c r="AH180" s="559"/>
      <c r="AI180" s="559"/>
      <c r="AJ180" s="559"/>
      <c r="AK180" s="559"/>
      <c r="AL180" s="559"/>
      <c r="AM180" s="559"/>
      <c r="AN180" s="559"/>
    </row>
    <row r="181">
      <c r="A181" s="559"/>
      <c r="B181" s="559"/>
      <c r="C181" s="559"/>
      <c r="D181" s="559"/>
      <c r="E181" s="559"/>
      <c r="F181" s="559"/>
      <c r="G181" s="559"/>
      <c r="H181" s="559"/>
      <c r="I181" s="559"/>
      <c r="J181" s="559"/>
      <c r="K181" s="559"/>
      <c r="L181" s="559"/>
      <c r="M181" s="559"/>
      <c r="N181" s="559"/>
      <c r="O181" s="559"/>
      <c r="P181" s="559"/>
      <c r="Q181" s="559"/>
      <c r="R181" s="559"/>
      <c r="S181" s="559"/>
      <c r="T181" s="559"/>
      <c r="U181" s="559"/>
      <c r="V181" s="559"/>
      <c r="W181" s="559"/>
      <c r="X181" s="559"/>
      <c r="Y181" s="559"/>
      <c r="Z181" s="559"/>
      <c r="AA181" s="559"/>
      <c r="AB181" s="559"/>
      <c r="AC181" s="559"/>
      <c r="AD181" s="559"/>
      <c r="AE181" s="559"/>
      <c r="AF181" s="559"/>
      <c r="AG181" s="559"/>
      <c r="AH181" s="559"/>
      <c r="AI181" s="559"/>
      <c r="AJ181" s="559"/>
      <c r="AK181" s="559"/>
      <c r="AL181" s="559"/>
      <c r="AM181" s="559"/>
      <c r="AN181" s="559"/>
    </row>
    <row r="182">
      <c r="A182" s="559"/>
      <c r="B182" s="559"/>
      <c r="C182" s="559"/>
      <c r="D182" s="559"/>
      <c r="E182" s="559"/>
      <c r="F182" s="559"/>
      <c r="G182" s="559"/>
      <c r="H182" s="559"/>
      <c r="I182" s="559"/>
      <c r="J182" s="559"/>
      <c r="K182" s="559"/>
      <c r="L182" s="559"/>
      <c r="M182" s="559"/>
      <c r="N182" s="559"/>
      <c r="O182" s="559"/>
      <c r="P182" s="559"/>
      <c r="Q182" s="559"/>
      <c r="R182" s="559"/>
      <c r="S182" s="559"/>
      <c r="T182" s="559"/>
      <c r="U182" s="559"/>
      <c r="V182" s="559"/>
      <c r="W182" s="559"/>
      <c r="X182" s="559"/>
      <c r="Y182" s="559"/>
      <c r="Z182" s="559"/>
      <c r="AA182" s="559"/>
      <c r="AB182" s="559"/>
      <c r="AC182" s="559"/>
      <c r="AD182" s="559"/>
      <c r="AE182" s="559"/>
      <c r="AF182" s="559"/>
      <c r="AG182" s="559"/>
      <c r="AH182" s="559"/>
      <c r="AI182" s="559"/>
      <c r="AJ182" s="559"/>
      <c r="AK182" s="559"/>
      <c r="AL182" s="559"/>
      <c r="AM182" s="559"/>
      <c r="AN182" s="559"/>
    </row>
    <row r="183">
      <c r="A183" s="559"/>
      <c r="B183" s="559"/>
      <c r="C183" s="559"/>
      <c r="D183" s="559"/>
      <c r="E183" s="559"/>
      <c r="F183" s="559"/>
      <c r="G183" s="559"/>
      <c r="H183" s="559"/>
      <c r="I183" s="559"/>
      <c r="J183" s="559"/>
      <c r="K183" s="559"/>
      <c r="L183" s="559"/>
      <c r="M183" s="559"/>
      <c r="N183" s="559"/>
      <c r="O183" s="559"/>
      <c r="P183" s="559"/>
      <c r="Q183" s="559"/>
      <c r="R183" s="559"/>
      <c r="S183" s="559"/>
      <c r="T183" s="559"/>
      <c r="U183" s="559"/>
      <c r="V183" s="559"/>
      <c r="W183" s="559"/>
      <c r="X183" s="559"/>
      <c r="Y183" s="559"/>
      <c r="Z183" s="559"/>
      <c r="AA183" s="559"/>
      <c r="AB183" s="559"/>
      <c r="AC183" s="559"/>
      <c r="AD183" s="559"/>
      <c r="AE183" s="559"/>
      <c r="AF183" s="559"/>
      <c r="AG183" s="559"/>
      <c r="AH183" s="559"/>
      <c r="AI183" s="559"/>
      <c r="AJ183" s="559"/>
      <c r="AK183" s="559"/>
      <c r="AL183" s="559"/>
      <c r="AM183" s="559"/>
      <c r="AN183" s="559"/>
    </row>
    <row r="184">
      <c r="A184" s="559"/>
      <c r="B184" s="559"/>
      <c r="C184" s="559"/>
      <c r="D184" s="559"/>
      <c r="E184" s="559"/>
      <c r="F184" s="559"/>
      <c r="G184" s="559"/>
      <c r="H184" s="559"/>
      <c r="I184" s="559"/>
      <c r="J184" s="559"/>
      <c r="K184" s="559"/>
      <c r="L184" s="559"/>
      <c r="M184" s="559"/>
      <c r="N184" s="559"/>
      <c r="O184" s="559"/>
      <c r="P184" s="559"/>
      <c r="Q184" s="559"/>
      <c r="R184" s="559"/>
      <c r="S184" s="559"/>
      <c r="T184" s="559"/>
      <c r="U184" s="559"/>
      <c r="V184" s="559"/>
      <c r="W184" s="559"/>
      <c r="X184" s="559"/>
      <c r="Y184" s="559"/>
      <c r="Z184" s="559"/>
      <c r="AA184" s="559"/>
      <c r="AB184" s="559"/>
      <c r="AC184" s="559"/>
      <c r="AD184" s="559"/>
      <c r="AE184" s="559"/>
      <c r="AF184" s="559"/>
      <c r="AG184" s="559"/>
      <c r="AH184" s="559"/>
      <c r="AI184" s="559"/>
      <c r="AJ184" s="559"/>
      <c r="AK184" s="559"/>
      <c r="AL184" s="559"/>
      <c r="AM184" s="559"/>
      <c r="AN184" s="559"/>
    </row>
    <row r="185">
      <c r="A185" s="559"/>
      <c r="B185" s="559"/>
      <c r="C185" s="559"/>
      <c r="D185" s="559"/>
      <c r="E185" s="559"/>
      <c r="F185" s="559"/>
      <c r="G185" s="559"/>
      <c r="H185" s="559"/>
      <c r="I185" s="559"/>
      <c r="J185" s="559"/>
      <c r="K185" s="559"/>
      <c r="L185" s="559"/>
      <c r="M185" s="559"/>
      <c r="N185" s="559"/>
      <c r="O185" s="559"/>
      <c r="P185" s="559"/>
      <c r="Q185" s="559"/>
      <c r="R185" s="559"/>
      <c r="S185" s="559"/>
      <c r="T185" s="559"/>
      <c r="U185" s="559"/>
      <c r="V185" s="559"/>
      <c r="W185" s="559"/>
      <c r="X185" s="559"/>
      <c r="Y185" s="559"/>
      <c r="Z185" s="559"/>
      <c r="AA185" s="559"/>
      <c r="AB185" s="559"/>
      <c r="AC185" s="559"/>
      <c r="AD185" s="559"/>
      <c r="AE185" s="559"/>
      <c r="AF185" s="559"/>
      <c r="AG185" s="559"/>
      <c r="AH185" s="559"/>
      <c r="AI185" s="559"/>
      <c r="AJ185" s="559"/>
      <c r="AK185" s="559"/>
      <c r="AL185" s="559"/>
      <c r="AM185" s="559"/>
      <c r="AN185" s="559"/>
    </row>
    <row r="186">
      <c r="A186" s="559"/>
      <c r="B186" s="559"/>
      <c r="C186" s="559"/>
      <c r="D186" s="559"/>
      <c r="E186" s="559"/>
      <c r="F186" s="559"/>
      <c r="G186" s="559"/>
      <c r="H186" s="559"/>
      <c r="I186" s="559"/>
      <c r="J186" s="559"/>
      <c r="K186" s="559"/>
      <c r="L186" s="559"/>
      <c r="M186" s="559"/>
      <c r="N186" s="559"/>
      <c r="O186" s="559"/>
      <c r="P186" s="559"/>
      <c r="Q186" s="559"/>
      <c r="R186" s="559"/>
      <c r="S186" s="559"/>
      <c r="T186" s="559"/>
      <c r="U186" s="559"/>
      <c r="V186" s="559"/>
      <c r="W186" s="559"/>
      <c r="X186" s="559"/>
      <c r="Y186" s="559"/>
      <c r="Z186" s="559"/>
      <c r="AA186" s="559"/>
      <c r="AB186" s="559"/>
      <c r="AC186" s="559"/>
      <c r="AD186" s="559"/>
      <c r="AE186" s="559"/>
      <c r="AF186" s="559"/>
      <c r="AG186" s="559"/>
      <c r="AH186" s="559"/>
      <c r="AI186" s="559"/>
      <c r="AJ186" s="559"/>
      <c r="AK186" s="559"/>
      <c r="AL186" s="559"/>
      <c r="AM186" s="559"/>
      <c r="AN186" s="559"/>
    </row>
    <row r="187">
      <c r="A187" s="559"/>
      <c r="B187" s="559"/>
      <c r="C187" s="559"/>
      <c r="D187" s="559"/>
      <c r="E187" s="559"/>
      <c r="F187" s="559"/>
      <c r="G187" s="559"/>
      <c r="H187" s="559"/>
      <c r="I187" s="559"/>
      <c r="J187" s="559"/>
      <c r="K187" s="559"/>
      <c r="L187" s="559"/>
      <c r="M187" s="559"/>
      <c r="N187" s="559"/>
      <c r="O187" s="559"/>
      <c r="P187" s="559"/>
      <c r="Q187" s="559"/>
      <c r="R187" s="559"/>
      <c r="S187" s="559"/>
      <c r="T187" s="559"/>
      <c r="U187" s="559"/>
      <c r="V187" s="559"/>
      <c r="W187" s="559"/>
      <c r="X187" s="559"/>
      <c r="Y187" s="559"/>
      <c r="Z187" s="559"/>
      <c r="AA187" s="559"/>
      <c r="AB187" s="559"/>
      <c r="AC187" s="559"/>
      <c r="AD187" s="559"/>
      <c r="AE187" s="559"/>
      <c r="AF187" s="559"/>
      <c r="AG187" s="559"/>
      <c r="AH187" s="559"/>
      <c r="AI187" s="559"/>
      <c r="AJ187" s="559"/>
      <c r="AK187" s="559"/>
      <c r="AL187" s="559"/>
      <c r="AM187" s="559"/>
      <c r="AN187" s="559"/>
    </row>
    <row r="188">
      <c r="A188" s="559"/>
      <c r="B188" s="559"/>
      <c r="C188" s="559"/>
      <c r="D188" s="559"/>
      <c r="E188" s="559"/>
      <c r="F188" s="559"/>
      <c r="G188" s="559"/>
      <c r="H188" s="559"/>
      <c r="I188" s="559"/>
      <c r="J188" s="559"/>
      <c r="K188" s="559"/>
      <c r="L188" s="559"/>
      <c r="M188" s="559"/>
      <c r="N188" s="559"/>
      <c r="O188" s="559"/>
      <c r="P188" s="559"/>
      <c r="Q188" s="559"/>
      <c r="R188" s="559"/>
      <c r="S188" s="559"/>
      <c r="T188" s="559"/>
      <c r="U188" s="559"/>
      <c r="V188" s="559"/>
      <c r="W188" s="559"/>
      <c r="X188" s="559"/>
      <c r="Y188" s="559"/>
      <c r="Z188" s="559"/>
      <c r="AA188" s="559"/>
      <c r="AB188" s="559"/>
      <c r="AC188" s="559"/>
      <c r="AD188" s="559"/>
      <c r="AE188" s="559"/>
      <c r="AF188" s="559"/>
      <c r="AG188" s="559"/>
      <c r="AH188" s="559"/>
      <c r="AI188" s="559"/>
      <c r="AJ188" s="559"/>
      <c r="AK188" s="559"/>
      <c r="AL188" s="559"/>
      <c r="AM188" s="559"/>
      <c r="AN188" s="559"/>
    </row>
    <row r="189">
      <c r="A189" s="559"/>
      <c r="B189" s="559"/>
      <c r="C189" s="559"/>
      <c r="D189" s="559"/>
      <c r="E189" s="559"/>
      <c r="F189" s="559"/>
      <c r="G189" s="559"/>
      <c r="H189" s="559"/>
      <c r="I189" s="559"/>
      <c r="J189" s="559"/>
      <c r="K189" s="559"/>
      <c r="L189" s="559"/>
      <c r="M189" s="559"/>
      <c r="N189" s="559"/>
      <c r="O189" s="559"/>
      <c r="P189" s="559"/>
      <c r="Q189" s="559"/>
      <c r="R189" s="559"/>
      <c r="S189" s="559"/>
      <c r="T189" s="559"/>
      <c r="U189" s="559"/>
      <c r="V189" s="559"/>
      <c r="W189" s="559"/>
      <c r="X189" s="559"/>
      <c r="Y189" s="559"/>
      <c r="Z189" s="559"/>
      <c r="AA189" s="559"/>
      <c r="AB189" s="559"/>
      <c r="AC189" s="559"/>
      <c r="AD189" s="559"/>
      <c r="AE189" s="559"/>
      <c r="AF189" s="559"/>
      <c r="AG189" s="559"/>
      <c r="AH189" s="559"/>
      <c r="AI189" s="559"/>
      <c r="AJ189" s="559"/>
      <c r="AK189" s="559"/>
      <c r="AL189" s="559"/>
      <c r="AM189" s="559"/>
      <c r="AN189" s="559"/>
    </row>
    <row r="190">
      <c r="A190" s="559"/>
      <c r="B190" s="559"/>
      <c r="C190" s="559"/>
      <c r="D190" s="559"/>
      <c r="E190" s="559"/>
      <c r="F190" s="559"/>
      <c r="G190" s="559"/>
      <c r="H190" s="559"/>
      <c r="I190" s="559"/>
      <c r="J190" s="559"/>
      <c r="K190" s="559"/>
      <c r="L190" s="559"/>
      <c r="M190" s="559"/>
      <c r="N190" s="559"/>
      <c r="O190" s="559"/>
      <c r="P190" s="559"/>
      <c r="Q190" s="559"/>
      <c r="R190" s="559"/>
      <c r="S190" s="559"/>
      <c r="T190" s="559"/>
      <c r="U190" s="559"/>
      <c r="V190" s="559"/>
      <c r="W190" s="559"/>
      <c r="X190" s="559"/>
      <c r="Y190" s="559"/>
      <c r="Z190" s="559"/>
      <c r="AA190" s="559"/>
      <c r="AB190" s="559"/>
      <c r="AC190" s="559"/>
      <c r="AD190" s="559"/>
      <c r="AE190" s="559"/>
      <c r="AF190" s="559"/>
      <c r="AG190" s="559"/>
      <c r="AH190" s="559"/>
      <c r="AI190" s="559"/>
      <c r="AJ190" s="559"/>
      <c r="AK190" s="559"/>
      <c r="AL190" s="559"/>
      <c r="AM190" s="559"/>
      <c r="AN190" s="559"/>
    </row>
    <row r="191">
      <c r="A191" s="559"/>
      <c r="B191" s="559"/>
      <c r="C191" s="559"/>
      <c r="D191" s="559"/>
      <c r="E191" s="559"/>
      <c r="F191" s="559"/>
      <c r="G191" s="559"/>
      <c r="H191" s="559"/>
      <c r="I191" s="559"/>
      <c r="J191" s="559"/>
      <c r="K191" s="559"/>
      <c r="L191" s="559"/>
      <c r="M191" s="559"/>
      <c r="N191" s="559"/>
      <c r="O191" s="559"/>
      <c r="P191" s="559"/>
      <c r="Q191" s="559"/>
      <c r="R191" s="559"/>
      <c r="S191" s="559"/>
      <c r="T191" s="559"/>
      <c r="U191" s="559"/>
      <c r="V191" s="559"/>
      <c r="W191" s="559"/>
      <c r="X191" s="559"/>
      <c r="Y191" s="559"/>
      <c r="Z191" s="559"/>
      <c r="AA191" s="559"/>
      <c r="AB191" s="559"/>
      <c r="AC191" s="559"/>
      <c r="AD191" s="559"/>
      <c r="AE191" s="559"/>
      <c r="AF191" s="559"/>
      <c r="AG191" s="559"/>
      <c r="AH191" s="559"/>
      <c r="AI191" s="559"/>
      <c r="AJ191" s="559"/>
      <c r="AK191" s="559"/>
      <c r="AL191" s="559"/>
      <c r="AM191" s="559"/>
      <c r="AN191" s="559"/>
    </row>
    <row r="192">
      <c r="A192" s="559"/>
      <c r="B192" s="559"/>
      <c r="C192" s="559"/>
      <c r="D192" s="559"/>
      <c r="E192" s="559"/>
      <c r="F192" s="559"/>
      <c r="G192" s="559"/>
      <c r="H192" s="559"/>
      <c r="I192" s="559"/>
      <c r="J192" s="559"/>
      <c r="K192" s="559"/>
      <c r="L192" s="559"/>
      <c r="M192" s="559"/>
      <c r="N192" s="559"/>
      <c r="O192" s="559"/>
      <c r="P192" s="559"/>
      <c r="Q192" s="559"/>
      <c r="R192" s="559"/>
      <c r="S192" s="559"/>
      <c r="T192" s="559"/>
      <c r="U192" s="559"/>
      <c r="V192" s="559"/>
      <c r="W192" s="559"/>
      <c r="X192" s="559"/>
      <c r="Y192" s="559"/>
      <c r="Z192" s="559"/>
      <c r="AA192" s="559"/>
      <c r="AB192" s="559"/>
      <c r="AC192" s="559"/>
      <c r="AD192" s="559"/>
      <c r="AE192" s="559"/>
      <c r="AF192" s="559"/>
      <c r="AG192" s="559"/>
      <c r="AH192" s="559"/>
      <c r="AI192" s="559"/>
      <c r="AJ192" s="559"/>
      <c r="AK192" s="559"/>
      <c r="AL192" s="559"/>
      <c r="AM192" s="559"/>
      <c r="AN192" s="559"/>
    </row>
    <row r="193">
      <c r="A193" s="559"/>
      <c r="B193" s="559"/>
      <c r="C193" s="559"/>
      <c r="D193" s="559"/>
      <c r="E193" s="559"/>
      <c r="F193" s="559"/>
      <c r="G193" s="559"/>
      <c r="H193" s="559"/>
      <c r="I193" s="559"/>
      <c r="J193" s="559"/>
      <c r="K193" s="559"/>
      <c r="L193" s="559"/>
      <c r="M193" s="559"/>
      <c r="N193" s="559"/>
      <c r="O193" s="559"/>
      <c r="P193" s="559"/>
      <c r="Q193" s="559"/>
      <c r="R193" s="559"/>
      <c r="S193" s="559"/>
      <c r="T193" s="559"/>
      <c r="U193" s="559"/>
      <c r="V193" s="559"/>
      <c r="W193" s="559"/>
      <c r="X193" s="559"/>
      <c r="Y193" s="559"/>
      <c r="Z193" s="559"/>
      <c r="AA193" s="559"/>
      <c r="AB193" s="559"/>
      <c r="AC193" s="559"/>
      <c r="AD193" s="559"/>
      <c r="AE193" s="559"/>
      <c r="AF193" s="559"/>
      <c r="AG193" s="559"/>
      <c r="AH193" s="559"/>
      <c r="AI193" s="559"/>
      <c r="AJ193" s="559"/>
      <c r="AK193" s="559"/>
      <c r="AL193" s="559"/>
      <c r="AM193" s="559"/>
      <c r="AN193" s="559"/>
    </row>
    <row r="194">
      <c r="A194" s="559"/>
      <c r="B194" s="559"/>
      <c r="C194" s="559"/>
      <c r="D194" s="559"/>
      <c r="E194" s="559"/>
      <c r="F194" s="559"/>
      <c r="G194" s="559"/>
      <c r="H194" s="559"/>
      <c r="I194" s="559"/>
      <c r="J194" s="559"/>
      <c r="K194" s="559"/>
      <c r="L194" s="559"/>
      <c r="M194" s="559"/>
      <c r="N194" s="559"/>
      <c r="O194" s="559"/>
      <c r="P194" s="559"/>
      <c r="Q194" s="559"/>
      <c r="R194" s="559"/>
      <c r="S194" s="559"/>
      <c r="T194" s="559"/>
      <c r="U194" s="559"/>
      <c r="V194" s="559"/>
      <c r="W194" s="559"/>
      <c r="X194" s="559"/>
      <c r="Y194" s="559"/>
      <c r="Z194" s="559"/>
      <c r="AA194" s="559"/>
      <c r="AB194" s="559"/>
      <c r="AC194" s="559"/>
      <c r="AD194" s="559"/>
      <c r="AE194" s="559"/>
      <c r="AF194" s="559"/>
      <c r="AG194" s="559"/>
      <c r="AH194" s="559"/>
      <c r="AI194" s="559"/>
      <c r="AJ194" s="559"/>
      <c r="AK194" s="559"/>
      <c r="AL194" s="559"/>
      <c r="AM194" s="559"/>
      <c r="AN194" s="559"/>
    </row>
    <row r="195">
      <c r="A195" s="559"/>
      <c r="B195" s="559"/>
      <c r="C195" s="559"/>
      <c r="D195" s="559"/>
      <c r="E195" s="559"/>
      <c r="F195" s="559"/>
      <c r="G195" s="559"/>
      <c r="H195" s="559"/>
      <c r="I195" s="559"/>
      <c r="J195" s="559"/>
      <c r="K195" s="559"/>
      <c r="L195" s="559"/>
      <c r="M195" s="559"/>
      <c r="N195" s="559"/>
      <c r="O195" s="559"/>
      <c r="P195" s="559"/>
      <c r="Q195" s="559"/>
      <c r="R195" s="559"/>
      <c r="S195" s="559"/>
      <c r="T195" s="559"/>
      <c r="U195" s="559"/>
      <c r="V195" s="559"/>
      <c r="W195" s="559"/>
      <c r="X195" s="559"/>
      <c r="Y195" s="559"/>
      <c r="Z195" s="559"/>
      <c r="AA195" s="559"/>
      <c r="AB195" s="559"/>
      <c r="AC195" s="559"/>
      <c r="AD195" s="559"/>
      <c r="AE195" s="559"/>
      <c r="AF195" s="559"/>
      <c r="AG195" s="559"/>
      <c r="AH195" s="559"/>
      <c r="AI195" s="559"/>
      <c r="AJ195" s="559"/>
      <c r="AK195" s="559"/>
      <c r="AL195" s="559"/>
      <c r="AM195" s="559"/>
      <c r="AN195" s="559"/>
    </row>
    <row r="196">
      <c r="A196" s="559"/>
      <c r="B196" s="559"/>
      <c r="C196" s="559"/>
      <c r="D196" s="559"/>
      <c r="E196" s="559"/>
      <c r="F196" s="559"/>
      <c r="G196" s="559"/>
      <c r="H196" s="559"/>
      <c r="I196" s="559"/>
      <c r="J196" s="559"/>
      <c r="K196" s="559"/>
      <c r="L196" s="559"/>
      <c r="M196" s="559"/>
      <c r="N196" s="559"/>
      <c r="O196" s="559"/>
      <c r="P196" s="559"/>
      <c r="Q196" s="559"/>
      <c r="R196" s="559"/>
      <c r="S196" s="559"/>
      <c r="T196" s="559"/>
      <c r="U196" s="559"/>
      <c r="V196" s="559"/>
      <c r="W196" s="559"/>
      <c r="X196" s="559"/>
      <c r="Y196" s="559"/>
      <c r="Z196" s="559"/>
      <c r="AA196" s="559"/>
      <c r="AB196" s="559"/>
      <c r="AC196" s="559"/>
      <c r="AD196" s="559"/>
      <c r="AE196" s="559"/>
      <c r="AF196" s="559"/>
      <c r="AG196" s="559"/>
      <c r="AH196" s="559"/>
      <c r="AI196" s="559"/>
      <c r="AJ196" s="559"/>
      <c r="AK196" s="559"/>
      <c r="AL196" s="559"/>
      <c r="AM196" s="559"/>
      <c r="AN196" s="559"/>
    </row>
    <row r="197">
      <c r="A197" s="559"/>
      <c r="B197" s="559"/>
      <c r="C197" s="559"/>
      <c r="D197" s="559"/>
      <c r="E197" s="559"/>
      <c r="F197" s="559"/>
      <c r="G197" s="559"/>
      <c r="H197" s="559"/>
      <c r="I197" s="559"/>
      <c r="J197" s="559"/>
      <c r="K197" s="559"/>
      <c r="L197" s="559"/>
      <c r="M197" s="559"/>
      <c r="N197" s="559"/>
      <c r="O197" s="559"/>
      <c r="P197" s="559"/>
      <c r="Q197" s="559"/>
      <c r="R197" s="559"/>
      <c r="S197" s="559"/>
      <c r="T197" s="559"/>
      <c r="U197" s="559"/>
      <c r="V197" s="559"/>
      <c r="W197" s="559"/>
      <c r="X197" s="559"/>
      <c r="Y197" s="559"/>
      <c r="Z197" s="559"/>
      <c r="AA197" s="559"/>
      <c r="AB197" s="559"/>
      <c r="AC197" s="559"/>
      <c r="AD197" s="559"/>
      <c r="AE197" s="559"/>
      <c r="AF197" s="559"/>
      <c r="AG197" s="559"/>
      <c r="AH197" s="559"/>
      <c r="AI197" s="559"/>
      <c r="AJ197" s="559"/>
      <c r="AK197" s="559"/>
      <c r="AL197" s="559"/>
      <c r="AM197" s="559"/>
      <c r="AN197" s="559"/>
    </row>
    <row r="198">
      <c r="A198" s="559"/>
      <c r="B198" s="559"/>
      <c r="C198" s="559"/>
      <c r="D198" s="559"/>
      <c r="E198" s="559"/>
      <c r="F198" s="559"/>
      <c r="G198" s="559"/>
      <c r="H198" s="559"/>
      <c r="I198" s="559"/>
      <c r="J198" s="559"/>
      <c r="K198" s="559"/>
      <c r="L198" s="559"/>
      <c r="M198" s="559"/>
      <c r="N198" s="559"/>
      <c r="O198" s="559"/>
      <c r="P198" s="559"/>
      <c r="Q198" s="559"/>
      <c r="R198" s="559"/>
      <c r="S198" s="559"/>
      <c r="T198" s="559"/>
      <c r="U198" s="559"/>
      <c r="V198" s="559"/>
      <c r="W198" s="559"/>
      <c r="X198" s="559"/>
      <c r="Y198" s="559"/>
      <c r="Z198" s="559"/>
      <c r="AA198" s="559"/>
      <c r="AB198" s="559"/>
      <c r="AC198" s="559"/>
      <c r="AD198" s="559"/>
      <c r="AE198" s="559"/>
      <c r="AF198" s="559"/>
      <c r="AG198" s="559"/>
      <c r="AH198" s="559"/>
      <c r="AI198" s="559"/>
      <c r="AJ198" s="559"/>
      <c r="AK198" s="559"/>
      <c r="AL198" s="559"/>
      <c r="AM198" s="559"/>
      <c r="AN198" s="559"/>
    </row>
    <row r="199">
      <c r="A199" s="559"/>
      <c r="B199" s="559"/>
      <c r="C199" s="559"/>
      <c r="D199" s="559"/>
      <c r="E199" s="559"/>
      <c r="F199" s="559"/>
      <c r="G199" s="559"/>
      <c r="H199" s="559"/>
      <c r="I199" s="559"/>
      <c r="J199" s="559"/>
      <c r="K199" s="559"/>
      <c r="L199" s="559"/>
      <c r="M199" s="559"/>
      <c r="N199" s="559"/>
      <c r="O199" s="559"/>
      <c r="P199" s="559"/>
      <c r="Q199" s="559"/>
      <c r="R199" s="559"/>
      <c r="S199" s="559"/>
      <c r="T199" s="559"/>
      <c r="U199" s="559"/>
      <c r="V199" s="559"/>
      <c r="W199" s="559"/>
      <c r="X199" s="559"/>
      <c r="Y199" s="559"/>
      <c r="Z199" s="559"/>
      <c r="AA199" s="559"/>
      <c r="AB199" s="559"/>
      <c r="AC199" s="559"/>
      <c r="AD199" s="559"/>
      <c r="AE199" s="559"/>
      <c r="AF199" s="559"/>
      <c r="AG199" s="559"/>
      <c r="AH199" s="559"/>
      <c r="AI199" s="559"/>
      <c r="AJ199" s="559"/>
      <c r="AK199" s="559"/>
      <c r="AL199" s="559"/>
      <c r="AM199" s="559"/>
      <c r="AN199" s="559"/>
    </row>
    <row r="200">
      <c r="A200" s="559"/>
      <c r="B200" s="559"/>
      <c r="C200" s="559"/>
      <c r="D200" s="559"/>
      <c r="E200" s="559"/>
      <c r="F200" s="559"/>
      <c r="G200" s="559"/>
      <c r="H200" s="559"/>
      <c r="I200" s="559"/>
      <c r="J200" s="559"/>
      <c r="K200" s="559"/>
      <c r="L200" s="559"/>
      <c r="M200" s="559"/>
      <c r="N200" s="559"/>
      <c r="O200" s="559"/>
      <c r="P200" s="559"/>
      <c r="Q200" s="559"/>
      <c r="R200" s="559"/>
      <c r="S200" s="559"/>
      <c r="T200" s="559"/>
      <c r="U200" s="559"/>
      <c r="V200" s="559"/>
      <c r="W200" s="559"/>
      <c r="X200" s="559"/>
      <c r="Y200" s="559"/>
      <c r="Z200" s="559"/>
      <c r="AA200" s="559"/>
      <c r="AB200" s="559"/>
      <c r="AC200" s="559"/>
      <c r="AD200" s="559"/>
      <c r="AE200" s="559"/>
      <c r="AF200" s="559"/>
      <c r="AG200" s="559"/>
      <c r="AH200" s="559"/>
      <c r="AI200" s="559"/>
      <c r="AJ200" s="559"/>
      <c r="AK200" s="559"/>
      <c r="AL200" s="559"/>
      <c r="AM200" s="559"/>
      <c r="AN200" s="559"/>
    </row>
    <row r="201">
      <c r="A201" s="559"/>
      <c r="B201" s="559"/>
      <c r="C201" s="559"/>
      <c r="D201" s="559"/>
      <c r="E201" s="559"/>
      <c r="F201" s="559"/>
      <c r="G201" s="559"/>
      <c r="H201" s="559"/>
      <c r="I201" s="559"/>
      <c r="J201" s="559"/>
      <c r="K201" s="559"/>
      <c r="L201" s="559"/>
      <c r="M201" s="559"/>
      <c r="N201" s="559"/>
      <c r="O201" s="559"/>
      <c r="P201" s="559"/>
      <c r="Q201" s="559"/>
      <c r="R201" s="559"/>
      <c r="S201" s="559"/>
      <c r="T201" s="559"/>
      <c r="U201" s="559"/>
      <c r="V201" s="559"/>
      <c r="W201" s="559"/>
      <c r="X201" s="559"/>
      <c r="Y201" s="559"/>
      <c r="Z201" s="559"/>
      <c r="AA201" s="559"/>
      <c r="AB201" s="559"/>
      <c r="AC201" s="559"/>
      <c r="AD201" s="559"/>
      <c r="AE201" s="559"/>
      <c r="AF201" s="559"/>
      <c r="AG201" s="559"/>
      <c r="AH201" s="559"/>
      <c r="AI201" s="559"/>
      <c r="AJ201" s="559"/>
      <c r="AK201" s="559"/>
      <c r="AL201" s="559"/>
      <c r="AM201" s="559"/>
      <c r="AN201" s="559"/>
    </row>
    <row r="202">
      <c r="A202" s="559"/>
      <c r="B202" s="559"/>
      <c r="C202" s="559"/>
      <c r="D202" s="559"/>
      <c r="E202" s="559"/>
      <c r="F202" s="559"/>
      <c r="G202" s="559"/>
      <c r="H202" s="559"/>
      <c r="I202" s="559"/>
      <c r="J202" s="559"/>
      <c r="K202" s="559"/>
      <c r="L202" s="559"/>
      <c r="M202" s="559"/>
      <c r="N202" s="559"/>
      <c r="O202" s="559"/>
      <c r="P202" s="559"/>
      <c r="Q202" s="559"/>
      <c r="R202" s="559"/>
      <c r="S202" s="559"/>
      <c r="T202" s="559"/>
      <c r="U202" s="559"/>
      <c r="V202" s="559"/>
      <c r="W202" s="559"/>
      <c r="X202" s="559"/>
      <c r="Y202" s="559"/>
      <c r="Z202" s="559"/>
      <c r="AA202" s="559"/>
      <c r="AB202" s="559"/>
      <c r="AC202" s="559"/>
      <c r="AD202" s="559"/>
      <c r="AE202" s="559"/>
      <c r="AF202" s="559"/>
      <c r="AG202" s="559"/>
      <c r="AH202" s="559"/>
      <c r="AI202" s="559"/>
      <c r="AJ202" s="559"/>
      <c r="AK202" s="559"/>
      <c r="AL202" s="559"/>
      <c r="AM202" s="559"/>
      <c r="AN202" s="559"/>
    </row>
    <row r="203">
      <c r="A203" s="559"/>
      <c r="B203" s="559"/>
      <c r="C203" s="559"/>
      <c r="D203" s="559"/>
      <c r="E203" s="559"/>
      <c r="F203" s="559"/>
      <c r="G203" s="559"/>
      <c r="H203" s="559"/>
      <c r="I203" s="559"/>
      <c r="J203" s="559"/>
      <c r="K203" s="559"/>
      <c r="L203" s="559"/>
      <c r="M203" s="559"/>
      <c r="N203" s="559"/>
      <c r="O203" s="559"/>
      <c r="P203" s="559"/>
      <c r="Q203" s="559"/>
      <c r="R203" s="559"/>
      <c r="S203" s="559"/>
      <c r="T203" s="559"/>
      <c r="U203" s="559"/>
      <c r="V203" s="559"/>
      <c r="W203" s="559"/>
      <c r="X203" s="559"/>
      <c r="Y203" s="559"/>
      <c r="Z203" s="559"/>
      <c r="AA203" s="559"/>
      <c r="AB203" s="559"/>
      <c r="AC203" s="559"/>
      <c r="AD203" s="559"/>
      <c r="AE203" s="559"/>
      <c r="AF203" s="559"/>
      <c r="AG203" s="559"/>
      <c r="AH203" s="559"/>
      <c r="AI203" s="559"/>
      <c r="AJ203" s="559"/>
      <c r="AK203" s="559"/>
      <c r="AL203" s="559"/>
      <c r="AM203" s="559"/>
      <c r="AN203" s="559"/>
    </row>
    <row r="204">
      <c r="A204" s="559"/>
      <c r="B204" s="559"/>
      <c r="C204" s="559"/>
      <c r="D204" s="559"/>
      <c r="E204" s="559"/>
      <c r="F204" s="559"/>
      <c r="G204" s="559"/>
      <c r="H204" s="559"/>
      <c r="I204" s="559"/>
      <c r="J204" s="559"/>
      <c r="K204" s="559"/>
      <c r="L204" s="559"/>
      <c r="M204" s="559"/>
      <c r="N204" s="559"/>
      <c r="O204" s="559"/>
      <c r="P204" s="559"/>
      <c r="Q204" s="559"/>
      <c r="R204" s="559"/>
      <c r="S204" s="559"/>
      <c r="T204" s="559"/>
      <c r="U204" s="559"/>
      <c r="V204" s="559"/>
      <c r="W204" s="559"/>
      <c r="X204" s="559"/>
      <c r="Y204" s="559"/>
      <c r="Z204" s="559"/>
      <c r="AA204" s="559"/>
      <c r="AB204" s="559"/>
      <c r="AC204" s="559"/>
      <c r="AD204" s="559"/>
      <c r="AE204" s="559"/>
      <c r="AF204" s="559"/>
      <c r="AG204" s="559"/>
      <c r="AH204" s="559"/>
      <c r="AI204" s="559"/>
      <c r="AJ204" s="559"/>
      <c r="AK204" s="559"/>
      <c r="AL204" s="559"/>
      <c r="AM204" s="559"/>
      <c r="AN204" s="559"/>
    </row>
    <row r="205">
      <c r="A205" s="559"/>
      <c r="B205" s="559"/>
      <c r="C205" s="559"/>
      <c r="D205" s="559"/>
      <c r="E205" s="559"/>
      <c r="F205" s="559"/>
      <c r="G205" s="559"/>
      <c r="H205" s="559"/>
      <c r="I205" s="559"/>
      <c r="J205" s="559"/>
      <c r="K205" s="559"/>
      <c r="L205" s="559"/>
      <c r="M205" s="559"/>
      <c r="N205" s="559"/>
      <c r="O205" s="559"/>
      <c r="P205" s="559"/>
      <c r="Q205" s="559"/>
      <c r="R205" s="559"/>
      <c r="S205" s="559"/>
      <c r="T205" s="559"/>
      <c r="U205" s="559"/>
      <c r="V205" s="559"/>
      <c r="W205" s="559"/>
      <c r="X205" s="559"/>
      <c r="Y205" s="559"/>
      <c r="Z205" s="559"/>
      <c r="AA205" s="559"/>
      <c r="AB205" s="559"/>
      <c r="AC205" s="559"/>
      <c r="AD205" s="559"/>
      <c r="AE205" s="559"/>
      <c r="AF205" s="559"/>
      <c r="AG205" s="559"/>
      <c r="AH205" s="559"/>
      <c r="AI205" s="559"/>
      <c r="AJ205" s="559"/>
      <c r="AK205" s="559"/>
      <c r="AL205" s="559"/>
      <c r="AM205" s="559"/>
      <c r="AN205" s="559"/>
    </row>
    <row r="206">
      <c r="A206" s="559"/>
      <c r="B206" s="559"/>
      <c r="C206" s="559"/>
      <c r="D206" s="559"/>
      <c r="E206" s="559"/>
      <c r="F206" s="559"/>
      <c r="G206" s="559"/>
      <c r="H206" s="559"/>
      <c r="I206" s="559"/>
      <c r="J206" s="559"/>
      <c r="K206" s="559"/>
      <c r="L206" s="559"/>
      <c r="M206" s="559"/>
      <c r="N206" s="559"/>
      <c r="O206" s="559"/>
      <c r="P206" s="559"/>
      <c r="Q206" s="559"/>
      <c r="R206" s="559"/>
      <c r="S206" s="559"/>
      <c r="T206" s="559"/>
      <c r="U206" s="559"/>
      <c r="V206" s="559"/>
      <c r="W206" s="559"/>
      <c r="X206" s="559"/>
      <c r="Y206" s="559"/>
      <c r="Z206" s="559"/>
      <c r="AA206" s="559"/>
      <c r="AB206" s="559"/>
      <c r="AC206" s="559"/>
      <c r="AD206" s="559"/>
      <c r="AE206" s="559"/>
      <c r="AF206" s="559"/>
      <c r="AG206" s="559"/>
      <c r="AH206" s="559"/>
      <c r="AI206" s="559"/>
      <c r="AJ206" s="559"/>
      <c r="AK206" s="559"/>
      <c r="AL206" s="559"/>
      <c r="AM206" s="559"/>
      <c r="AN206" s="559"/>
    </row>
    <row r="207">
      <c r="A207" s="559"/>
      <c r="B207" s="559"/>
      <c r="C207" s="559"/>
      <c r="D207" s="559"/>
      <c r="E207" s="559"/>
      <c r="F207" s="559"/>
      <c r="G207" s="559"/>
      <c r="H207" s="559"/>
      <c r="I207" s="559"/>
      <c r="J207" s="559"/>
      <c r="K207" s="559"/>
      <c r="L207" s="559"/>
      <c r="M207" s="559"/>
      <c r="N207" s="559"/>
      <c r="O207" s="559"/>
      <c r="P207" s="559"/>
      <c r="Q207" s="559"/>
      <c r="R207" s="559"/>
      <c r="S207" s="559"/>
      <c r="T207" s="559"/>
      <c r="U207" s="559"/>
      <c r="V207" s="559"/>
      <c r="W207" s="559"/>
      <c r="X207" s="559"/>
      <c r="Y207" s="559"/>
      <c r="Z207" s="559"/>
      <c r="AA207" s="559"/>
      <c r="AB207" s="559"/>
      <c r="AC207" s="559"/>
      <c r="AD207" s="559"/>
      <c r="AE207" s="559"/>
      <c r="AF207" s="559"/>
      <c r="AG207" s="559"/>
      <c r="AH207" s="559"/>
      <c r="AI207" s="559"/>
      <c r="AJ207" s="559"/>
      <c r="AK207" s="559"/>
      <c r="AL207" s="559"/>
      <c r="AM207" s="559"/>
      <c r="AN207" s="559"/>
    </row>
    <row r="208">
      <c r="A208" s="559"/>
      <c r="B208" s="559"/>
      <c r="C208" s="559"/>
      <c r="D208" s="559"/>
      <c r="E208" s="559"/>
      <c r="F208" s="559"/>
      <c r="G208" s="559"/>
      <c r="H208" s="559"/>
      <c r="I208" s="559"/>
      <c r="J208" s="559"/>
      <c r="K208" s="559"/>
      <c r="L208" s="559"/>
      <c r="M208" s="559"/>
      <c r="N208" s="559"/>
      <c r="O208" s="559"/>
      <c r="P208" s="559"/>
      <c r="Q208" s="559"/>
      <c r="R208" s="559"/>
      <c r="S208" s="559"/>
      <c r="T208" s="559"/>
      <c r="U208" s="559"/>
      <c r="V208" s="559"/>
      <c r="W208" s="559"/>
      <c r="X208" s="559"/>
      <c r="Y208" s="559"/>
      <c r="Z208" s="559"/>
      <c r="AA208" s="559"/>
      <c r="AB208" s="559"/>
      <c r="AC208" s="559"/>
      <c r="AD208" s="559"/>
      <c r="AE208" s="559"/>
      <c r="AF208" s="559"/>
      <c r="AG208" s="559"/>
      <c r="AH208" s="559"/>
      <c r="AI208" s="559"/>
      <c r="AJ208" s="559"/>
      <c r="AK208" s="559"/>
      <c r="AL208" s="559"/>
      <c r="AM208" s="559"/>
      <c r="AN208" s="559"/>
    </row>
    <row r="209">
      <c r="A209" s="559"/>
      <c r="B209" s="559"/>
      <c r="C209" s="559"/>
      <c r="D209" s="559"/>
      <c r="E209" s="559"/>
      <c r="F209" s="559"/>
      <c r="G209" s="559"/>
      <c r="H209" s="559"/>
      <c r="I209" s="559"/>
      <c r="J209" s="559"/>
      <c r="K209" s="559"/>
      <c r="L209" s="559"/>
      <c r="M209" s="559"/>
      <c r="N209" s="559"/>
      <c r="O209" s="559"/>
      <c r="P209" s="559"/>
      <c r="Q209" s="559"/>
      <c r="R209" s="559"/>
      <c r="S209" s="559"/>
      <c r="T209" s="559"/>
      <c r="U209" s="559"/>
      <c r="V209" s="559"/>
      <c r="W209" s="559"/>
      <c r="X209" s="559"/>
      <c r="Y209" s="559"/>
      <c r="Z209" s="559"/>
      <c r="AA209" s="559"/>
      <c r="AB209" s="559"/>
      <c r="AC209" s="559"/>
      <c r="AD209" s="559"/>
      <c r="AE209" s="559"/>
      <c r="AF209" s="559"/>
      <c r="AG209" s="559"/>
      <c r="AH209" s="559"/>
      <c r="AI209" s="559"/>
      <c r="AJ209" s="559"/>
      <c r="AK209" s="559"/>
      <c r="AL209" s="559"/>
      <c r="AM209" s="559"/>
      <c r="AN209" s="559"/>
    </row>
    <row r="210">
      <c r="A210" s="559"/>
      <c r="B210" s="559"/>
      <c r="C210" s="559"/>
      <c r="D210" s="559"/>
      <c r="E210" s="559"/>
      <c r="F210" s="559"/>
      <c r="G210" s="559"/>
      <c r="H210" s="559"/>
      <c r="I210" s="559"/>
      <c r="J210" s="559"/>
      <c r="K210" s="559"/>
      <c r="L210" s="559"/>
      <c r="M210" s="559"/>
      <c r="N210" s="559"/>
      <c r="O210" s="559"/>
      <c r="P210" s="559"/>
      <c r="Q210" s="559"/>
      <c r="R210" s="559"/>
      <c r="S210" s="559"/>
      <c r="T210" s="559"/>
      <c r="U210" s="559"/>
      <c r="V210" s="559"/>
      <c r="W210" s="559"/>
      <c r="X210" s="559"/>
      <c r="Y210" s="559"/>
      <c r="Z210" s="559"/>
      <c r="AA210" s="559"/>
      <c r="AB210" s="559"/>
      <c r="AC210" s="559"/>
      <c r="AD210" s="559"/>
      <c r="AE210" s="559"/>
      <c r="AF210" s="559"/>
      <c r="AG210" s="559"/>
      <c r="AH210" s="559"/>
      <c r="AI210" s="559"/>
      <c r="AJ210" s="559"/>
      <c r="AK210" s="559"/>
      <c r="AL210" s="559"/>
      <c r="AM210" s="559"/>
      <c r="AN210" s="559"/>
    </row>
    <row r="211">
      <c r="A211" s="559"/>
      <c r="B211" s="559"/>
      <c r="C211" s="559"/>
      <c r="D211" s="559"/>
      <c r="E211" s="559"/>
      <c r="F211" s="559"/>
      <c r="G211" s="559"/>
      <c r="H211" s="559"/>
      <c r="I211" s="559"/>
      <c r="J211" s="559"/>
      <c r="K211" s="559"/>
      <c r="L211" s="559"/>
      <c r="M211" s="559"/>
      <c r="N211" s="559"/>
      <c r="O211" s="559"/>
      <c r="P211" s="559"/>
      <c r="Q211" s="559"/>
      <c r="R211" s="559"/>
      <c r="S211" s="559"/>
      <c r="T211" s="559"/>
      <c r="U211" s="559"/>
      <c r="V211" s="559"/>
      <c r="W211" s="559"/>
      <c r="X211" s="559"/>
      <c r="Y211" s="559"/>
      <c r="Z211" s="559"/>
      <c r="AA211" s="559"/>
      <c r="AB211" s="559"/>
      <c r="AC211" s="559"/>
      <c r="AD211" s="559"/>
      <c r="AE211" s="559"/>
      <c r="AF211" s="559"/>
      <c r="AG211" s="559"/>
      <c r="AH211" s="559"/>
      <c r="AI211" s="559"/>
      <c r="AJ211" s="559"/>
      <c r="AK211" s="559"/>
      <c r="AL211" s="559"/>
      <c r="AM211" s="559"/>
      <c r="AN211" s="559"/>
    </row>
    <row r="212">
      <c r="A212" s="559"/>
      <c r="B212" s="559"/>
      <c r="C212" s="559"/>
      <c r="D212" s="559"/>
      <c r="E212" s="559"/>
      <c r="F212" s="559"/>
      <c r="G212" s="559"/>
      <c r="H212" s="559"/>
      <c r="I212" s="559"/>
      <c r="J212" s="559"/>
      <c r="K212" s="559"/>
      <c r="L212" s="559"/>
      <c r="M212" s="559"/>
      <c r="N212" s="559"/>
      <c r="O212" s="559"/>
      <c r="P212" s="559"/>
      <c r="Q212" s="559"/>
      <c r="R212" s="559"/>
      <c r="S212" s="559"/>
      <c r="T212" s="559"/>
      <c r="U212" s="559"/>
      <c r="V212" s="559"/>
      <c r="W212" s="559"/>
      <c r="X212" s="559"/>
      <c r="Y212" s="559"/>
      <c r="Z212" s="559"/>
      <c r="AA212" s="559"/>
      <c r="AB212" s="559"/>
      <c r="AC212" s="559"/>
      <c r="AD212" s="559"/>
      <c r="AE212" s="559"/>
      <c r="AF212" s="559"/>
      <c r="AG212" s="559"/>
      <c r="AH212" s="559"/>
      <c r="AI212" s="559"/>
      <c r="AJ212" s="559"/>
      <c r="AK212" s="559"/>
      <c r="AL212" s="559"/>
      <c r="AM212" s="559"/>
      <c r="AN212" s="559"/>
    </row>
    <row r="213">
      <c r="A213" s="559"/>
      <c r="B213" s="559"/>
      <c r="C213" s="559"/>
      <c r="D213" s="559"/>
      <c r="E213" s="559"/>
      <c r="F213" s="559"/>
      <c r="G213" s="559"/>
      <c r="H213" s="559"/>
      <c r="I213" s="559"/>
      <c r="J213" s="559"/>
      <c r="K213" s="559"/>
      <c r="L213" s="559"/>
      <c r="M213" s="559"/>
      <c r="N213" s="559"/>
      <c r="O213" s="559"/>
      <c r="P213" s="559"/>
      <c r="Q213" s="559"/>
      <c r="R213" s="559"/>
      <c r="S213" s="559"/>
      <c r="T213" s="559"/>
      <c r="U213" s="559"/>
      <c r="V213" s="559"/>
      <c r="W213" s="559"/>
      <c r="X213" s="559"/>
      <c r="Y213" s="559"/>
      <c r="Z213" s="559"/>
      <c r="AA213" s="559"/>
      <c r="AB213" s="559"/>
      <c r="AC213" s="559"/>
      <c r="AD213" s="559"/>
      <c r="AE213" s="559"/>
      <c r="AF213" s="559"/>
      <c r="AG213" s="559"/>
      <c r="AH213" s="559"/>
      <c r="AI213" s="559"/>
      <c r="AJ213" s="559"/>
      <c r="AK213" s="559"/>
      <c r="AL213" s="559"/>
      <c r="AM213" s="559"/>
      <c r="AN213" s="559"/>
    </row>
    <row r="214">
      <c r="A214" s="559"/>
      <c r="B214" s="559"/>
      <c r="C214" s="559"/>
      <c r="D214" s="559"/>
      <c r="E214" s="559"/>
      <c r="F214" s="559"/>
      <c r="G214" s="559"/>
      <c r="H214" s="559"/>
      <c r="I214" s="559"/>
      <c r="J214" s="559"/>
      <c r="K214" s="559"/>
      <c r="L214" s="559"/>
      <c r="M214" s="559"/>
      <c r="N214" s="559"/>
      <c r="O214" s="559"/>
      <c r="P214" s="559"/>
      <c r="Q214" s="559"/>
      <c r="R214" s="559"/>
      <c r="S214" s="559"/>
      <c r="T214" s="559"/>
      <c r="U214" s="559"/>
      <c r="V214" s="559"/>
      <c r="W214" s="559"/>
      <c r="X214" s="559"/>
      <c r="Y214" s="559"/>
      <c r="Z214" s="559"/>
      <c r="AA214" s="559"/>
      <c r="AB214" s="559"/>
      <c r="AC214" s="559"/>
      <c r="AD214" s="559"/>
      <c r="AE214" s="559"/>
      <c r="AF214" s="559"/>
      <c r="AG214" s="559"/>
      <c r="AH214" s="559"/>
      <c r="AI214" s="559"/>
      <c r="AJ214" s="559"/>
      <c r="AK214" s="559"/>
      <c r="AL214" s="559"/>
      <c r="AM214" s="559"/>
      <c r="AN214" s="559"/>
    </row>
    <row r="215">
      <c r="A215" s="559"/>
      <c r="B215" s="559"/>
      <c r="C215" s="559"/>
      <c r="D215" s="559"/>
      <c r="E215" s="559"/>
      <c r="F215" s="559"/>
      <c r="G215" s="559"/>
      <c r="H215" s="559"/>
      <c r="I215" s="559"/>
      <c r="J215" s="559"/>
      <c r="K215" s="559"/>
      <c r="L215" s="559"/>
      <c r="M215" s="559"/>
      <c r="N215" s="559"/>
      <c r="O215" s="559"/>
      <c r="P215" s="559"/>
      <c r="Q215" s="559"/>
      <c r="R215" s="559"/>
      <c r="S215" s="559"/>
      <c r="T215" s="559"/>
      <c r="U215" s="559"/>
      <c r="V215" s="559"/>
      <c r="W215" s="559"/>
      <c r="X215" s="559"/>
      <c r="Y215" s="559"/>
      <c r="Z215" s="559"/>
      <c r="AA215" s="559"/>
      <c r="AB215" s="559"/>
      <c r="AC215" s="559"/>
      <c r="AD215" s="559"/>
      <c r="AE215" s="559"/>
      <c r="AF215" s="559"/>
      <c r="AG215" s="559"/>
      <c r="AH215" s="559"/>
      <c r="AI215" s="559"/>
      <c r="AJ215" s="559"/>
      <c r="AK215" s="559"/>
      <c r="AL215" s="559"/>
      <c r="AM215" s="559"/>
      <c r="AN215" s="559"/>
    </row>
    <row r="216">
      <c r="A216" s="559"/>
      <c r="B216" s="559"/>
      <c r="C216" s="559"/>
      <c r="D216" s="559"/>
      <c r="E216" s="559"/>
      <c r="F216" s="559"/>
      <c r="G216" s="559"/>
      <c r="H216" s="559"/>
      <c r="I216" s="559"/>
      <c r="J216" s="559"/>
      <c r="K216" s="559"/>
      <c r="L216" s="559"/>
      <c r="M216" s="559"/>
      <c r="N216" s="559"/>
      <c r="O216" s="559"/>
      <c r="P216" s="559"/>
      <c r="Q216" s="559"/>
      <c r="R216" s="559"/>
      <c r="S216" s="559"/>
      <c r="T216" s="559"/>
      <c r="U216" s="559"/>
      <c r="V216" s="559"/>
      <c r="W216" s="559"/>
      <c r="X216" s="559"/>
      <c r="Y216" s="559"/>
      <c r="Z216" s="559"/>
      <c r="AA216" s="559"/>
      <c r="AB216" s="559"/>
      <c r="AC216" s="559"/>
      <c r="AD216" s="559"/>
      <c r="AE216" s="559"/>
      <c r="AF216" s="559"/>
      <c r="AG216" s="559"/>
      <c r="AH216" s="559"/>
      <c r="AI216" s="559"/>
      <c r="AJ216" s="559"/>
      <c r="AK216" s="559"/>
      <c r="AL216" s="559"/>
      <c r="AM216" s="559"/>
      <c r="AN216" s="559"/>
    </row>
    <row r="217">
      <c r="A217" s="559"/>
      <c r="B217" s="559"/>
      <c r="C217" s="559"/>
      <c r="D217" s="559"/>
      <c r="E217" s="559"/>
      <c r="F217" s="559"/>
      <c r="G217" s="559"/>
      <c r="H217" s="559"/>
      <c r="I217" s="559"/>
      <c r="J217" s="559"/>
      <c r="K217" s="559"/>
      <c r="L217" s="559"/>
      <c r="M217" s="559"/>
      <c r="N217" s="559"/>
      <c r="O217" s="559"/>
      <c r="P217" s="559"/>
      <c r="Q217" s="559"/>
      <c r="R217" s="559"/>
      <c r="S217" s="559"/>
      <c r="T217" s="559"/>
      <c r="U217" s="559"/>
      <c r="V217" s="559"/>
      <c r="W217" s="559"/>
      <c r="X217" s="559"/>
      <c r="Y217" s="559"/>
      <c r="Z217" s="559"/>
      <c r="AA217" s="559"/>
      <c r="AB217" s="559"/>
      <c r="AC217" s="559"/>
      <c r="AD217" s="559"/>
      <c r="AE217" s="559"/>
      <c r="AF217" s="559"/>
      <c r="AG217" s="559"/>
      <c r="AH217" s="559"/>
      <c r="AI217" s="559"/>
      <c r="AJ217" s="559"/>
      <c r="AK217" s="559"/>
      <c r="AL217" s="559"/>
      <c r="AM217" s="559"/>
      <c r="AN217" s="559"/>
    </row>
    <row r="218">
      <c r="A218" s="559"/>
      <c r="B218" s="559"/>
      <c r="C218" s="559"/>
      <c r="D218" s="559"/>
      <c r="E218" s="559"/>
      <c r="F218" s="559"/>
      <c r="G218" s="559"/>
      <c r="H218" s="559"/>
      <c r="I218" s="559"/>
      <c r="J218" s="559"/>
      <c r="K218" s="559"/>
      <c r="L218" s="559"/>
      <c r="M218" s="559"/>
      <c r="N218" s="559"/>
      <c r="O218" s="559"/>
      <c r="P218" s="559"/>
      <c r="Q218" s="559"/>
      <c r="R218" s="559"/>
      <c r="S218" s="559"/>
      <c r="T218" s="559"/>
      <c r="U218" s="559"/>
      <c r="V218" s="559"/>
      <c r="W218" s="559"/>
      <c r="X218" s="559"/>
      <c r="Y218" s="559"/>
      <c r="Z218" s="559"/>
      <c r="AA218" s="559"/>
      <c r="AB218" s="559"/>
      <c r="AC218" s="559"/>
      <c r="AD218" s="559"/>
      <c r="AE218" s="559"/>
      <c r="AF218" s="559"/>
      <c r="AG218" s="559"/>
      <c r="AH218" s="559"/>
      <c r="AI218" s="559"/>
      <c r="AJ218" s="559"/>
      <c r="AK218" s="559"/>
      <c r="AL218" s="559"/>
      <c r="AM218" s="559"/>
      <c r="AN218" s="559"/>
    </row>
    <row r="219">
      <c r="A219" s="559"/>
      <c r="B219" s="559"/>
      <c r="C219" s="559"/>
      <c r="D219" s="559"/>
      <c r="E219" s="559"/>
      <c r="F219" s="559"/>
      <c r="G219" s="559"/>
      <c r="H219" s="559"/>
      <c r="I219" s="559"/>
      <c r="J219" s="559"/>
      <c r="K219" s="559"/>
      <c r="L219" s="559"/>
      <c r="M219" s="559"/>
      <c r="N219" s="559"/>
      <c r="O219" s="559"/>
      <c r="P219" s="559"/>
      <c r="Q219" s="559"/>
      <c r="R219" s="559"/>
      <c r="S219" s="559"/>
      <c r="T219" s="559"/>
      <c r="U219" s="559"/>
      <c r="V219" s="559"/>
      <c r="W219" s="559"/>
      <c r="X219" s="559"/>
      <c r="Y219" s="559"/>
      <c r="Z219" s="559"/>
      <c r="AA219" s="559"/>
      <c r="AB219" s="559"/>
      <c r="AC219" s="559"/>
      <c r="AD219" s="559"/>
      <c r="AE219" s="559"/>
      <c r="AF219" s="559"/>
      <c r="AG219" s="559"/>
      <c r="AH219" s="559"/>
      <c r="AI219" s="559"/>
      <c r="AJ219" s="559"/>
      <c r="AK219" s="559"/>
      <c r="AL219" s="559"/>
      <c r="AM219" s="559"/>
      <c r="AN219" s="559"/>
    </row>
    <row r="220">
      <c r="A220" s="559"/>
      <c r="B220" s="559"/>
      <c r="C220" s="559"/>
      <c r="D220" s="559"/>
      <c r="E220" s="559"/>
      <c r="F220" s="559"/>
      <c r="G220" s="559"/>
      <c r="H220" s="559"/>
      <c r="I220" s="559"/>
      <c r="J220" s="559"/>
      <c r="K220" s="559"/>
      <c r="L220" s="559"/>
      <c r="M220" s="559"/>
      <c r="N220" s="559"/>
      <c r="O220" s="559"/>
      <c r="P220" s="559"/>
      <c r="Q220" s="559"/>
      <c r="R220" s="559"/>
      <c r="S220" s="559"/>
      <c r="T220" s="559"/>
      <c r="U220" s="559"/>
      <c r="V220" s="559"/>
      <c r="W220" s="559"/>
      <c r="X220" s="559"/>
      <c r="Y220" s="559"/>
      <c r="Z220" s="559"/>
      <c r="AA220" s="559"/>
      <c r="AB220" s="559"/>
      <c r="AC220" s="559"/>
      <c r="AD220" s="559"/>
      <c r="AE220" s="559"/>
      <c r="AF220" s="559"/>
      <c r="AG220" s="559"/>
      <c r="AH220" s="559"/>
      <c r="AI220" s="559"/>
      <c r="AJ220" s="559"/>
      <c r="AK220" s="559"/>
      <c r="AL220" s="559"/>
      <c r="AM220" s="559"/>
      <c r="AN220" s="559"/>
    </row>
    <row r="221">
      <c r="A221" s="559"/>
      <c r="B221" s="559"/>
      <c r="C221" s="559"/>
      <c r="D221" s="559"/>
      <c r="E221" s="559"/>
      <c r="F221" s="559"/>
      <c r="G221" s="559"/>
      <c r="H221" s="559"/>
      <c r="I221" s="559"/>
      <c r="J221" s="559"/>
      <c r="K221" s="559"/>
      <c r="L221" s="559"/>
      <c r="M221" s="559"/>
      <c r="N221" s="559"/>
      <c r="O221" s="559"/>
      <c r="P221" s="559"/>
      <c r="Q221" s="559"/>
      <c r="R221" s="559"/>
      <c r="S221" s="559"/>
      <c r="T221" s="559"/>
      <c r="U221" s="559"/>
      <c r="V221" s="559"/>
      <c r="W221" s="559"/>
      <c r="X221" s="559"/>
      <c r="Y221" s="559"/>
      <c r="Z221" s="559"/>
      <c r="AA221" s="559"/>
      <c r="AB221" s="559"/>
      <c r="AC221" s="559"/>
      <c r="AD221" s="559"/>
      <c r="AE221" s="559"/>
      <c r="AF221" s="559"/>
      <c r="AG221" s="559"/>
      <c r="AH221" s="559"/>
      <c r="AI221" s="559"/>
      <c r="AJ221" s="559"/>
      <c r="AK221" s="559"/>
      <c r="AL221" s="559"/>
      <c r="AM221" s="559"/>
      <c r="AN221" s="559"/>
    </row>
    <row r="222">
      <c r="A222" s="559"/>
      <c r="B222" s="559"/>
      <c r="C222" s="559"/>
      <c r="D222" s="559"/>
      <c r="E222" s="559"/>
      <c r="F222" s="559"/>
      <c r="G222" s="559"/>
      <c r="H222" s="559"/>
      <c r="I222" s="559"/>
      <c r="J222" s="559"/>
      <c r="K222" s="559"/>
      <c r="L222" s="559"/>
      <c r="M222" s="559"/>
      <c r="N222" s="559"/>
      <c r="O222" s="559"/>
      <c r="P222" s="559"/>
      <c r="Q222" s="559"/>
      <c r="R222" s="559"/>
      <c r="S222" s="559"/>
      <c r="T222" s="559"/>
      <c r="U222" s="559"/>
      <c r="V222" s="559"/>
      <c r="W222" s="559"/>
      <c r="X222" s="559"/>
      <c r="Y222" s="559"/>
      <c r="Z222" s="559"/>
      <c r="AA222" s="559"/>
      <c r="AB222" s="559"/>
      <c r="AC222" s="559"/>
      <c r="AD222" s="559"/>
      <c r="AE222" s="559"/>
      <c r="AF222" s="559"/>
      <c r="AG222" s="559"/>
      <c r="AH222" s="559"/>
      <c r="AI222" s="559"/>
      <c r="AJ222" s="559"/>
      <c r="AK222" s="559"/>
      <c r="AL222" s="559"/>
      <c r="AM222" s="559"/>
      <c r="AN222" s="559"/>
    </row>
    <row r="223">
      <c r="A223" s="559"/>
      <c r="B223" s="559"/>
      <c r="C223" s="559"/>
      <c r="D223" s="559"/>
      <c r="E223" s="559"/>
      <c r="F223" s="559"/>
      <c r="G223" s="559"/>
      <c r="H223" s="559"/>
      <c r="I223" s="559"/>
      <c r="J223" s="559"/>
      <c r="K223" s="559"/>
      <c r="L223" s="559"/>
      <c r="M223" s="559"/>
      <c r="N223" s="559"/>
      <c r="O223" s="559"/>
      <c r="P223" s="559"/>
      <c r="Q223" s="559"/>
      <c r="R223" s="559"/>
      <c r="S223" s="559"/>
      <c r="T223" s="559"/>
      <c r="U223" s="559"/>
      <c r="V223" s="559"/>
      <c r="W223" s="559"/>
      <c r="X223" s="559"/>
      <c r="Y223" s="559"/>
      <c r="Z223" s="559"/>
      <c r="AA223" s="559"/>
      <c r="AB223" s="559"/>
      <c r="AC223" s="559"/>
      <c r="AD223" s="559"/>
      <c r="AE223" s="559"/>
      <c r="AF223" s="559"/>
      <c r="AG223" s="559"/>
      <c r="AH223" s="559"/>
      <c r="AI223" s="559"/>
      <c r="AJ223" s="559"/>
      <c r="AK223" s="559"/>
      <c r="AL223" s="559"/>
      <c r="AM223" s="559"/>
      <c r="AN223" s="559"/>
    </row>
    <row r="224">
      <c r="A224" s="559"/>
      <c r="B224" s="559"/>
      <c r="C224" s="559"/>
      <c r="D224" s="559"/>
      <c r="E224" s="559"/>
      <c r="F224" s="559"/>
      <c r="G224" s="559"/>
      <c r="H224" s="559"/>
      <c r="I224" s="559"/>
      <c r="J224" s="559"/>
      <c r="K224" s="559"/>
      <c r="L224" s="559"/>
      <c r="M224" s="559"/>
      <c r="N224" s="559"/>
      <c r="O224" s="559"/>
      <c r="P224" s="559"/>
      <c r="Q224" s="559"/>
      <c r="R224" s="559"/>
      <c r="S224" s="559"/>
      <c r="T224" s="559"/>
      <c r="U224" s="559"/>
      <c r="V224" s="559"/>
      <c r="W224" s="559"/>
      <c r="X224" s="559"/>
      <c r="Y224" s="559"/>
      <c r="Z224" s="559"/>
      <c r="AA224" s="559"/>
      <c r="AB224" s="559"/>
      <c r="AC224" s="559"/>
      <c r="AD224" s="559"/>
      <c r="AE224" s="559"/>
      <c r="AF224" s="559"/>
      <c r="AG224" s="559"/>
      <c r="AH224" s="559"/>
      <c r="AI224" s="559"/>
      <c r="AJ224" s="559"/>
      <c r="AK224" s="559"/>
      <c r="AL224" s="559"/>
      <c r="AM224" s="559"/>
      <c r="AN224" s="559"/>
    </row>
    <row r="225">
      <c r="A225" s="559"/>
      <c r="B225" s="559"/>
      <c r="C225" s="559"/>
      <c r="D225" s="559"/>
      <c r="E225" s="559"/>
      <c r="F225" s="559"/>
      <c r="G225" s="559"/>
      <c r="H225" s="559"/>
      <c r="I225" s="559"/>
      <c r="J225" s="559"/>
      <c r="K225" s="559"/>
      <c r="L225" s="559"/>
      <c r="M225" s="559"/>
      <c r="N225" s="559"/>
      <c r="O225" s="559"/>
      <c r="P225" s="559"/>
      <c r="Q225" s="559"/>
      <c r="R225" s="559"/>
      <c r="S225" s="559"/>
      <c r="T225" s="559"/>
      <c r="U225" s="559"/>
      <c r="V225" s="559"/>
      <c r="W225" s="559"/>
      <c r="X225" s="559"/>
      <c r="Y225" s="559"/>
      <c r="Z225" s="559"/>
      <c r="AA225" s="559"/>
      <c r="AB225" s="559"/>
      <c r="AC225" s="559"/>
      <c r="AD225" s="559"/>
      <c r="AE225" s="559"/>
      <c r="AF225" s="559"/>
      <c r="AG225" s="559"/>
      <c r="AH225" s="559"/>
      <c r="AI225" s="559"/>
      <c r="AJ225" s="559"/>
      <c r="AK225" s="559"/>
      <c r="AL225" s="559"/>
      <c r="AM225" s="559"/>
      <c r="AN225" s="559"/>
    </row>
    <row r="226">
      <c r="A226" s="559"/>
      <c r="B226" s="559"/>
      <c r="C226" s="559"/>
      <c r="D226" s="559"/>
      <c r="E226" s="559"/>
      <c r="F226" s="559"/>
      <c r="G226" s="559"/>
      <c r="H226" s="559"/>
      <c r="I226" s="559"/>
      <c r="J226" s="559"/>
      <c r="K226" s="559"/>
      <c r="L226" s="559"/>
      <c r="M226" s="559"/>
      <c r="N226" s="559"/>
      <c r="O226" s="559"/>
      <c r="P226" s="559"/>
      <c r="Q226" s="559"/>
      <c r="R226" s="559"/>
      <c r="S226" s="559"/>
      <c r="T226" s="559"/>
      <c r="U226" s="559"/>
      <c r="V226" s="559"/>
      <c r="W226" s="559"/>
      <c r="X226" s="559"/>
      <c r="Y226" s="559"/>
      <c r="Z226" s="559"/>
      <c r="AA226" s="559"/>
      <c r="AB226" s="559"/>
      <c r="AC226" s="559"/>
      <c r="AD226" s="559"/>
      <c r="AE226" s="559"/>
      <c r="AF226" s="559"/>
      <c r="AG226" s="559"/>
      <c r="AH226" s="559"/>
      <c r="AI226" s="559"/>
      <c r="AJ226" s="559"/>
      <c r="AK226" s="559"/>
      <c r="AL226" s="559"/>
      <c r="AM226" s="559"/>
      <c r="AN226" s="559"/>
    </row>
    <row r="227">
      <c r="A227" s="559"/>
      <c r="B227" s="559"/>
      <c r="C227" s="559"/>
      <c r="D227" s="559"/>
      <c r="E227" s="559"/>
      <c r="F227" s="559"/>
      <c r="G227" s="559"/>
      <c r="H227" s="559"/>
      <c r="I227" s="559"/>
      <c r="J227" s="559"/>
      <c r="K227" s="559"/>
      <c r="L227" s="559"/>
      <c r="M227" s="559"/>
      <c r="N227" s="559"/>
      <c r="O227" s="559"/>
      <c r="P227" s="559"/>
      <c r="Q227" s="559"/>
      <c r="R227" s="559"/>
      <c r="S227" s="559"/>
      <c r="T227" s="559"/>
      <c r="U227" s="559"/>
      <c r="V227" s="559"/>
      <c r="W227" s="559"/>
      <c r="X227" s="559"/>
      <c r="Y227" s="559"/>
      <c r="Z227" s="559"/>
      <c r="AA227" s="559"/>
      <c r="AB227" s="559"/>
      <c r="AC227" s="559"/>
      <c r="AD227" s="559"/>
      <c r="AE227" s="559"/>
      <c r="AF227" s="559"/>
      <c r="AG227" s="559"/>
      <c r="AH227" s="559"/>
      <c r="AI227" s="559"/>
      <c r="AJ227" s="559"/>
      <c r="AK227" s="559"/>
      <c r="AL227" s="559"/>
      <c r="AM227" s="559"/>
      <c r="AN227" s="559"/>
    </row>
    <row r="228">
      <c r="A228" s="559"/>
      <c r="B228" s="559"/>
      <c r="C228" s="559"/>
      <c r="D228" s="559"/>
      <c r="E228" s="559"/>
      <c r="F228" s="559"/>
      <c r="G228" s="559"/>
      <c r="H228" s="559"/>
      <c r="I228" s="559"/>
      <c r="J228" s="559"/>
      <c r="K228" s="559"/>
      <c r="L228" s="559"/>
      <c r="M228" s="559"/>
      <c r="N228" s="559"/>
      <c r="O228" s="559"/>
      <c r="P228" s="559"/>
      <c r="Q228" s="559"/>
      <c r="R228" s="559"/>
      <c r="S228" s="559"/>
      <c r="T228" s="559"/>
      <c r="U228" s="559"/>
      <c r="V228" s="559"/>
      <c r="W228" s="559"/>
      <c r="X228" s="559"/>
      <c r="Y228" s="559"/>
      <c r="Z228" s="559"/>
      <c r="AA228" s="559"/>
      <c r="AB228" s="559"/>
      <c r="AC228" s="559"/>
      <c r="AD228" s="559"/>
      <c r="AE228" s="559"/>
      <c r="AF228" s="559"/>
      <c r="AG228" s="559"/>
      <c r="AH228" s="559"/>
      <c r="AI228" s="559"/>
      <c r="AJ228" s="559"/>
      <c r="AK228" s="559"/>
      <c r="AL228" s="559"/>
      <c r="AM228" s="559"/>
      <c r="AN228" s="559"/>
    </row>
    <row r="229">
      <c r="A229" s="559"/>
      <c r="B229" s="559"/>
      <c r="C229" s="559"/>
      <c r="D229" s="559"/>
      <c r="E229" s="559"/>
      <c r="F229" s="559"/>
      <c r="G229" s="559"/>
      <c r="H229" s="559"/>
      <c r="I229" s="559"/>
      <c r="J229" s="559"/>
      <c r="K229" s="559"/>
      <c r="L229" s="559"/>
      <c r="M229" s="559"/>
      <c r="N229" s="559"/>
      <c r="O229" s="559"/>
      <c r="P229" s="559"/>
      <c r="Q229" s="559"/>
      <c r="R229" s="559"/>
      <c r="S229" s="559"/>
      <c r="T229" s="559"/>
      <c r="U229" s="559"/>
      <c r="V229" s="559"/>
      <c r="W229" s="559"/>
      <c r="X229" s="559"/>
      <c r="Y229" s="559"/>
      <c r="Z229" s="559"/>
      <c r="AA229" s="559"/>
      <c r="AB229" s="559"/>
      <c r="AC229" s="559"/>
      <c r="AD229" s="559"/>
      <c r="AE229" s="559"/>
      <c r="AF229" s="559"/>
      <c r="AG229" s="559"/>
      <c r="AH229" s="559"/>
      <c r="AI229" s="559"/>
      <c r="AJ229" s="559"/>
      <c r="AK229" s="559"/>
      <c r="AL229" s="559"/>
      <c r="AM229" s="559"/>
      <c r="AN229" s="559"/>
    </row>
    <row r="230">
      <c r="A230" s="559"/>
      <c r="B230" s="559"/>
      <c r="C230" s="559"/>
      <c r="D230" s="559"/>
      <c r="E230" s="559"/>
      <c r="F230" s="559"/>
      <c r="G230" s="559"/>
      <c r="H230" s="559"/>
      <c r="I230" s="559"/>
      <c r="J230" s="559"/>
      <c r="K230" s="559"/>
      <c r="L230" s="559"/>
      <c r="M230" s="559"/>
      <c r="N230" s="559"/>
      <c r="O230" s="559"/>
      <c r="P230" s="559"/>
      <c r="Q230" s="559"/>
      <c r="R230" s="559"/>
      <c r="S230" s="559"/>
      <c r="T230" s="559"/>
      <c r="U230" s="559"/>
      <c r="V230" s="559"/>
      <c r="W230" s="559"/>
      <c r="X230" s="559"/>
      <c r="Y230" s="559"/>
      <c r="Z230" s="559"/>
      <c r="AA230" s="559"/>
      <c r="AB230" s="559"/>
      <c r="AC230" s="559"/>
      <c r="AD230" s="559"/>
      <c r="AE230" s="559"/>
      <c r="AF230" s="559"/>
      <c r="AG230" s="559"/>
      <c r="AH230" s="559"/>
      <c r="AI230" s="559"/>
      <c r="AJ230" s="559"/>
      <c r="AK230" s="559"/>
      <c r="AL230" s="559"/>
      <c r="AM230" s="559"/>
      <c r="AN230" s="559"/>
    </row>
    <row r="231">
      <c r="A231" s="559"/>
      <c r="B231" s="559"/>
      <c r="C231" s="559"/>
      <c r="D231" s="559"/>
      <c r="E231" s="559"/>
      <c r="F231" s="559"/>
      <c r="G231" s="559"/>
      <c r="H231" s="559"/>
      <c r="I231" s="559"/>
      <c r="J231" s="559"/>
      <c r="K231" s="559"/>
      <c r="L231" s="559"/>
      <c r="M231" s="559"/>
      <c r="N231" s="559"/>
      <c r="O231" s="559"/>
      <c r="P231" s="559"/>
      <c r="Q231" s="559"/>
      <c r="R231" s="559"/>
      <c r="S231" s="559"/>
      <c r="T231" s="559"/>
      <c r="U231" s="559"/>
      <c r="V231" s="559"/>
      <c r="W231" s="559"/>
      <c r="X231" s="559"/>
      <c r="Y231" s="559"/>
      <c r="Z231" s="559"/>
      <c r="AA231" s="559"/>
      <c r="AB231" s="559"/>
      <c r="AC231" s="559"/>
      <c r="AD231" s="559"/>
      <c r="AE231" s="559"/>
      <c r="AF231" s="559"/>
      <c r="AG231" s="559"/>
      <c r="AH231" s="559"/>
      <c r="AI231" s="559"/>
      <c r="AJ231" s="559"/>
      <c r="AK231" s="559"/>
      <c r="AL231" s="559"/>
      <c r="AM231" s="559"/>
      <c r="AN231" s="559"/>
    </row>
    <row r="232">
      <c r="A232" s="559"/>
      <c r="B232" s="559"/>
      <c r="C232" s="559"/>
      <c r="D232" s="559"/>
      <c r="E232" s="559"/>
      <c r="F232" s="559"/>
      <c r="G232" s="559"/>
      <c r="H232" s="559"/>
      <c r="I232" s="559"/>
      <c r="J232" s="559"/>
      <c r="K232" s="559"/>
      <c r="L232" s="559"/>
      <c r="M232" s="559"/>
      <c r="N232" s="559"/>
      <c r="O232" s="559"/>
      <c r="P232" s="559"/>
      <c r="Q232" s="559"/>
      <c r="R232" s="559"/>
      <c r="S232" s="559"/>
      <c r="T232" s="559"/>
      <c r="U232" s="559"/>
      <c r="V232" s="559"/>
      <c r="W232" s="559"/>
      <c r="X232" s="559"/>
      <c r="Y232" s="559"/>
      <c r="Z232" s="559"/>
      <c r="AA232" s="559"/>
      <c r="AB232" s="559"/>
      <c r="AC232" s="559"/>
      <c r="AD232" s="559"/>
      <c r="AE232" s="559"/>
      <c r="AF232" s="559"/>
      <c r="AG232" s="559"/>
      <c r="AH232" s="559"/>
      <c r="AI232" s="559"/>
      <c r="AJ232" s="559"/>
      <c r="AK232" s="559"/>
      <c r="AL232" s="559"/>
      <c r="AM232" s="559"/>
      <c r="AN232" s="559"/>
    </row>
    <row r="233">
      <c r="A233" s="559"/>
      <c r="B233" s="559"/>
      <c r="C233" s="559"/>
      <c r="D233" s="559"/>
      <c r="E233" s="559"/>
      <c r="F233" s="559"/>
      <c r="G233" s="559"/>
      <c r="H233" s="559"/>
      <c r="I233" s="559"/>
      <c r="J233" s="559"/>
      <c r="K233" s="559"/>
      <c r="L233" s="559"/>
      <c r="M233" s="559"/>
      <c r="N233" s="559"/>
      <c r="O233" s="559"/>
      <c r="P233" s="559"/>
      <c r="Q233" s="559"/>
      <c r="R233" s="559"/>
      <c r="S233" s="559"/>
      <c r="T233" s="559"/>
      <c r="U233" s="559"/>
      <c r="V233" s="559"/>
      <c r="W233" s="559"/>
      <c r="X233" s="559"/>
      <c r="Y233" s="559"/>
      <c r="Z233" s="559"/>
      <c r="AA233" s="559"/>
      <c r="AB233" s="559"/>
      <c r="AC233" s="559"/>
      <c r="AD233" s="559"/>
      <c r="AE233" s="559"/>
      <c r="AF233" s="559"/>
      <c r="AG233" s="559"/>
      <c r="AH233" s="559"/>
      <c r="AI233" s="559"/>
      <c r="AJ233" s="559"/>
      <c r="AK233" s="559"/>
      <c r="AL233" s="559"/>
      <c r="AM233" s="559"/>
      <c r="AN233" s="559"/>
    </row>
    <row r="234">
      <c r="A234" s="559"/>
      <c r="B234" s="559"/>
      <c r="C234" s="559"/>
      <c r="D234" s="559"/>
      <c r="E234" s="559"/>
      <c r="F234" s="559"/>
      <c r="G234" s="559"/>
      <c r="H234" s="559"/>
      <c r="I234" s="559"/>
      <c r="J234" s="559"/>
      <c r="K234" s="559"/>
      <c r="L234" s="559"/>
      <c r="M234" s="559"/>
      <c r="N234" s="559"/>
      <c r="O234" s="559"/>
      <c r="P234" s="559"/>
      <c r="Q234" s="559"/>
      <c r="R234" s="559"/>
      <c r="S234" s="559"/>
      <c r="T234" s="559"/>
      <c r="U234" s="559"/>
      <c r="V234" s="559"/>
      <c r="W234" s="559"/>
      <c r="X234" s="559"/>
      <c r="Y234" s="559"/>
      <c r="Z234" s="559"/>
      <c r="AA234" s="559"/>
      <c r="AB234" s="559"/>
      <c r="AC234" s="559"/>
      <c r="AD234" s="559"/>
      <c r="AE234" s="559"/>
      <c r="AF234" s="559"/>
      <c r="AG234" s="559"/>
      <c r="AH234" s="559"/>
      <c r="AI234" s="559"/>
      <c r="AJ234" s="559"/>
      <c r="AK234" s="559"/>
      <c r="AL234" s="559"/>
      <c r="AM234" s="559"/>
      <c r="AN234" s="559"/>
    </row>
    <row r="235">
      <c r="A235" s="559"/>
      <c r="B235" s="559"/>
      <c r="C235" s="559"/>
      <c r="D235" s="559"/>
      <c r="E235" s="559"/>
      <c r="F235" s="559"/>
      <c r="G235" s="559"/>
      <c r="H235" s="559"/>
      <c r="I235" s="559"/>
      <c r="J235" s="559"/>
      <c r="K235" s="559"/>
      <c r="L235" s="559"/>
      <c r="M235" s="559"/>
      <c r="N235" s="559"/>
      <c r="O235" s="559"/>
      <c r="P235" s="559"/>
      <c r="Q235" s="559"/>
      <c r="R235" s="559"/>
      <c r="S235" s="559"/>
      <c r="T235" s="559"/>
      <c r="U235" s="559"/>
      <c r="V235" s="559"/>
      <c r="W235" s="559"/>
      <c r="X235" s="559"/>
      <c r="Y235" s="559"/>
      <c r="Z235" s="559"/>
      <c r="AA235" s="559"/>
      <c r="AB235" s="559"/>
      <c r="AC235" s="559"/>
      <c r="AD235" s="559"/>
      <c r="AE235" s="559"/>
      <c r="AF235" s="559"/>
      <c r="AG235" s="559"/>
      <c r="AH235" s="559"/>
      <c r="AI235" s="559"/>
      <c r="AJ235" s="559"/>
      <c r="AK235" s="559"/>
      <c r="AL235" s="559"/>
      <c r="AM235" s="559"/>
      <c r="AN235" s="559"/>
    </row>
    <row r="236">
      <c r="A236" s="559"/>
      <c r="B236" s="559"/>
      <c r="C236" s="559"/>
      <c r="D236" s="559"/>
      <c r="E236" s="559"/>
      <c r="F236" s="559"/>
      <c r="G236" s="559"/>
      <c r="H236" s="559"/>
      <c r="I236" s="559"/>
      <c r="J236" s="559"/>
      <c r="K236" s="559"/>
      <c r="L236" s="559"/>
      <c r="M236" s="559"/>
      <c r="N236" s="559"/>
      <c r="O236" s="559"/>
      <c r="P236" s="559"/>
      <c r="Q236" s="559"/>
      <c r="R236" s="559"/>
      <c r="S236" s="559"/>
      <c r="T236" s="559"/>
      <c r="U236" s="559"/>
      <c r="V236" s="559"/>
      <c r="W236" s="559"/>
      <c r="X236" s="559"/>
      <c r="Y236" s="559"/>
      <c r="Z236" s="559"/>
      <c r="AA236" s="559"/>
      <c r="AB236" s="559"/>
      <c r="AC236" s="559"/>
      <c r="AD236" s="559"/>
      <c r="AE236" s="559"/>
      <c r="AF236" s="559"/>
      <c r="AG236" s="559"/>
      <c r="AH236" s="559"/>
      <c r="AI236" s="559"/>
      <c r="AJ236" s="559"/>
      <c r="AK236" s="559"/>
      <c r="AL236" s="559"/>
      <c r="AM236" s="559"/>
      <c r="AN236" s="559"/>
    </row>
    <row r="237">
      <c r="A237" s="559"/>
      <c r="B237" s="559"/>
      <c r="C237" s="559"/>
      <c r="D237" s="559"/>
      <c r="E237" s="559"/>
      <c r="F237" s="559"/>
      <c r="G237" s="559"/>
      <c r="H237" s="559"/>
      <c r="I237" s="559"/>
      <c r="J237" s="559"/>
      <c r="K237" s="559"/>
      <c r="L237" s="559"/>
      <c r="M237" s="559"/>
      <c r="N237" s="559"/>
      <c r="O237" s="559"/>
      <c r="P237" s="559"/>
      <c r="Q237" s="559"/>
      <c r="R237" s="559"/>
      <c r="S237" s="559"/>
      <c r="T237" s="559"/>
      <c r="U237" s="559"/>
      <c r="V237" s="559"/>
      <c r="W237" s="559"/>
      <c r="X237" s="559"/>
      <c r="Y237" s="559"/>
      <c r="Z237" s="559"/>
      <c r="AA237" s="559"/>
      <c r="AB237" s="559"/>
      <c r="AC237" s="559"/>
      <c r="AD237" s="559"/>
      <c r="AE237" s="559"/>
      <c r="AF237" s="559"/>
      <c r="AG237" s="559"/>
      <c r="AH237" s="559"/>
      <c r="AI237" s="559"/>
      <c r="AJ237" s="559"/>
      <c r="AK237" s="559"/>
      <c r="AL237" s="559"/>
      <c r="AM237" s="559"/>
      <c r="AN237" s="559"/>
    </row>
    <row r="238">
      <c r="A238" s="559"/>
      <c r="B238" s="559"/>
      <c r="C238" s="559"/>
      <c r="D238" s="559"/>
      <c r="E238" s="559"/>
      <c r="F238" s="559"/>
      <c r="G238" s="559"/>
      <c r="H238" s="559"/>
      <c r="I238" s="559"/>
      <c r="J238" s="559"/>
      <c r="K238" s="559"/>
      <c r="L238" s="559"/>
      <c r="M238" s="559"/>
      <c r="N238" s="559"/>
      <c r="O238" s="559"/>
      <c r="P238" s="559"/>
      <c r="Q238" s="559"/>
      <c r="R238" s="559"/>
      <c r="S238" s="559"/>
      <c r="T238" s="559"/>
      <c r="U238" s="559"/>
      <c r="V238" s="559"/>
      <c r="W238" s="559"/>
      <c r="X238" s="559"/>
      <c r="Y238" s="559"/>
      <c r="Z238" s="559"/>
      <c r="AA238" s="559"/>
      <c r="AB238" s="559"/>
      <c r="AC238" s="559"/>
      <c r="AD238" s="559"/>
      <c r="AE238" s="559"/>
      <c r="AF238" s="559"/>
      <c r="AG238" s="559"/>
      <c r="AH238" s="559"/>
      <c r="AI238" s="559"/>
      <c r="AJ238" s="559"/>
      <c r="AK238" s="559"/>
      <c r="AL238" s="559"/>
      <c r="AM238" s="559"/>
      <c r="AN238" s="559"/>
    </row>
    <row r="239">
      <c r="A239" s="559"/>
      <c r="B239" s="559"/>
      <c r="C239" s="559"/>
      <c r="D239" s="559"/>
      <c r="E239" s="559"/>
      <c r="F239" s="559"/>
      <c r="G239" s="559"/>
      <c r="H239" s="559"/>
      <c r="I239" s="559"/>
      <c r="J239" s="559"/>
      <c r="K239" s="559"/>
      <c r="L239" s="559"/>
      <c r="M239" s="559"/>
      <c r="N239" s="559"/>
      <c r="O239" s="559"/>
      <c r="P239" s="559"/>
      <c r="Q239" s="559"/>
      <c r="R239" s="559"/>
      <c r="S239" s="559"/>
      <c r="T239" s="559"/>
      <c r="U239" s="559"/>
      <c r="V239" s="559"/>
      <c r="W239" s="559"/>
      <c r="X239" s="559"/>
      <c r="Y239" s="559"/>
      <c r="Z239" s="559"/>
      <c r="AA239" s="559"/>
      <c r="AB239" s="559"/>
      <c r="AC239" s="559"/>
      <c r="AD239" s="559"/>
      <c r="AE239" s="559"/>
      <c r="AF239" s="559"/>
      <c r="AG239" s="559"/>
      <c r="AH239" s="559"/>
      <c r="AI239" s="559"/>
      <c r="AJ239" s="559"/>
      <c r="AK239" s="559"/>
      <c r="AL239" s="559"/>
      <c r="AM239" s="559"/>
      <c r="AN239" s="559"/>
    </row>
    <row r="240">
      <c r="A240" s="559"/>
      <c r="B240" s="559"/>
      <c r="C240" s="559"/>
      <c r="D240" s="559"/>
      <c r="E240" s="559"/>
      <c r="F240" s="559"/>
      <c r="G240" s="559"/>
      <c r="H240" s="559"/>
      <c r="I240" s="559"/>
      <c r="J240" s="559"/>
      <c r="K240" s="559"/>
      <c r="L240" s="559"/>
      <c r="M240" s="559"/>
      <c r="N240" s="559"/>
      <c r="O240" s="559"/>
      <c r="P240" s="559"/>
      <c r="Q240" s="559"/>
      <c r="R240" s="559"/>
      <c r="S240" s="559"/>
      <c r="T240" s="559"/>
      <c r="U240" s="559"/>
      <c r="V240" s="559"/>
      <c r="W240" s="559"/>
      <c r="X240" s="559"/>
      <c r="Y240" s="559"/>
      <c r="Z240" s="559"/>
      <c r="AA240" s="559"/>
      <c r="AB240" s="559"/>
      <c r="AC240" s="559"/>
      <c r="AD240" s="559"/>
      <c r="AE240" s="559"/>
      <c r="AF240" s="559"/>
      <c r="AG240" s="559"/>
      <c r="AH240" s="559"/>
      <c r="AI240" s="559"/>
      <c r="AJ240" s="559"/>
      <c r="AK240" s="559"/>
      <c r="AL240" s="559"/>
      <c r="AM240" s="559"/>
      <c r="AN240" s="559"/>
    </row>
    <row r="241">
      <c r="A241" s="559"/>
      <c r="B241" s="559"/>
      <c r="C241" s="559"/>
      <c r="D241" s="559"/>
      <c r="E241" s="559"/>
      <c r="F241" s="559"/>
      <c r="G241" s="559"/>
      <c r="H241" s="559"/>
      <c r="I241" s="559"/>
      <c r="J241" s="559"/>
      <c r="K241" s="559"/>
      <c r="L241" s="559"/>
      <c r="M241" s="559"/>
      <c r="N241" s="559"/>
      <c r="O241" s="559"/>
      <c r="P241" s="559"/>
      <c r="Q241" s="559"/>
      <c r="R241" s="559"/>
      <c r="S241" s="559"/>
      <c r="T241" s="559"/>
      <c r="U241" s="559"/>
      <c r="V241" s="559"/>
      <c r="W241" s="559"/>
      <c r="X241" s="559"/>
      <c r="Y241" s="559"/>
      <c r="Z241" s="559"/>
      <c r="AA241" s="559"/>
      <c r="AB241" s="559"/>
      <c r="AC241" s="559"/>
      <c r="AD241" s="559"/>
      <c r="AE241" s="559"/>
      <c r="AF241" s="559"/>
      <c r="AG241" s="559"/>
      <c r="AH241" s="559"/>
      <c r="AI241" s="559"/>
      <c r="AJ241" s="559"/>
      <c r="AK241" s="559"/>
      <c r="AL241" s="559"/>
      <c r="AM241" s="559"/>
      <c r="AN241" s="559"/>
    </row>
    <row r="242">
      <c r="A242" s="559"/>
      <c r="B242" s="559"/>
      <c r="C242" s="559"/>
      <c r="D242" s="559"/>
      <c r="E242" s="559"/>
      <c r="F242" s="559"/>
      <c r="G242" s="559"/>
      <c r="H242" s="559"/>
      <c r="I242" s="559"/>
      <c r="J242" s="559"/>
      <c r="K242" s="559"/>
      <c r="L242" s="559"/>
      <c r="M242" s="559"/>
      <c r="N242" s="559"/>
      <c r="O242" s="559"/>
      <c r="P242" s="559"/>
      <c r="Q242" s="559"/>
      <c r="R242" s="559"/>
      <c r="S242" s="559"/>
      <c r="T242" s="559"/>
      <c r="U242" s="559"/>
      <c r="V242" s="559"/>
      <c r="W242" s="559"/>
      <c r="X242" s="559"/>
      <c r="Y242" s="559"/>
      <c r="Z242" s="559"/>
      <c r="AA242" s="559"/>
      <c r="AB242" s="559"/>
      <c r="AC242" s="559"/>
      <c r="AD242" s="559"/>
      <c r="AE242" s="559"/>
      <c r="AF242" s="559"/>
      <c r="AG242" s="559"/>
      <c r="AH242" s="559"/>
      <c r="AI242" s="559"/>
      <c r="AJ242" s="559"/>
      <c r="AK242" s="559"/>
      <c r="AL242" s="559"/>
      <c r="AM242" s="559"/>
      <c r="AN242" s="559"/>
    </row>
    <row r="243">
      <c r="A243" s="559"/>
      <c r="B243" s="559"/>
      <c r="C243" s="559"/>
      <c r="D243" s="559"/>
      <c r="E243" s="559"/>
      <c r="F243" s="559"/>
      <c r="G243" s="559"/>
      <c r="H243" s="559"/>
      <c r="I243" s="559"/>
      <c r="J243" s="559"/>
      <c r="K243" s="559"/>
      <c r="L243" s="559"/>
      <c r="M243" s="559"/>
      <c r="N243" s="559"/>
      <c r="O243" s="559"/>
      <c r="P243" s="559"/>
      <c r="Q243" s="559"/>
      <c r="R243" s="559"/>
      <c r="S243" s="559"/>
      <c r="T243" s="559"/>
      <c r="U243" s="559"/>
      <c r="V243" s="559"/>
      <c r="W243" s="559"/>
      <c r="X243" s="559"/>
      <c r="Y243" s="559"/>
      <c r="Z243" s="559"/>
      <c r="AA243" s="559"/>
      <c r="AB243" s="559"/>
      <c r="AC243" s="559"/>
      <c r="AD243" s="559"/>
      <c r="AE243" s="559"/>
      <c r="AF243" s="559"/>
      <c r="AG243" s="559"/>
      <c r="AH243" s="559"/>
      <c r="AI243" s="559"/>
      <c r="AJ243" s="559"/>
      <c r="AK243" s="559"/>
      <c r="AL243" s="559"/>
      <c r="AM243" s="559"/>
      <c r="AN243" s="559"/>
    </row>
    <row r="244">
      <c r="A244" s="559"/>
      <c r="B244" s="559"/>
      <c r="C244" s="559"/>
      <c r="D244" s="559"/>
      <c r="E244" s="559"/>
      <c r="F244" s="559"/>
      <c r="G244" s="559"/>
      <c r="H244" s="559"/>
      <c r="I244" s="559"/>
      <c r="J244" s="559"/>
      <c r="K244" s="559"/>
      <c r="L244" s="559"/>
      <c r="M244" s="559"/>
      <c r="N244" s="559"/>
      <c r="O244" s="559"/>
      <c r="P244" s="559"/>
      <c r="Q244" s="559"/>
      <c r="R244" s="559"/>
      <c r="S244" s="559"/>
      <c r="T244" s="559"/>
      <c r="U244" s="559"/>
      <c r="V244" s="559"/>
      <c r="W244" s="559"/>
      <c r="X244" s="559"/>
      <c r="Y244" s="559"/>
      <c r="Z244" s="559"/>
      <c r="AA244" s="559"/>
      <c r="AB244" s="559"/>
      <c r="AC244" s="559"/>
      <c r="AD244" s="559"/>
      <c r="AE244" s="559"/>
      <c r="AF244" s="559"/>
      <c r="AG244" s="559"/>
      <c r="AH244" s="559"/>
      <c r="AI244" s="559"/>
      <c r="AJ244" s="559"/>
      <c r="AK244" s="559"/>
      <c r="AL244" s="559"/>
      <c r="AM244" s="559"/>
      <c r="AN244" s="559"/>
    </row>
    <row r="245">
      <c r="A245" s="559"/>
      <c r="B245" s="559"/>
      <c r="C245" s="559"/>
      <c r="D245" s="559"/>
      <c r="E245" s="559"/>
      <c r="F245" s="559"/>
      <c r="G245" s="559"/>
      <c r="H245" s="559"/>
      <c r="I245" s="559"/>
      <c r="J245" s="559"/>
      <c r="K245" s="559"/>
      <c r="L245" s="559"/>
      <c r="M245" s="559"/>
      <c r="N245" s="559"/>
      <c r="O245" s="559"/>
      <c r="P245" s="559"/>
      <c r="Q245" s="559"/>
      <c r="R245" s="559"/>
      <c r="S245" s="559"/>
      <c r="T245" s="559"/>
      <c r="U245" s="559"/>
      <c r="V245" s="559"/>
      <c r="W245" s="559"/>
      <c r="X245" s="559"/>
      <c r="Y245" s="559"/>
      <c r="Z245" s="559"/>
      <c r="AA245" s="559"/>
      <c r="AB245" s="559"/>
      <c r="AC245" s="559"/>
      <c r="AD245" s="559"/>
      <c r="AE245" s="559"/>
      <c r="AF245" s="559"/>
      <c r="AG245" s="559"/>
      <c r="AH245" s="559"/>
      <c r="AI245" s="559"/>
      <c r="AJ245" s="559"/>
      <c r="AK245" s="559"/>
      <c r="AL245" s="559"/>
      <c r="AM245" s="559"/>
      <c r="AN245" s="559"/>
    </row>
    <row r="246">
      <c r="A246" s="559"/>
      <c r="B246" s="559"/>
      <c r="C246" s="559"/>
      <c r="D246" s="559"/>
      <c r="E246" s="559"/>
      <c r="F246" s="559"/>
      <c r="G246" s="559"/>
      <c r="H246" s="559"/>
      <c r="I246" s="559"/>
      <c r="J246" s="559"/>
      <c r="K246" s="559"/>
      <c r="L246" s="559"/>
      <c r="M246" s="559"/>
      <c r="N246" s="559"/>
      <c r="O246" s="559"/>
      <c r="P246" s="559"/>
      <c r="Q246" s="559"/>
      <c r="R246" s="559"/>
      <c r="S246" s="559"/>
      <c r="T246" s="559"/>
      <c r="U246" s="559"/>
      <c r="V246" s="559"/>
      <c r="W246" s="559"/>
      <c r="X246" s="559"/>
      <c r="Y246" s="559"/>
      <c r="Z246" s="559"/>
      <c r="AA246" s="559"/>
      <c r="AB246" s="559"/>
      <c r="AC246" s="559"/>
      <c r="AD246" s="559"/>
      <c r="AE246" s="559"/>
      <c r="AF246" s="559"/>
      <c r="AG246" s="559"/>
      <c r="AH246" s="559"/>
      <c r="AI246" s="559"/>
      <c r="AJ246" s="559"/>
      <c r="AK246" s="559"/>
      <c r="AL246" s="559"/>
      <c r="AM246" s="559"/>
      <c r="AN246" s="559"/>
    </row>
    <row r="247">
      <c r="A247" s="559"/>
      <c r="B247" s="559"/>
      <c r="C247" s="559"/>
      <c r="D247" s="559"/>
      <c r="E247" s="559"/>
      <c r="F247" s="559"/>
      <c r="G247" s="559"/>
      <c r="H247" s="559"/>
      <c r="I247" s="559"/>
      <c r="J247" s="559"/>
      <c r="K247" s="559"/>
      <c r="L247" s="559"/>
      <c r="M247" s="559"/>
      <c r="N247" s="559"/>
      <c r="O247" s="559"/>
      <c r="P247" s="559"/>
      <c r="Q247" s="559"/>
      <c r="R247" s="559"/>
      <c r="S247" s="559"/>
      <c r="T247" s="559"/>
      <c r="U247" s="559"/>
      <c r="V247" s="559"/>
      <c r="W247" s="559"/>
      <c r="X247" s="559"/>
      <c r="Y247" s="559"/>
      <c r="Z247" s="559"/>
      <c r="AA247" s="559"/>
      <c r="AB247" s="559"/>
      <c r="AC247" s="559"/>
      <c r="AD247" s="559"/>
      <c r="AE247" s="559"/>
      <c r="AF247" s="559"/>
      <c r="AG247" s="559"/>
      <c r="AH247" s="559"/>
      <c r="AI247" s="559"/>
      <c r="AJ247" s="559"/>
      <c r="AK247" s="559"/>
      <c r="AL247" s="559"/>
      <c r="AM247" s="559"/>
      <c r="AN247" s="559"/>
    </row>
    <row r="248">
      <c r="A248" s="559"/>
      <c r="B248" s="559"/>
      <c r="C248" s="559"/>
      <c r="D248" s="559"/>
      <c r="E248" s="559"/>
      <c r="F248" s="559"/>
      <c r="G248" s="559"/>
      <c r="H248" s="559"/>
      <c r="I248" s="559"/>
      <c r="J248" s="559"/>
      <c r="K248" s="559"/>
      <c r="L248" s="559"/>
      <c r="M248" s="559"/>
      <c r="N248" s="559"/>
      <c r="O248" s="559"/>
      <c r="P248" s="559"/>
      <c r="Q248" s="559"/>
      <c r="R248" s="559"/>
      <c r="S248" s="559"/>
      <c r="T248" s="559"/>
      <c r="U248" s="559"/>
      <c r="V248" s="559"/>
      <c r="W248" s="559"/>
      <c r="X248" s="559"/>
      <c r="Y248" s="559"/>
      <c r="Z248" s="559"/>
      <c r="AA248" s="559"/>
      <c r="AB248" s="559"/>
      <c r="AC248" s="559"/>
      <c r="AD248" s="559"/>
      <c r="AE248" s="559"/>
      <c r="AF248" s="559"/>
      <c r="AG248" s="559"/>
      <c r="AH248" s="559"/>
      <c r="AI248" s="559"/>
      <c r="AJ248" s="559"/>
      <c r="AK248" s="559"/>
      <c r="AL248" s="559"/>
      <c r="AM248" s="559"/>
      <c r="AN248" s="559"/>
    </row>
    <row r="249">
      <c r="A249" s="559"/>
      <c r="B249" s="559"/>
      <c r="C249" s="559"/>
      <c r="D249" s="559"/>
      <c r="E249" s="559"/>
      <c r="F249" s="559"/>
      <c r="G249" s="559"/>
      <c r="H249" s="559"/>
      <c r="I249" s="559"/>
      <c r="J249" s="559"/>
      <c r="K249" s="559"/>
      <c r="L249" s="559"/>
      <c r="M249" s="559"/>
      <c r="N249" s="559"/>
      <c r="O249" s="559"/>
      <c r="P249" s="559"/>
      <c r="Q249" s="559"/>
      <c r="R249" s="559"/>
      <c r="S249" s="559"/>
      <c r="T249" s="559"/>
      <c r="U249" s="559"/>
      <c r="V249" s="559"/>
      <c r="W249" s="559"/>
      <c r="X249" s="559"/>
      <c r="Y249" s="559"/>
      <c r="Z249" s="559"/>
      <c r="AA249" s="559"/>
      <c r="AB249" s="559"/>
      <c r="AC249" s="559"/>
      <c r="AD249" s="559"/>
      <c r="AE249" s="559"/>
      <c r="AF249" s="559"/>
      <c r="AG249" s="559"/>
      <c r="AH249" s="559"/>
      <c r="AI249" s="559"/>
      <c r="AJ249" s="559"/>
      <c r="AK249" s="559"/>
      <c r="AL249" s="559"/>
      <c r="AM249" s="559"/>
      <c r="AN249" s="559"/>
    </row>
    <row r="250">
      <c r="A250" s="559"/>
      <c r="B250" s="559"/>
      <c r="C250" s="559"/>
      <c r="D250" s="559"/>
      <c r="E250" s="559"/>
      <c r="F250" s="559"/>
      <c r="G250" s="559"/>
      <c r="H250" s="559"/>
      <c r="I250" s="559"/>
      <c r="J250" s="559"/>
      <c r="K250" s="559"/>
      <c r="L250" s="559"/>
      <c r="M250" s="559"/>
      <c r="N250" s="559"/>
      <c r="O250" s="559"/>
      <c r="P250" s="559"/>
      <c r="Q250" s="559"/>
      <c r="R250" s="559"/>
      <c r="S250" s="559"/>
      <c r="T250" s="559"/>
      <c r="U250" s="559"/>
      <c r="V250" s="559"/>
      <c r="W250" s="559"/>
      <c r="X250" s="559"/>
      <c r="Y250" s="559"/>
      <c r="Z250" s="559"/>
      <c r="AA250" s="559"/>
      <c r="AB250" s="559"/>
      <c r="AC250" s="559"/>
      <c r="AD250" s="559"/>
      <c r="AE250" s="559"/>
      <c r="AF250" s="559"/>
      <c r="AG250" s="559"/>
      <c r="AH250" s="559"/>
      <c r="AI250" s="559"/>
      <c r="AJ250" s="559"/>
      <c r="AK250" s="559"/>
      <c r="AL250" s="559"/>
      <c r="AM250" s="559"/>
      <c r="AN250" s="559"/>
    </row>
    <row r="251">
      <c r="A251" s="559"/>
      <c r="B251" s="559"/>
      <c r="C251" s="559"/>
      <c r="D251" s="559"/>
      <c r="E251" s="559"/>
      <c r="F251" s="559"/>
      <c r="G251" s="559"/>
      <c r="H251" s="559"/>
      <c r="I251" s="559"/>
      <c r="J251" s="559"/>
      <c r="K251" s="559"/>
      <c r="L251" s="559"/>
      <c r="M251" s="559"/>
      <c r="N251" s="559"/>
      <c r="O251" s="559"/>
      <c r="P251" s="559"/>
      <c r="Q251" s="559"/>
      <c r="R251" s="559"/>
      <c r="S251" s="559"/>
      <c r="T251" s="559"/>
      <c r="U251" s="559"/>
      <c r="V251" s="559"/>
      <c r="W251" s="559"/>
      <c r="X251" s="559"/>
      <c r="Y251" s="559"/>
      <c r="Z251" s="559"/>
      <c r="AA251" s="559"/>
      <c r="AB251" s="559"/>
      <c r="AC251" s="559"/>
      <c r="AD251" s="559"/>
      <c r="AE251" s="559"/>
      <c r="AF251" s="559"/>
      <c r="AG251" s="559"/>
      <c r="AH251" s="559"/>
      <c r="AI251" s="559"/>
      <c r="AJ251" s="559"/>
      <c r="AK251" s="559"/>
      <c r="AL251" s="559"/>
      <c r="AM251" s="559"/>
      <c r="AN251" s="559"/>
    </row>
    <row r="252">
      <c r="A252" s="559"/>
      <c r="B252" s="559"/>
      <c r="C252" s="559"/>
      <c r="D252" s="559"/>
      <c r="E252" s="559"/>
      <c r="F252" s="559"/>
      <c r="G252" s="559"/>
      <c r="H252" s="559"/>
      <c r="I252" s="559"/>
      <c r="J252" s="559"/>
      <c r="K252" s="559"/>
      <c r="L252" s="559"/>
      <c r="M252" s="559"/>
      <c r="N252" s="559"/>
      <c r="O252" s="559"/>
      <c r="P252" s="559"/>
      <c r="Q252" s="559"/>
      <c r="R252" s="559"/>
      <c r="S252" s="559"/>
      <c r="T252" s="559"/>
      <c r="U252" s="559"/>
      <c r="V252" s="559"/>
      <c r="W252" s="559"/>
      <c r="X252" s="559"/>
      <c r="Y252" s="559"/>
      <c r="Z252" s="559"/>
      <c r="AA252" s="559"/>
      <c r="AB252" s="559"/>
      <c r="AC252" s="559"/>
      <c r="AD252" s="559"/>
      <c r="AE252" s="559"/>
      <c r="AF252" s="559"/>
      <c r="AG252" s="559"/>
      <c r="AH252" s="559"/>
      <c r="AI252" s="559"/>
      <c r="AJ252" s="559"/>
      <c r="AK252" s="559"/>
      <c r="AL252" s="559"/>
      <c r="AM252" s="559"/>
      <c r="AN252" s="559"/>
    </row>
    <row r="253">
      <c r="A253" s="559"/>
      <c r="B253" s="559"/>
      <c r="C253" s="559"/>
      <c r="D253" s="559"/>
      <c r="E253" s="559"/>
      <c r="F253" s="559"/>
      <c r="G253" s="559"/>
      <c r="H253" s="559"/>
      <c r="I253" s="559"/>
      <c r="J253" s="559"/>
      <c r="K253" s="559"/>
      <c r="L253" s="559"/>
      <c r="M253" s="559"/>
      <c r="N253" s="559"/>
      <c r="O253" s="559"/>
      <c r="P253" s="559"/>
      <c r="Q253" s="559"/>
      <c r="R253" s="559"/>
      <c r="S253" s="559"/>
      <c r="T253" s="559"/>
      <c r="U253" s="559"/>
      <c r="V253" s="559"/>
      <c r="W253" s="559"/>
      <c r="X253" s="559"/>
      <c r="Y253" s="559"/>
      <c r="Z253" s="559"/>
      <c r="AA253" s="559"/>
      <c r="AB253" s="559"/>
      <c r="AC253" s="559"/>
      <c r="AD253" s="559"/>
      <c r="AE253" s="559"/>
      <c r="AF253" s="559"/>
      <c r="AG253" s="559"/>
      <c r="AH253" s="559"/>
      <c r="AI253" s="559"/>
      <c r="AJ253" s="559"/>
      <c r="AK253" s="559"/>
      <c r="AL253" s="559"/>
      <c r="AM253" s="559"/>
      <c r="AN253" s="559"/>
    </row>
    <row r="254">
      <c r="A254" s="559"/>
      <c r="B254" s="559"/>
      <c r="C254" s="559"/>
      <c r="D254" s="559"/>
      <c r="E254" s="559"/>
      <c r="F254" s="559"/>
      <c r="G254" s="559"/>
      <c r="H254" s="559"/>
      <c r="I254" s="559"/>
      <c r="J254" s="559"/>
      <c r="K254" s="559"/>
      <c r="L254" s="559"/>
      <c r="M254" s="559"/>
      <c r="N254" s="559"/>
      <c r="O254" s="559"/>
      <c r="P254" s="559"/>
      <c r="Q254" s="559"/>
      <c r="R254" s="559"/>
      <c r="S254" s="559"/>
      <c r="T254" s="559"/>
      <c r="U254" s="559"/>
      <c r="V254" s="559"/>
      <c r="W254" s="559"/>
      <c r="X254" s="559"/>
      <c r="Y254" s="559"/>
      <c r="Z254" s="559"/>
      <c r="AA254" s="559"/>
      <c r="AB254" s="559"/>
      <c r="AC254" s="559"/>
      <c r="AD254" s="559"/>
      <c r="AE254" s="559"/>
      <c r="AF254" s="559"/>
      <c r="AG254" s="559"/>
      <c r="AH254" s="559"/>
      <c r="AI254" s="559"/>
      <c r="AJ254" s="559"/>
      <c r="AK254" s="559"/>
      <c r="AL254" s="559"/>
      <c r="AM254" s="559"/>
      <c r="AN254" s="559"/>
    </row>
    <row r="255">
      <c r="A255" s="559"/>
      <c r="B255" s="559"/>
      <c r="C255" s="559"/>
      <c r="D255" s="559"/>
      <c r="E255" s="559"/>
      <c r="F255" s="559"/>
      <c r="G255" s="559"/>
      <c r="H255" s="559"/>
      <c r="I255" s="559"/>
      <c r="J255" s="559"/>
      <c r="K255" s="559"/>
      <c r="L255" s="559"/>
      <c r="M255" s="559"/>
      <c r="N255" s="559"/>
      <c r="O255" s="559"/>
      <c r="P255" s="559"/>
      <c r="Q255" s="559"/>
      <c r="R255" s="559"/>
      <c r="S255" s="559"/>
      <c r="T255" s="559"/>
      <c r="U255" s="559"/>
      <c r="V255" s="559"/>
      <c r="W255" s="559"/>
      <c r="X255" s="559"/>
      <c r="Y255" s="559"/>
      <c r="Z255" s="559"/>
      <c r="AA255" s="559"/>
      <c r="AB255" s="559"/>
      <c r="AC255" s="559"/>
      <c r="AD255" s="559"/>
      <c r="AE255" s="559"/>
      <c r="AF255" s="559"/>
      <c r="AG255" s="559"/>
      <c r="AH255" s="559"/>
      <c r="AI255" s="559"/>
      <c r="AJ255" s="559"/>
      <c r="AK255" s="559"/>
      <c r="AL255" s="559"/>
      <c r="AM255" s="559"/>
      <c r="AN255" s="559"/>
    </row>
    <row r="256">
      <c r="A256" s="559"/>
      <c r="B256" s="559"/>
      <c r="C256" s="559"/>
      <c r="D256" s="559"/>
      <c r="E256" s="559"/>
      <c r="F256" s="559"/>
      <c r="G256" s="559"/>
      <c r="H256" s="559"/>
      <c r="I256" s="559"/>
      <c r="J256" s="559"/>
      <c r="K256" s="559"/>
      <c r="L256" s="559"/>
      <c r="M256" s="559"/>
      <c r="N256" s="559"/>
      <c r="O256" s="559"/>
      <c r="P256" s="559"/>
      <c r="Q256" s="559"/>
      <c r="R256" s="559"/>
      <c r="S256" s="559"/>
      <c r="T256" s="559"/>
      <c r="U256" s="559"/>
      <c r="V256" s="559"/>
      <c r="W256" s="559"/>
      <c r="X256" s="559"/>
      <c r="Y256" s="559"/>
      <c r="Z256" s="559"/>
      <c r="AA256" s="559"/>
      <c r="AB256" s="559"/>
      <c r="AC256" s="559"/>
      <c r="AD256" s="559"/>
      <c r="AE256" s="559"/>
      <c r="AF256" s="559"/>
      <c r="AG256" s="559"/>
      <c r="AH256" s="559"/>
      <c r="AI256" s="559"/>
      <c r="AJ256" s="559"/>
      <c r="AK256" s="559"/>
      <c r="AL256" s="559"/>
      <c r="AM256" s="559"/>
      <c r="AN256" s="559"/>
    </row>
    <row r="257">
      <c r="A257" s="559"/>
      <c r="B257" s="559"/>
      <c r="C257" s="559"/>
      <c r="D257" s="559"/>
      <c r="E257" s="559"/>
      <c r="F257" s="559"/>
      <c r="G257" s="559"/>
      <c r="H257" s="559"/>
      <c r="I257" s="559"/>
      <c r="J257" s="559"/>
      <c r="K257" s="559"/>
      <c r="L257" s="559"/>
      <c r="M257" s="559"/>
      <c r="N257" s="559"/>
      <c r="O257" s="559"/>
      <c r="P257" s="559"/>
      <c r="Q257" s="559"/>
      <c r="R257" s="559"/>
      <c r="S257" s="559"/>
      <c r="T257" s="559"/>
      <c r="U257" s="559"/>
      <c r="V257" s="559"/>
      <c r="W257" s="559"/>
      <c r="X257" s="559"/>
      <c r="Y257" s="559"/>
      <c r="Z257" s="559"/>
      <c r="AA257" s="559"/>
      <c r="AB257" s="559"/>
      <c r="AC257" s="559"/>
      <c r="AD257" s="559"/>
      <c r="AE257" s="559"/>
      <c r="AF257" s="559"/>
      <c r="AG257" s="559"/>
      <c r="AH257" s="559"/>
      <c r="AI257" s="559"/>
      <c r="AJ257" s="559"/>
      <c r="AK257" s="559"/>
      <c r="AL257" s="559"/>
      <c r="AM257" s="559"/>
      <c r="AN257" s="559"/>
    </row>
    <row r="258">
      <c r="A258" s="559"/>
      <c r="B258" s="559"/>
      <c r="C258" s="559"/>
      <c r="D258" s="559"/>
      <c r="E258" s="559"/>
      <c r="F258" s="559"/>
      <c r="G258" s="559"/>
      <c r="H258" s="559"/>
      <c r="I258" s="559"/>
      <c r="J258" s="559"/>
      <c r="K258" s="559"/>
      <c r="L258" s="559"/>
      <c r="M258" s="559"/>
      <c r="N258" s="559"/>
      <c r="O258" s="559"/>
      <c r="P258" s="559"/>
      <c r="Q258" s="559"/>
      <c r="R258" s="559"/>
      <c r="S258" s="559"/>
      <c r="T258" s="559"/>
      <c r="U258" s="559"/>
      <c r="V258" s="559"/>
      <c r="W258" s="559"/>
      <c r="X258" s="559"/>
      <c r="Y258" s="559"/>
      <c r="Z258" s="559"/>
      <c r="AA258" s="559"/>
      <c r="AB258" s="559"/>
      <c r="AC258" s="559"/>
      <c r="AD258" s="559"/>
      <c r="AE258" s="559"/>
      <c r="AF258" s="559"/>
      <c r="AG258" s="559"/>
      <c r="AH258" s="559"/>
      <c r="AI258" s="559"/>
      <c r="AJ258" s="559"/>
      <c r="AK258" s="559"/>
      <c r="AL258" s="559"/>
      <c r="AM258" s="559"/>
      <c r="AN258" s="559"/>
    </row>
    <row r="259">
      <c r="A259" s="559"/>
      <c r="B259" s="559"/>
      <c r="C259" s="559"/>
      <c r="D259" s="559"/>
      <c r="E259" s="559"/>
      <c r="F259" s="559"/>
      <c r="G259" s="559"/>
      <c r="H259" s="559"/>
      <c r="I259" s="559"/>
      <c r="J259" s="559"/>
      <c r="K259" s="559"/>
      <c r="L259" s="559"/>
      <c r="M259" s="559"/>
      <c r="N259" s="559"/>
      <c r="O259" s="559"/>
      <c r="P259" s="559"/>
      <c r="Q259" s="559"/>
      <c r="R259" s="559"/>
      <c r="S259" s="559"/>
      <c r="T259" s="559"/>
      <c r="U259" s="559"/>
      <c r="V259" s="559"/>
      <c r="W259" s="559"/>
      <c r="X259" s="559"/>
      <c r="Y259" s="559"/>
      <c r="Z259" s="559"/>
      <c r="AA259" s="559"/>
      <c r="AB259" s="559"/>
      <c r="AC259" s="559"/>
      <c r="AD259" s="559"/>
      <c r="AE259" s="559"/>
      <c r="AF259" s="559"/>
      <c r="AG259" s="559"/>
      <c r="AH259" s="559"/>
      <c r="AI259" s="559"/>
      <c r="AJ259" s="559"/>
      <c r="AK259" s="559"/>
      <c r="AL259" s="559"/>
      <c r="AM259" s="559"/>
      <c r="AN259" s="559"/>
    </row>
    <row r="260">
      <c r="A260" s="559"/>
      <c r="B260" s="559"/>
      <c r="C260" s="559"/>
      <c r="D260" s="559"/>
      <c r="E260" s="559"/>
      <c r="F260" s="559"/>
      <c r="G260" s="559"/>
      <c r="H260" s="559"/>
      <c r="I260" s="559"/>
      <c r="J260" s="559"/>
      <c r="K260" s="559"/>
      <c r="L260" s="559"/>
      <c r="M260" s="559"/>
      <c r="N260" s="559"/>
      <c r="O260" s="559"/>
      <c r="P260" s="559"/>
      <c r="Q260" s="559"/>
      <c r="R260" s="559"/>
      <c r="S260" s="559"/>
      <c r="T260" s="559"/>
      <c r="U260" s="559"/>
      <c r="V260" s="559"/>
      <c r="W260" s="559"/>
      <c r="X260" s="559"/>
      <c r="Y260" s="559"/>
      <c r="Z260" s="559"/>
      <c r="AA260" s="559"/>
      <c r="AB260" s="559"/>
      <c r="AC260" s="559"/>
      <c r="AD260" s="559"/>
      <c r="AE260" s="559"/>
      <c r="AF260" s="559"/>
      <c r="AG260" s="559"/>
      <c r="AH260" s="559"/>
      <c r="AI260" s="559"/>
      <c r="AJ260" s="559"/>
      <c r="AK260" s="559"/>
      <c r="AL260" s="559"/>
      <c r="AM260" s="559"/>
      <c r="AN260" s="559"/>
    </row>
    <row r="261">
      <c r="A261" s="559"/>
      <c r="B261" s="559"/>
      <c r="C261" s="559"/>
      <c r="D261" s="559"/>
      <c r="E261" s="559"/>
      <c r="F261" s="559"/>
      <c r="G261" s="559"/>
      <c r="H261" s="559"/>
      <c r="I261" s="559"/>
      <c r="J261" s="559"/>
      <c r="K261" s="559"/>
      <c r="L261" s="559"/>
      <c r="M261" s="559"/>
      <c r="N261" s="559"/>
      <c r="O261" s="559"/>
      <c r="P261" s="559"/>
      <c r="Q261" s="559"/>
      <c r="R261" s="559"/>
      <c r="S261" s="559"/>
      <c r="T261" s="559"/>
      <c r="U261" s="559"/>
      <c r="V261" s="559"/>
      <c r="W261" s="559"/>
      <c r="X261" s="559"/>
      <c r="Y261" s="559"/>
      <c r="Z261" s="559"/>
      <c r="AA261" s="559"/>
      <c r="AB261" s="559"/>
      <c r="AC261" s="559"/>
      <c r="AD261" s="559"/>
      <c r="AE261" s="559"/>
      <c r="AF261" s="559"/>
      <c r="AG261" s="559"/>
      <c r="AH261" s="559"/>
      <c r="AI261" s="559"/>
      <c r="AJ261" s="559"/>
      <c r="AK261" s="559"/>
      <c r="AL261" s="559"/>
      <c r="AM261" s="559"/>
      <c r="AN261" s="559"/>
    </row>
    <row r="262">
      <c r="A262" s="559"/>
      <c r="B262" s="559"/>
      <c r="C262" s="559"/>
      <c r="D262" s="559"/>
      <c r="E262" s="559"/>
      <c r="F262" s="559"/>
      <c r="G262" s="559"/>
      <c r="H262" s="559"/>
      <c r="I262" s="559"/>
      <c r="J262" s="559"/>
      <c r="K262" s="559"/>
      <c r="L262" s="559"/>
      <c r="M262" s="559"/>
      <c r="N262" s="559"/>
      <c r="O262" s="559"/>
      <c r="P262" s="559"/>
      <c r="Q262" s="559"/>
      <c r="R262" s="559"/>
      <c r="S262" s="559"/>
      <c r="T262" s="559"/>
      <c r="U262" s="559"/>
      <c r="V262" s="559"/>
      <c r="W262" s="559"/>
      <c r="X262" s="559"/>
      <c r="Y262" s="559"/>
      <c r="Z262" s="559"/>
      <c r="AA262" s="559"/>
      <c r="AB262" s="559"/>
      <c r="AC262" s="559"/>
      <c r="AD262" s="559"/>
      <c r="AE262" s="559"/>
      <c r="AF262" s="559"/>
      <c r="AG262" s="559"/>
      <c r="AH262" s="559"/>
      <c r="AI262" s="559"/>
      <c r="AJ262" s="559"/>
      <c r="AK262" s="559"/>
      <c r="AL262" s="559"/>
      <c r="AM262" s="559"/>
      <c r="AN262" s="559"/>
    </row>
    <row r="263">
      <c r="A263" s="559"/>
      <c r="B263" s="559"/>
      <c r="C263" s="559"/>
      <c r="D263" s="559"/>
      <c r="E263" s="559"/>
      <c r="F263" s="559"/>
      <c r="G263" s="559"/>
      <c r="H263" s="559"/>
      <c r="I263" s="559"/>
      <c r="J263" s="559"/>
      <c r="K263" s="559"/>
      <c r="L263" s="559"/>
      <c r="M263" s="559"/>
      <c r="N263" s="559"/>
      <c r="O263" s="559"/>
      <c r="P263" s="559"/>
      <c r="Q263" s="559"/>
      <c r="R263" s="559"/>
      <c r="S263" s="559"/>
      <c r="T263" s="559"/>
      <c r="U263" s="559"/>
      <c r="V263" s="559"/>
      <c r="W263" s="559"/>
      <c r="X263" s="559"/>
      <c r="Y263" s="559"/>
      <c r="Z263" s="559"/>
      <c r="AA263" s="559"/>
      <c r="AB263" s="559"/>
      <c r="AC263" s="559"/>
      <c r="AD263" s="559"/>
      <c r="AE263" s="559"/>
      <c r="AF263" s="559"/>
      <c r="AG263" s="559"/>
      <c r="AH263" s="559"/>
      <c r="AI263" s="559"/>
      <c r="AJ263" s="559"/>
      <c r="AK263" s="559"/>
      <c r="AL263" s="559"/>
      <c r="AM263" s="559"/>
      <c r="AN263" s="559"/>
    </row>
    <row r="264">
      <c r="A264" s="559"/>
      <c r="B264" s="559"/>
      <c r="C264" s="559"/>
      <c r="D264" s="559"/>
      <c r="E264" s="559"/>
      <c r="F264" s="559"/>
      <c r="G264" s="559"/>
      <c r="H264" s="559"/>
      <c r="I264" s="559"/>
      <c r="J264" s="559"/>
      <c r="K264" s="559"/>
      <c r="L264" s="559"/>
      <c r="M264" s="559"/>
      <c r="N264" s="559"/>
      <c r="O264" s="559"/>
      <c r="P264" s="559"/>
      <c r="Q264" s="559"/>
      <c r="R264" s="559"/>
      <c r="S264" s="559"/>
      <c r="T264" s="559"/>
      <c r="U264" s="559"/>
      <c r="V264" s="559"/>
      <c r="W264" s="559"/>
      <c r="X264" s="559"/>
      <c r="Y264" s="559"/>
      <c r="Z264" s="559"/>
      <c r="AA264" s="559"/>
      <c r="AB264" s="559"/>
      <c r="AC264" s="559"/>
      <c r="AD264" s="559"/>
      <c r="AE264" s="559"/>
      <c r="AF264" s="559"/>
      <c r="AG264" s="559"/>
      <c r="AH264" s="559"/>
      <c r="AI264" s="559"/>
      <c r="AJ264" s="559"/>
      <c r="AK264" s="559"/>
      <c r="AL264" s="559"/>
      <c r="AM264" s="559"/>
      <c r="AN264" s="559"/>
    </row>
    <row r="265">
      <c r="A265" s="559"/>
      <c r="B265" s="559"/>
      <c r="C265" s="559"/>
      <c r="D265" s="559"/>
      <c r="E265" s="559"/>
      <c r="F265" s="559"/>
      <c r="G265" s="559"/>
      <c r="H265" s="559"/>
      <c r="I265" s="559"/>
      <c r="J265" s="559"/>
      <c r="K265" s="559"/>
      <c r="L265" s="559"/>
      <c r="M265" s="559"/>
      <c r="N265" s="559"/>
      <c r="O265" s="559"/>
      <c r="P265" s="559"/>
      <c r="Q265" s="559"/>
      <c r="R265" s="559"/>
      <c r="S265" s="559"/>
      <c r="T265" s="559"/>
      <c r="U265" s="559"/>
      <c r="V265" s="559"/>
      <c r="W265" s="559"/>
      <c r="X265" s="559"/>
      <c r="Y265" s="559"/>
      <c r="Z265" s="559"/>
      <c r="AA265" s="559"/>
      <c r="AB265" s="559"/>
      <c r="AC265" s="559"/>
      <c r="AD265" s="559"/>
      <c r="AE265" s="559"/>
      <c r="AF265" s="559"/>
      <c r="AG265" s="559"/>
      <c r="AH265" s="559"/>
      <c r="AI265" s="559"/>
      <c r="AJ265" s="559"/>
      <c r="AK265" s="559"/>
      <c r="AL265" s="559"/>
      <c r="AM265" s="559"/>
      <c r="AN265" s="559"/>
    </row>
    <row r="266">
      <c r="A266" s="559"/>
      <c r="B266" s="559"/>
      <c r="C266" s="559"/>
      <c r="D266" s="559"/>
      <c r="E266" s="559"/>
      <c r="F266" s="559"/>
      <c r="G266" s="559"/>
      <c r="H266" s="559"/>
      <c r="I266" s="559"/>
      <c r="J266" s="559"/>
      <c r="K266" s="559"/>
      <c r="L266" s="559"/>
      <c r="M266" s="559"/>
      <c r="N266" s="559"/>
      <c r="O266" s="559"/>
      <c r="P266" s="559"/>
      <c r="Q266" s="559"/>
      <c r="R266" s="559"/>
      <c r="S266" s="559"/>
      <c r="T266" s="559"/>
      <c r="U266" s="559"/>
      <c r="V266" s="559"/>
      <c r="W266" s="559"/>
      <c r="X266" s="559"/>
      <c r="Y266" s="559"/>
      <c r="Z266" s="559"/>
      <c r="AA266" s="559"/>
      <c r="AB266" s="559"/>
      <c r="AC266" s="559"/>
      <c r="AD266" s="559"/>
      <c r="AE266" s="559"/>
      <c r="AF266" s="559"/>
      <c r="AG266" s="559"/>
      <c r="AH266" s="559"/>
      <c r="AI266" s="559"/>
      <c r="AJ266" s="559"/>
      <c r="AK266" s="559"/>
      <c r="AL266" s="559"/>
      <c r="AM266" s="559"/>
      <c r="AN266" s="559"/>
    </row>
    <row r="267">
      <c r="A267" s="559"/>
      <c r="B267" s="559"/>
      <c r="C267" s="559"/>
      <c r="D267" s="559"/>
      <c r="E267" s="559"/>
      <c r="F267" s="559"/>
      <c r="G267" s="559"/>
      <c r="H267" s="559"/>
      <c r="I267" s="559"/>
      <c r="J267" s="559"/>
      <c r="K267" s="559"/>
      <c r="L267" s="559"/>
      <c r="M267" s="559"/>
      <c r="N267" s="559"/>
      <c r="O267" s="559"/>
      <c r="P267" s="559"/>
      <c r="Q267" s="559"/>
      <c r="R267" s="559"/>
      <c r="S267" s="559"/>
      <c r="T267" s="559"/>
      <c r="U267" s="559"/>
      <c r="V267" s="559"/>
      <c r="W267" s="559"/>
      <c r="X267" s="559"/>
      <c r="Y267" s="559"/>
      <c r="Z267" s="559"/>
      <c r="AA267" s="559"/>
      <c r="AB267" s="559"/>
      <c r="AC267" s="559"/>
      <c r="AD267" s="559"/>
      <c r="AE267" s="559"/>
      <c r="AF267" s="559"/>
      <c r="AG267" s="559"/>
      <c r="AH267" s="559"/>
      <c r="AI267" s="559"/>
      <c r="AJ267" s="559"/>
      <c r="AK267" s="559"/>
      <c r="AL267" s="559"/>
      <c r="AM267" s="559"/>
      <c r="AN267" s="559"/>
    </row>
    <row r="268">
      <c r="A268" s="559"/>
      <c r="B268" s="559"/>
      <c r="C268" s="559"/>
      <c r="D268" s="559"/>
      <c r="E268" s="559"/>
      <c r="F268" s="559"/>
      <c r="G268" s="559"/>
      <c r="H268" s="559"/>
      <c r="I268" s="559"/>
      <c r="J268" s="559"/>
      <c r="K268" s="559"/>
      <c r="L268" s="559"/>
      <c r="M268" s="559"/>
      <c r="N268" s="559"/>
      <c r="O268" s="559"/>
      <c r="P268" s="559"/>
      <c r="Q268" s="559"/>
      <c r="R268" s="559"/>
      <c r="S268" s="559"/>
      <c r="T268" s="559"/>
      <c r="U268" s="559"/>
      <c r="V268" s="559"/>
      <c r="W268" s="559"/>
      <c r="X268" s="559"/>
      <c r="Y268" s="559"/>
      <c r="Z268" s="559"/>
      <c r="AA268" s="559"/>
      <c r="AB268" s="559"/>
      <c r="AC268" s="559"/>
      <c r="AD268" s="559"/>
      <c r="AE268" s="559"/>
      <c r="AF268" s="559"/>
      <c r="AG268" s="559"/>
      <c r="AH268" s="559"/>
      <c r="AI268" s="559"/>
      <c r="AJ268" s="559"/>
      <c r="AK268" s="559"/>
      <c r="AL268" s="559"/>
      <c r="AM268" s="559"/>
      <c r="AN268" s="559"/>
    </row>
    <row r="269">
      <c r="A269" s="559"/>
      <c r="B269" s="559"/>
      <c r="C269" s="559"/>
      <c r="D269" s="559"/>
      <c r="E269" s="559"/>
      <c r="F269" s="559"/>
      <c r="G269" s="559"/>
      <c r="H269" s="559"/>
      <c r="I269" s="559"/>
      <c r="J269" s="559"/>
      <c r="K269" s="559"/>
      <c r="L269" s="559"/>
      <c r="M269" s="559"/>
      <c r="N269" s="559"/>
      <c r="O269" s="559"/>
      <c r="P269" s="559"/>
      <c r="Q269" s="559"/>
      <c r="R269" s="559"/>
      <c r="S269" s="559"/>
      <c r="T269" s="559"/>
      <c r="U269" s="559"/>
      <c r="V269" s="559"/>
      <c r="W269" s="559"/>
      <c r="X269" s="559"/>
      <c r="Y269" s="559"/>
      <c r="Z269" s="559"/>
      <c r="AA269" s="559"/>
      <c r="AB269" s="559"/>
      <c r="AC269" s="559"/>
      <c r="AD269" s="559"/>
      <c r="AE269" s="559"/>
      <c r="AF269" s="559"/>
      <c r="AG269" s="559"/>
      <c r="AH269" s="559"/>
      <c r="AI269" s="559"/>
      <c r="AJ269" s="559"/>
      <c r="AK269" s="559"/>
      <c r="AL269" s="559"/>
      <c r="AM269" s="559"/>
      <c r="AN269" s="559"/>
    </row>
    <row r="270">
      <c r="A270" s="559"/>
      <c r="B270" s="559"/>
      <c r="C270" s="559"/>
      <c r="D270" s="559"/>
      <c r="E270" s="559"/>
      <c r="F270" s="559"/>
      <c r="G270" s="559"/>
      <c r="H270" s="559"/>
      <c r="I270" s="559"/>
      <c r="J270" s="559"/>
      <c r="K270" s="559"/>
      <c r="L270" s="559"/>
      <c r="M270" s="559"/>
      <c r="N270" s="559"/>
      <c r="O270" s="559"/>
      <c r="P270" s="559"/>
      <c r="Q270" s="559"/>
      <c r="R270" s="559"/>
      <c r="S270" s="559"/>
      <c r="T270" s="559"/>
      <c r="U270" s="559"/>
      <c r="V270" s="559"/>
      <c r="W270" s="559"/>
      <c r="X270" s="559"/>
      <c r="Y270" s="559"/>
      <c r="Z270" s="559"/>
      <c r="AA270" s="559"/>
      <c r="AB270" s="559"/>
      <c r="AC270" s="559"/>
      <c r="AD270" s="559"/>
      <c r="AE270" s="559"/>
      <c r="AF270" s="559"/>
      <c r="AG270" s="559"/>
      <c r="AH270" s="559"/>
      <c r="AI270" s="559"/>
      <c r="AJ270" s="559"/>
      <c r="AK270" s="559"/>
      <c r="AL270" s="559"/>
      <c r="AM270" s="559"/>
      <c r="AN270" s="559"/>
    </row>
    <row r="271">
      <c r="A271" s="559"/>
      <c r="B271" s="559"/>
      <c r="C271" s="559"/>
      <c r="D271" s="559"/>
      <c r="E271" s="559"/>
      <c r="F271" s="559"/>
      <c r="G271" s="559"/>
      <c r="H271" s="559"/>
      <c r="I271" s="559"/>
      <c r="J271" s="559"/>
      <c r="K271" s="559"/>
      <c r="L271" s="559"/>
      <c r="M271" s="559"/>
      <c r="N271" s="559"/>
      <c r="O271" s="559"/>
      <c r="P271" s="559"/>
      <c r="Q271" s="559"/>
      <c r="R271" s="559"/>
      <c r="S271" s="559"/>
      <c r="T271" s="559"/>
      <c r="U271" s="559"/>
      <c r="V271" s="559"/>
      <c r="W271" s="559"/>
      <c r="X271" s="559"/>
      <c r="Y271" s="559"/>
      <c r="Z271" s="559"/>
      <c r="AA271" s="559"/>
      <c r="AB271" s="559"/>
      <c r="AC271" s="559"/>
      <c r="AD271" s="559"/>
      <c r="AE271" s="559"/>
      <c r="AF271" s="559"/>
      <c r="AG271" s="559"/>
      <c r="AH271" s="559"/>
      <c r="AI271" s="559"/>
      <c r="AJ271" s="559"/>
      <c r="AK271" s="559"/>
      <c r="AL271" s="559"/>
      <c r="AM271" s="559"/>
      <c r="AN271" s="559"/>
    </row>
    <row r="272">
      <c r="A272" s="559"/>
      <c r="B272" s="559"/>
      <c r="C272" s="559"/>
      <c r="D272" s="559"/>
      <c r="E272" s="559"/>
      <c r="F272" s="559"/>
      <c r="G272" s="559"/>
      <c r="H272" s="559"/>
      <c r="I272" s="559"/>
      <c r="J272" s="559"/>
      <c r="K272" s="559"/>
      <c r="L272" s="559"/>
      <c r="M272" s="559"/>
      <c r="N272" s="559"/>
      <c r="O272" s="559"/>
      <c r="P272" s="559"/>
      <c r="Q272" s="559"/>
      <c r="R272" s="559"/>
      <c r="S272" s="559"/>
      <c r="T272" s="559"/>
      <c r="U272" s="559"/>
      <c r="V272" s="559"/>
      <c r="W272" s="559"/>
      <c r="X272" s="559"/>
      <c r="Y272" s="559"/>
      <c r="Z272" s="559"/>
      <c r="AA272" s="559"/>
      <c r="AB272" s="559"/>
      <c r="AC272" s="559"/>
      <c r="AD272" s="559"/>
      <c r="AE272" s="559"/>
      <c r="AF272" s="559"/>
      <c r="AG272" s="559"/>
      <c r="AH272" s="559"/>
      <c r="AI272" s="559"/>
      <c r="AJ272" s="559"/>
      <c r="AK272" s="559"/>
      <c r="AL272" s="559"/>
      <c r="AM272" s="559"/>
      <c r="AN272" s="559"/>
    </row>
    <row r="273">
      <c r="A273" s="559"/>
      <c r="B273" s="559"/>
      <c r="C273" s="559"/>
      <c r="D273" s="559"/>
      <c r="E273" s="559"/>
      <c r="F273" s="559"/>
      <c r="G273" s="559"/>
      <c r="H273" s="559"/>
      <c r="I273" s="559"/>
      <c r="J273" s="559"/>
      <c r="K273" s="559"/>
      <c r="L273" s="559"/>
      <c r="M273" s="559"/>
      <c r="N273" s="559"/>
      <c r="O273" s="559"/>
      <c r="P273" s="559"/>
      <c r="Q273" s="559"/>
      <c r="R273" s="559"/>
      <c r="S273" s="559"/>
      <c r="T273" s="559"/>
      <c r="U273" s="559"/>
      <c r="V273" s="559"/>
      <c r="W273" s="559"/>
      <c r="X273" s="559"/>
      <c r="Y273" s="559"/>
      <c r="Z273" s="559"/>
      <c r="AA273" s="559"/>
      <c r="AB273" s="559"/>
      <c r="AC273" s="559"/>
      <c r="AD273" s="559"/>
      <c r="AE273" s="559"/>
      <c r="AF273" s="559"/>
      <c r="AG273" s="559"/>
      <c r="AH273" s="559"/>
      <c r="AI273" s="559"/>
      <c r="AJ273" s="559"/>
      <c r="AK273" s="559"/>
      <c r="AL273" s="559"/>
      <c r="AM273" s="559"/>
      <c r="AN273" s="559"/>
    </row>
    <row r="274">
      <c r="A274" s="559"/>
      <c r="B274" s="559"/>
      <c r="C274" s="559"/>
      <c r="D274" s="559"/>
      <c r="E274" s="559"/>
      <c r="F274" s="559"/>
      <c r="G274" s="559"/>
      <c r="H274" s="559"/>
      <c r="I274" s="559"/>
      <c r="J274" s="559"/>
      <c r="K274" s="559"/>
      <c r="L274" s="559"/>
      <c r="M274" s="559"/>
      <c r="N274" s="559"/>
      <c r="O274" s="559"/>
      <c r="P274" s="559"/>
      <c r="Q274" s="559"/>
      <c r="R274" s="559"/>
      <c r="S274" s="559"/>
      <c r="T274" s="559"/>
      <c r="U274" s="559"/>
      <c r="V274" s="559"/>
      <c r="W274" s="559"/>
      <c r="X274" s="559"/>
      <c r="Y274" s="559"/>
      <c r="Z274" s="559"/>
      <c r="AA274" s="559"/>
      <c r="AB274" s="559"/>
      <c r="AC274" s="559"/>
      <c r="AD274" s="559"/>
      <c r="AE274" s="559"/>
      <c r="AF274" s="559"/>
      <c r="AG274" s="559"/>
      <c r="AH274" s="559"/>
      <c r="AI274" s="559"/>
      <c r="AJ274" s="559"/>
      <c r="AK274" s="559"/>
      <c r="AL274" s="559"/>
      <c r="AM274" s="559"/>
      <c r="AN274" s="559"/>
    </row>
    <row r="275">
      <c r="A275" s="559"/>
      <c r="B275" s="559"/>
      <c r="C275" s="559"/>
      <c r="D275" s="559"/>
      <c r="E275" s="559"/>
      <c r="F275" s="559"/>
      <c r="G275" s="559"/>
      <c r="H275" s="559"/>
      <c r="I275" s="559"/>
      <c r="J275" s="559"/>
      <c r="K275" s="559"/>
      <c r="L275" s="559"/>
      <c r="M275" s="559"/>
      <c r="N275" s="559"/>
      <c r="O275" s="559"/>
      <c r="P275" s="559"/>
      <c r="Q275" s="559"/>
      <c r="R275" s="559"/>
      <c r="S275" s="559"/>
      <c r="T275" s="559"/>
      <c r="U275" s="559"/>
      <c r="V275" s="559"/>
      <c r="W275" s="559"/>
      <c r="X275" s="559"/>
      <c r="Y275" s="559"/>
      <c r="Z275" s="559"/>
      <c r="AA275" s="559"/>
      <c r="AB275" s="559"/>
      <c r="AC275" s="559"/>
      <c r="AD275" s="559"/>
      <c r="AE275" s="559"/>
      <c r="AF275" s="559"/>
      <c r="AG275" s="559"/>
      <c r="AH275" s="559"/>
      <c r="AI275" s="559"/>
      <c r="AJ275" s="559"/>
      <c r="AK275" s="559"/>
      <c r="AL275" s="559"/>
      <c r="AM275" s="559"/>
      <c r="AN275" s="559"/>
    </row>
    <row r="276">
      <c r="A276" s="559"/>
      <c r="B276" s="559"/>
      <c r="C276" s="559"/>
      <c r="D276" s="559"/>
      <c r="E276" s="559"/>
      <c r="F276" s="559"/>
      <c r="G276" s="559"/>
      <c r="H276" s="559"/>
      <c r="I276" s="559"/>
      <c r="J276" s="559"/>
      <c r="K276" s="559"/>
      <c r="L276" s="559"/>
      <c r="M276" s="559"/>
      <c r="N276" s="559"/>
      <c r="O276" s="559"/>
      <c r="P276" s="559"/>
      <c r="Q276" s="559"/>
      <c r="R276" s="559"/>
      <c r="S276" s="559"/>
      <c r="T276" s="559"/>
      <c r="U276" s="559"/>
      <c r="V276" s="559"/>
      <c r="W276" s="559"/>
      <c r="X276" s="559"/>
      <c r="Y276" s="559"/>
      <c r="Z276" s="559"/>
      <c r="AA276" s="559"/>
      <c r="AB276" s="559"/>
      <c r="AC276" s="559"/>
      <c r="AD276" s="559"/>
      <c r="AE276" s="559"/>
      <c r="AF276" s="559"/>
      <c r="AG276" s="559"/>
      <c r="AH276" s="559"/>
      <c r="AI276" s="559"/>
      <c r="AJ276" s="559"/>
      <c r="AK276" s="559"/>
      <c r="AL276" s="559"/>
      <c r="AM276" s="559"/>
      <c r="AN276" s="559"/>
    </row>
    <row r="277">
      <c r="A277" s="559"/>
      <c r="B277" s="559"/>
      <c r="C277" s="559"/>
      <c r="D277" s="559"/>
      <c r="E277" s="559"/>
      <c r="F277" s="559"/>
      <c r="G277" s="559"/>
      <c r="H277" s="559"/>
      <c r="I277" s="559"/>
      <c r="J277" s="559"/>
      <c r="K277" s="559"/>
      <c r="L277" s="559"/>
      <c r="M277" s="559"/>
      <c r="N277" s="559"/>
      <c r="O277" s="559"/>
      <c r="P277" s="559"/>
      <c r="Q277" s="559"/>
      <c r="R277" s="559"/>
      <c r="S277" s="559"/>
      <c r="T277" s="559"/>
      <c r="U277" s="559"/>
      <c r="V277" s="559"/>
      <c r="W277" s="559"/>
      <c r="X277" s="559"/>
      <c r="Y277" s="559"/>
      <c r="Z277" s="559"/>
      <c r="AA277" s="559"/>
      <c r="AB277" s="559"/>
      <c r="AC277" s="559"/>
      <c r="AD277" s="559"/>
      <c r="AE277" s="559"/>
      <c r="AF277" s="559"/>
      <c r="AG277" s="559"/>
      <c r="AH277" s="559"/>
      <c r="AI277" s="559"/>
      <c r="AJ277" s="559"/>
      <c r="AK277" s="559"/>
      <c r="AL277" s="559"/>
      <c r="AM277" s="559"/>
      <c r="AN277" s="559"/>
    </row>
    <row r="278">
      <c r="A278" s="559"/>
      <c r="B278" s="559"/>
      <c r="C278" s="559"/>
      <c r="D278" s="559"/>
      <c r="E278" s="559"/>
      <c r="F278" s="559"/>
      <c r="G278" s="559"/>
      <c r="H278" s="559"/>
      <c r="I278" s="559"/>
      <c r="J278" s="559"/>
      <c r="K278" s="559"/>
      <c r="L278" s="559"/>
      <c r="M278" s="559"/>
      <c r="N278" s="559"/>
      <c r="O278" s="559"/>
      <c r="P278" s="559"/>
      <c r="Q278" s="559"/>
      <c r="R278" s="559"/>
      <c r="S278" s="559"/>
      <c r="T278" s="559"/>
      <c r="U278" s="559"/>
      <c r="V278" s="559"/>
      <c r="W278" s="559"/>
      <c r="X278" s="559"/>
      <c r="Y278" s="559"/>
      <c r="Z278" s="559"/>
      <c r="AA278" s="559"/>
      <c r="AB278" s="559"/>
      <c r="AC278" s="559"/>
      <c r="AD278" s="559"/>
      <c r="AE278" s="559"/>
      <c r="AF278" s="559"/>
      <c r="AG278" s="559"/>
      <c r="AH278" s="559"/>
      <c r="AI278" s="559"/>
      <c r="AJ278" s="559"/>
      <c r="AK278" s="559"/>
      <c r="AL278" s="559"/>
      <c r="AM278" s="559"/>
      <c r="AN278" s="559"/>
    </row>
    <row r="279">
      <c r="A279" s="559"/>
      <c r="B279" s="559"/>
      <c r="C279" s="559"/>
      <c r="D279" s="559"/>
      <c r="E279" s="559"/>
      <c r="F279" s="559"/>
      <c r="G279" s="559"/>
      <c r="H279" s="559"/>
      <c r="I279" s="559"/>
      <c r="J279" s="559"/>
      <c r="K279" s="559"/>
      <c r="L279" s="559"/>
      <c r="M279" s="559"/>
      <c r="N279" s="559"/>
      <c r="O279" s="559"/>
      <c r="P279" s="559"/>
      <c r="Q279" s="559"/>
      <c r="R279" s="559"/>
      <c r="S279" s="559"/>
      <c r="T279" s="559"/>
      <c r="U279" s="559"/>
      <c r="V279" s="559"/>
      <c r="W279" s="559"/>
      <c r="X279" s="559"/>
      <c r="Y279" s="559"/>
      <c r="Z279" s="559"/>
      <c r="AA279" s="559"/>
      <c r="AB279" s="559"/>
      <c r="AC279" s="559"/>
      <c r="AD279" s="559"/>
      <c r="AE279" s="559"/>
      <c r="AF279" s="559"/>
      <c r="AG279" s="559"/>
      <c r="AH279" s="559"/>
      <c r="AI279" s="559"/>
      <c r="AJ279" s="559"/>
      <c r="AK279" s="559"/>
      <c r="AL279" s="559"/>
      <c r="AM279" s="559"/>
      <c r="AN279" s="559"/>
    </row>
    <row r="280">
      <c r="A280" s="559"/>
      <c r="B280" s="559"/>
      <c r="C280" s="559"/>
      <c r="D280" s="559"/>
      <c r="E280" s="559"/>
      <c r="F280" s="559"/>
      <c r="G280" s="559"/>
      <c r="H280" s="559"/>
      <c r="I280" s="559"/>
      <c r="J280" s="559"/>
      <c r="K280" s="559"/>
      <c r="L280" s="559"/>
      <c r="M280" s="559"/>
      <c r="N280" s="559"/>
      <c r="O280" s="559"/>
      <c r="P280" s="559"/>
      <c r="Q280" s="559"/>
      <c r="R280" s="559"/>
      <c r="S280" s="559"/>
      <c r="T280" s="559"/>
      <c r="U280" s="559"/>
      <c r="V280" s="559"/>
      <c r="W280" s="559"/>
      <c r="X280" s="559"/>
      <c r="Y280" s="559"/>
      <c r="Z280" s="559"/>
      <c r="AA280" s="559"/>
      <c r="AB280" s="559"/>
      <c r="AC280" s="559"/>
      <c r="AD280" s="559"/>
      <c r="AE280" s="559"/>
      <c r="AF280" s="559"/>
      <c r="AG280" s="559"/>
      <c r="AH280" s="559"/>
      <c r="AI280" s="559"/>
      <c r="AJ280" s="559"/>
      <c r="AK280" s="559"/>
      <c r="AL280" s="559"/>
      <c r="AM280" s="559"/>
      <c r="AN280" s="559"/>
    </row>
    <row r="281">
      <c r="A281" s="559"/>
      <c r="B281" s="559"/>
      <c r="C281" s="559"/>
      <c r="D281" s="559"/>
      <c r="E281" s="559"/>
      <c r="F281" s="559"/>
      <c r="G281" s="559"/>
      <c r="H281" s="559"/>
      <c r="I281" s="559"/>
      <c r="J281" s="559"/>
      <c r="K281" s="559"/>
      <c r="L281" s="559"/>
      <c r="M281" s="559"/>
      <c r="N281" s="559"/>
      <c r="O281" s="559"/>
      <c r="P281" s="559"/>
      <c r="Q281" s="559"/>
      <c r="R281" s="559"/>
      <c r="S281" s="559"/>
      <c r="T281" s="559"/>
      <c r="U281" s="559"/>
      <c r="V281" s="559"/>
      <c r="W281" s="559"/>
      <c r="X281" s="559"/>
      <c r="Y281" s="559"/>
      <c r="Z281" s="559"/>
      <c r="AA281" s="559"/>
      <c r="AB281" s="559"/>
      <c r="AC281" s="559"/>
      <c r="AD281" s="559"/>
      <c r="AE281" s="559"/>
      <c r="AF281" s="559"/>
      <c r="AG281" s="559"/>
      <c r="AH281" s="559"/>
      <c r="AI281" s="559"/>
      <c r="AJ281" s="559"/>
      <c r="AK281" s="559"/>
      <c r="AL281" s="559"/>
      <c r="AM281" s="559"/>
      <c r="AN281" s="559"/>
    </row>
    <row r="282">
      <c r="A282" s="559"/>
      <c r="B282" s="559"/>
      <c r="C282" s="559"/>
      <c r="D282" s="559"/>
      <c r="E282" s="559"/>
      <c r="F282" s="559"/>
      <c r="G282" s="559"/>
      <c r="H282" s="559"/>
      <c r="I282" s="559"/>
      <c r="J282" s="559"/>
      <c r="K282" s="559"/>
      <c r="L282" s="559"/>
      <c r="M282" s="559"/>
      <c r="N282" s="559"/>
      <c r="O282" s="559"/>
      <c r="P282" s="559"/>
      <c r="Q282" s="559"/>
      <c r="R282" s="559"/>
      <c r="S282" s="559"/>
      <c r="T282" s="559"/>
      <c r="U282" s="559"/>
      <c r="V282" s="559"/>
      <c r="W282" s="559"/>
      <c r="X282" s="559"/>
      <c r="Y282" s="559"/>
      <c r="Z282" s="559"/>
      <c r="AA282" s="559"/>
      <c r="AB282" s="559"/>
      <c r="AC282" s="559"/>
      <c r="AD282" s="559"/>
      <c r="AE282" s="559"/>
      <c r="AF282" s="559"/>
      <c r="AG282" s="559"/>
      <c r="AH282" s="559"/>
      <c r="AI282" s="559"/>
      <c r="AJ282" s="559"/>
      <c r="AK282" s="559"/>
      <c r="AL282" s="559"/>
      <c r="AM282" s="559"/>
      <c r="AN282" s="559"/>
    </row>
    <row r="283">
      <c r="A283" s="559"/>
      <c r="B283" s="559"/>
      <c r="C283" s="559"/>
      <c r="D283" s="559"/>
      <c r="E283" s="559"/>
      <c r="F283" s="559"/>
      <c r="G283" s="559"/>
      <c r="H283" s="559"/>
      <c r="I283" s="559"/>
      <c r="J283" s="559"/>
      <c r="K283" s="559"/>
      <c r="L283" s="559"/>
      <c r="M283" s="559"/>
      <c r="N283" s="559"/>
      <c r="O283" s="559"/>
      <c r="P283" s="559"/>
      <c r="Q283" s="559"/>
      <c r="R283" s="559"/>
      <c r="S283" s="559"/>
      <c r="T283" s="559"/>
      <c r="U283" s="559"/>
      <c r="V283" s="559"/>
      <c r="W283" s="559"/>
      <c r="X283" s="559"/>
      <c r="Y283" s="559"/>
      <c r="Z283" s="559"/>
      <c r="AA283" s="559"/>
      <c r="AB283" s="559"/>
      <c r="AC283" s="559"/>
      <c r="AD283" s="559"/>
      <c r="AE283" s="559"/>
      <c r="AF283" s="559"/>
      <c r="AG283" s="559"/>
      <c r="AH283" s="559"/>
      <c r="AI283" s="559"/>
      <c r="AJ283" s="559"/>
      <c r="AK283" s="559"/>
      <c r="AL283" s="559"/>
      <c r="AM283" s="559"/>
      <c r="AN283" s="559"/>
    </row>
    <row r="284">
      <c r="A284" s="559"/>
      <c r="B284" s="559"/>
      <c r="C284" s="559"/>
      <c r="D284" s="559"/>
      <c r="E284" s="559"/>
      <c r="F284" s="559"/>
      <c r="G284" s="559"/>
      <c r="H284" s="559"/>
      <c r="I284" s="559"/>
      <c r="J284" s="559"/>
      <c r="K284" s="559"/>
      <c r="L284" s="559"/>
      <c r="M284" s="559"/>
      <c r="N284" s="559"/>
      <c r="O284" s="559"/>
      <c r="P284" s="559"/>
      <c r="Q284" s="559"/>
      <c r="R284" s="559"/>
      <c r="S284" s="559"/>
      <c r="T284" s="559"/>
      <c r="U284" s="559"/>
      <c r="V284" s="559"/>
      <c r="W284" s="559"/>
      <c r="X284" s="559"/>
      <c r="Y284" s="559"/>
      <c r="Z284" s="559"/>
      <c r="AA284" s="559"/>
      <c r="AB284" s="559"/>
      <c r="AC284" s="559"/>
      <c r="AD284" s="559"/>
      <c r="AE284" s="559"/>
      <c r="AF284" s="559"/>
      <c r="AG284" s="559"/>
      <c r="AH284" s="559"/>
      <c r="AI284" s="559"/>
      <c r="AJ284" s="559"/>
      <c r="AK284" s="559"/>
      <c r="AL284" s="559"/>
      <c r="AM284" s="559"/>
      <c r="AN284" s="559"/>
    </row>
    <row r="285">
      <c r="A285" s="559"/>
      <c r="B285" s="559"/>
      <c r="C285" s="559"/>
      <c r="D285" s="559"/>
      <c r="E285" s="559"/>
      <c r="F285" s="559"/>
      <c r="G285" s="559"/>
      <c r="H285" s="559"/>
      <c r="I285" s="559"/>
      <c r="J285" s="559"/>
      <c r="K285" s="559"/>
      <c r="L285" s="559"/>
      <c r="M285" s="559"/>
      <c r="N285" s="559"/>
      <c r="O285" s="559"/>
      <c r="P285" s="559"/>
      <c r="Q285" s="559"/>
      <c r="R285" s="559"/>
      <c r="S285" s="559"/>
      <c r="T285" s="559"/>
      <c r="U285" s="559"/>
      <c r="V285" s="559"/>
      <c r="W285" s="559"/>
      <c r="X285" s="559"/>
      <c r="Y285" s="559"/>
      <c r="Z285" s="559"/>
      <c r="AA285" s="559"/>
      <c r="AB285" s="559"/>
      <c r="AC285" s="559"/>
      <c r="AD285" s="559"/>
      <c r="AE285" s="559"/>
      <c r="AF285" s="559"/>
      <c r="AG285" s="559"/>
      <c r="AH285" s="559"/>
      <c r="AI285" s="559"/>
      <c r="AJ285" s="559"/>
      <c r="AK285" s="559"/>
      <c r="AL285" s="559"/>
      <c r="AM285" s="559"/>
      <c r="AN285" s="559"/>
    </row>
    <row r="286">
      <c r="A286" s="559"/>
      <c r="B286" s="559"/>
      <c r="C286" s="559"/>
      <c r="D286" s="559"/>
      <c r="E286" s="559"/>
      <c r="F286" s="559"/>
      <c r="G286" s="559"/>
      <c r="H286" s="559"/>
      <c r="I286" s="559"/>
      <c r="J286" s="559"/>
      <c r="K286" s="559"/>
      <c r="L286" s="559"/>
      <c r="M286" s="559"/>
      <c r="N286" s="559"/>
      <c r="O286" s="559"/>
      <c r="P286" s="559"/>
      <c r="Q286" s="559"/>
      <c r="R286" s="559"/>
      <c r="S286" s="559"/>
      <c r="T286" s="559"/>
      <c r="U286" s="559"/>
      <c r="V286" s="559"/>
      <c r="W286" s="559"/>
      <c r="X286" s="559"/>
      <c r="Y286" s="559"/>
      <c r="Z286" s="559"/>
      <c r="AA286" s="559"/>
      <c r="AB286" s="559"/>
      <c r="AC286" s="559"/>
      <c r="AD286" s="559"/>
      <c r="AE286" s="559"/>
      <c r="AF286" s="559"/>
      <c r="AG286" s="559"/>
      <c r="AH286" s="559"/>
      <c r="AI286" s="559"/>
      <c r="AJ286" s="559"/>
      <c r="AK286" s="559"/>
      <c r="AL286" s="559"/>
      <c r="AM286" s="559"/>
      <c r="AN286" s="559"/>
    </row>
    <row r="287">
      <c r="A287" s="559"/>
      <c r="B287" s="559"/>
      <c r="C287" s="559"/>
      <c r="D287" s="559"/>
      <c r="E287" s="559"/>
      <c r="F287" s="559"/>
      <c r="G287" s="559"/>
      <c r="H287" s="559"/>
      <c r="I287" s="559"/>
      <c r="J287" s="559"/>
      <c r="K287" s="559"/>
      <c r="L287" s="559"/>
      <c r="M287" s="559"/>
      <c r="N287" s="559"/>
      <c r="O287" s="559"/>
      <c r="P287" s="559"/>
      <c r="Q287" s="559"/>
      <c r="R287" s="559"/>
      <c r="S287" s="559"/>
      <c r="T287" s="559"/>
      <c r="U287" s="559"/>
      <c r="V287" s="559"/>
      <c r="W287" s="559"/>
      <c r="X287" s="559"/>
      <c r="Y287" s="559"/>
      <c r="Z287" s="559"/>
      <c r="AA287" s="559"/>
      <c r="AB287" s="559"/>
      <c r="AC287" s="559"/>
      <c r="AD287" s="559"/>
      <c r="AE287" s="559"/>
      <c r="AF287" s="559"/>
      <c r="AG287" s="559"/>
      <c r="AH287" s="559"/>
      <c r="AI287" s="559"/>
      <c r="AJ287" s="559"/>
      <c r="AK287" s="559"/>
      <c r="AL287" s="559"/>
      <c r="AM287" s="559"/>
      <c r="AN287" s="559"/>
    </row>
    <row r="288">
      <c r="A288" s="559"/>
      <c r="B288" s="559"/>
      <c r="C288" s="559"/>
      <c r="D288" s="559"/>
      <c r="E288" s="559"/>
      <c r="F288" s="559"/>
      <c r="G288" s="559"/>
      <c r="H288" s="559"/>
      <c r="I288" s="559"/>
      <c r="J288" s="559"/>
      <c r="K288" s="559"/>
      <c r="L288" s="559"/>
      <c r="M288" s="559"/>
      <c r="N288" s="559"/>
      <c r="O288" s="559"/>
      <c r="P288" s="559"/>
      <c r="Q288" s="559"/>
      <c r="R288" s="559"/>
      <c r="S288" s="559"/>
      <c r="T288" s="559"/>
      <c r="U288" s="559"/>
      <c r="V288" s="559"/>
      <c r="W288" s="559"/>
      <c r="X288" s="559"/>
      <c r="Y288" s="559"/>
      <c r="Z288" s="559"/>
      <c r="AA288" s="559"/>
      <c r="AB288" s="559"/>
      <c r="AC288" s="559"/>
      <c r="AD288" s="559"/>
      <c r="AE288" s="559"/>
      <c r="AF288" s="559"/>
      <c r="AG288" s="559"/>
      <c r="AH288" s="559"/>
      <c r="AI288" s="559"/>
      <c r="AJ288" s="559"/>
      <c r="AK288" s="559"/>
      <c r="AL288" s="559"/>
      <c r="AM288" s="559"/>
      <c r="AN288" s="559"/>
    </row>
    <row r="289">
      <c r="A289" s="559"/>
      <c r="B289" s="559"/>
      <c r="C289" s="559"/>
      <c r="D289" s="559"/>
      <c r="E289" s="559"/>
      <c r="F289" s="559"/>
      <c r="G289" s="559"/>
      <c r="H289" s="559"/>
      <c r="I289" s="559"/>
      <c r="J289" s="559"/>
      <c r="K289" s="559"/>
      <c r="L289" s="559"/>
      <c r="M289" s="559"/>
      <c r="N289" s="559"/>
      <c r="O289" s="559"/>
      <c r="P289" s="559"/>
      <c r="Q289" s="559"/>
      <c r="R289" s="559"/>
      <c r="S289" s="559"/>
      <c r="T289" s="559"/>
      <c r="U289" s="559"/>
      <c r="V289" s="559"/>
      <c r="W289" s="559"/>
      <c r="X289" s="559"/>
      <c r="Y289" s="559"/>
      <c r="Z289" s="559"/>
      <c r="AA289" s="559"/>
      <c r="AB289" s="559"/>
      <c r="AC289" s="559"/>
      <c r="AD289" s="559"/>
      <c r="AE289" s="559"/>
      <c r="AF289" s="559"/>
      <c r="AG289" s="559"/>
      <c r="AH289" s="559"/>
      <c r="AI289" s="559"/>
      <c r="AJ289" s="559"/>
      <c r="AK289" s="559"/>
      <c r="AL289" s="559"/>
      <c r="AM289" s="559"/>
      <c r="AN289" s="559"/>
    </row>
    <row r="290">
      <c r="A290" s="559"/>
      <c r="B290" s="559"/>
      <c r="C290" s="559"/>
      <c r="D290" s="559"/>
      <c r="E290" s="559"/>
      <c r="F290" s="559"/>
      <c r="G290" s="559"/>
      <c r="H290" s="559"/>
      <c r="I290" s="559"/>
      <c r="J290" s="559"/>
      <c r="K290" s="559"/>
      <c r="L290" s="559"/>
      <c r="M290" s="559"/>
      <c r="N290" s="559"/>
      <c r="O290" s="559"/>
      <c r="P290" s="559"/>
      <c r="Q290" s="559"/>
      <c r="R290" s="559"/>
      <c r="S290" s="559"/>
      <c r="T290" s="559"/>
      <c r="U290" s="559"/>
      <c r="V290" s="559"/>
      <c r="W290" s="559"/>
      <c r="X290" s="559"/>
      <c r="Y290" s="559"/>
      <c r="Z290" s="559"/>
      <c r="AA290" s="559"/>
      <c r="AB290" s="559"/>
      <c r="AC290" s="559"/>
      <c r="AD290" s="559"/>
      <c r="AE290" s="559"/>
      <c r="AF290" s="559"/>
      <c r="AG290" s="559"/>
      <c r="AH290" s="559"/>
      <c r="AI290" s="559"/>
      <c r="AJ290" s="559"/>
      <c r="AK290" s="559"/>
      <c r="AL290" s="559"/>
      <c r="AM290" s="559"/>
      <c r="AN290" s="559"/>
    </row>
    <row r="291">
      <c r="A291" s="559"/>
      <c r="B291" s="559"/>
      <c r="C291" s="559"/>
      <c r="D291" s="559"/>
      <c r="E291" s="559"/>
      <c r="F291" s="559"/>
      <c r="G291" s="559"/>
      <c r="H291" s="559"/>
      <c r="I291" s="559"/>
      <c r="J291" s="559"/>
      <c r="K291" s="559"/>
      <c r="L291" s="559"/>
      <c r="M291" s="559"/>
      <c r="N291" s="559"/>
      <c r="O291" s="559"/>
      <c r="P291" s="559"/>
      <c r="Q291" s="559"/>
      <c r="R291" s="559"/>
      <c r="S291" s="559"/>
      <c r="T291" s="559"/>
      <c r="U291" s="559"/>
      <c r="V291" s="559"/>
      <c r="W291" s="559"/>
      <c r="X291" s="559"/>
      <c r="Y291" s="559"/>
      <c r="Z291" s="559"/>
      <c r="AA291" s="559"/>
      <c r="AB291" s="559"/>
      <c r="AC291" s="559"/>
      <c r="AD291" s="559"/>
      <c r="AE291" s="559"/>
      <c r="AF291" s="559"/>
      <c r="AG291" s="559"/>
      <c r="AH291" s="559"/>
      <c r="AI291" s="559"/>
      <c r="AJ291" s="559"/>
      <c r="AK291" s="559"/>
      <c r="AL291" s="559"/>
      <c r="AM291" s="559"/>
      <c r="AN291" s="559"/>
    </row>
    <row r="292">
      <c r="A292" s="559"/>
      <c r="B292" s="559"/>
      <c r="C292" s="559"/>
      <c r="D292" s="559"/>
      <c r="E292" s="559"/>
      <c r="F292" s="559"/>
      <c r="G292" s="559"/>
      <c r="H292" s="559"/>
      <c r="I292" s="559"/>
      <c r="J292" s="559"/>
      <c r="K292" s="559"/>
      <c r="L292" s="559"/>
      <c r="M292" s="559"/>
      <c r="N292" s="559"/>
      <c r="O292" s="559"/>
      <c r="P292" s="559"/>
      <c r="Q292" s="559"/>
      <c r="R292" s="559"/>
      <c r="S292" s="559"/>
      <c r="T292" s="559"/>
      <c r="U292" s="559"/>
      <c r="V292" s="559"/>
      <c r="W292" s="559"/>
      <c r="X292" s="559"/>
      <c r="Y292" s="559"/>
      <c r="Z292" s="559"/>
      <c r="AA292" s="559"/>
      <c r="AB292" s="559"/>
      <c r="AC292" s="559"/>
      <c r="AD292" s="559"/>
      <c r="AE292" s="559"/>
      <c r="AF292" s="559"/>
      <c r="AG292" s="559"/>
      <c r="AH292" s="559"/>
      <c r="AI292" s="559"/>
      <c r="AJ292" s="559"/>
      <c r="AK292" s="559"/>
      <c r="AL292" s="559"/>
      <c r="AM292" s="559"/>
      <c r="AN292" s="559"/>
    </row>
    <row r="293">
      <c r="A293" s="559"/>
      <c r="B293" s="559"/>
      <c r="C293" s="559"/>
      <c r="D293" s="559"/>
      <c r="E293" s="559"/>
      <c r="F293" s="559"/>
      <c r="G293" s="559"/>
      <c r="H293" s="559"/>
      <c r="I293" s="559"/>
      <c r="J293" s="559"/>
      <c r="K293" s="559"/>
      <c r="L293" s="559"/>
      <c r="M293" s="559"/>
      <c r="N293" s="559"/>
      <c r="O293" s="559"/>
      <c r="P293" s="559"/>
      <c r="Q293" s="559"/>
      <c r="R293" s="559"/>
      <c r="S293" s="559"/>
      <c r="T293" s="559"/>
      <c r="U293" s="559"/>
      <c r="V293" s="559"/>
      <c r="W293" s="559"/>
      <c r="X293" s="559"/>
      <c r="Y293" s="559"/>
      <c r="Z293" s="559"/>
      <c r="AA293" s="559"/>
      <c r="AB293" s="559"/>
      <c r="AC293" s="559"/>
      <c r="AD293" s="559"/>
      <c r="AE293" s="559"/>
      <c r="AF293" s="559"/>
      <c r="AG293" s="559"/>
      <c r="AH293" s="559"/>
      <c r="AI293" s="559"/>
      <c r="AJ293" s="559"/>
      <c r="AK293" s="559"/>
      <c r="AL293" s="559"/>
      <c r="AM293" s="559"/>
      <c r="AN293" s="559"/>
    </row>
    <row r="294">
      <c r="A294" s="559"/>
      <c r="B294" s="559"/>
      <c r="C294" s="559"/>
      <c r="D294" s="559"/>
      <c r="E294" s="559"/>
      <c r="F294" s="559"/>
      <c r="G294" s="559"/>
      <c r="H294" s="559"/>
      <c r="I294" s="559"/>
      <c r="J294" s="559"/>
      <c r="K294" s="559"/>
      <c r="L294" s="559"/>
      <c r="M294" s="559"/>
      <c r="N294" s="559"/>
      <c r="O294" s="559"/>
      <c r="P294" s="559"/>
      <c r="Q294" s="559"/>
      <c r="R294" s="559"/>
      <c r="S294" s="559"/>
      <c r="T294" s="559"/>
      <c r="U294" s="559"/>
      <c r="V294" s="559"/>
      <c r="W294" s="559"/>
      <c r="X294" s="559"/>
      <c r="Y294" s="559"/>
      <c r="Z294" s="559"/>
      <c r="AA294" s="559"/>
      <c r="AB294" s="559"/>
      <c r="AC294" s="559"/>
      <c r="AD294" s="559"/>
      <c r="AE294" s="559"/>
      <c r="AF294" s="559"/>
      <c r="AG294" s="559"/>
      <c r="AH294" s="559"/>
      <c r="AI294" s="559"/>
      <c r="AJ294" s="559"/>
      <c r="AK294" s="559"/>
      <c r="AL294" s="559"/>
      <c r="AM294" s="559"/>
      <c r="AN294" s="559"/>
    </row>
    <row r="295">
      <c r="A295" s="559"/>
      <c r="B295" s="559"/>
      <c r="C295" s="559"/>
      <c r="D295" s="559"/>
      <c r="E295" s="559"/>
      <c r="F295" s="559"/>
      <c r="G295" s="559"/>
      <c r="H295" s="559"/>
      <c r="I295" s="559"/>
      <c r="J295" s="559"/>
      <c r="K295" s="559"/>
      <c r="L295" s="559"/>
      <c r="M295" s="559"/>
      <c r="N295" s="559"/>
      <c r="O295" s="559"/>
      <c r="P295" s="559"/>
      <c r="Q295" s="559"/>
      <c r="R295" s="559"/>
      <c r="S295" s="559"/>
      <c r="T295" s="559"/>
      <c r="U295" s="559"/>
      <c r="V295" s="559"/>
      <c r="W295" s="559"/>
      <c r="X295" s="559"/>
      <c r="Y295" s="559"/>
      <c r="Z295" s="559"/>
      <c r="AA295" s="559"/>
      <c r="AB295" s="559"/>
      <c r="AC295" s="559"/>
      <c r="AD295" s="559"/>
      <c r="AE295" s="559"/>
      <c r="AF295" s="559"/>
      <c r="AG295" s="559"/>
      <c r="AH295" s="559"/>
      <c r="AI295" s="559"/>
      <c r="AJ295" s="559"/>
      <c r="AK295" s="559"/>
      <c r="AL295" s="559"/>
      <c r="AM295" s="559"/>
      <c r="AN295" s="559"/>
    </row>
    <row r="296">
      <c r="A296" s="559"/>
      <c r="B296" s="559"/>
      <c r="C296" s="559"/>
      <c r="D296" s="559"/>
      <c r="E296" s="559"/>
      <c r="F296" s="559"/>
      <c r="G296" s="559"/>
      <c r="H296" s="559"/>
      <c r="I296" s="559"/>
      <c r="J296" s="559"/>
      <c r="K296" s="559"/>
      <c r="L296" s="559"/>
      <c r="M296" s="559"/>
      <c r="N296" s="559"/>
      <c r="O296" s="559"/>
      <c r="P296" s="559"/>
      <c r="Q296" s="559"/>
      <c r="R296" s="559"/>
      <c r="S296" s="559"/>
      <c r="T296" s="559"/>
      <c r="U296" s="559"/>
      <c r="V296" s="559"/>
      <c r="W296" s="559"/>
      <c r="X296" s="559"/>
      <c r="Y296" s="559"/>
      <c r="Z296" s="559"/>
      <c r="AA296" s="559"/>
      <c r="AB296" s="559"/>
      <c r="AC296" s="559"/>
      <c r="AD296" s="559"/>
      <c r="AE296" s="559"/>
      <c r="AF296" s="559"/>
      <c r="AG296" s="559"/>
      <c r="AH296" s="559"/>
      <c r="AI296" s="559"/>
      <c r="AJ296" s="559"/>
      <c r="AK296" s="559"/>
      <c r="AL296" s="559"/>
      <c r="AM296" s="559"/>
      <c r="AN296" s="559"/>
    </row>
    <row r="297">
      <c r="A297" s="559"/>
      <c r="B297" s="559"/>
      <c r="C297" s="559"/>
      <c r="D297" s="559"/>
      <c r="E297" s="559"/>
      <c r="F297" s="559"/>
      <c r="G297" s="559"/>
      <c r="H297" s="559"/>
      <c r="I297" s="559"/>
      <c r="J297" s="559"/>
      <c r="K297" s="559"/>
      <c r="L297" s="559"/>
      <c r="M297" s="559"/>
      <c r="N297" s="559"/>
      <c r="O297" s="559"/>
      <c r="P297" s="559"/>
      <c r="Q297" s="559"/>
      <c r="R297" s="559"/>
      <c r="S297" s="559"/>
      <c r="T297" s="559"/>
      <c r="U297" s="559"/>
      <c r="V297" s="559"/>
      <c r="W297" s="559"/>
      <c r="X297" s="559"/>
      <c r="Y297" s="559"/>
      <c r="Z297" s="559"/>
      <c r="AA297" s="559"/>
      <c r="AB297" s="559"/>
      <c r="AC297" s="559"/>
      <c r="AD297" s="559"/>
      <c r="AE297" s="559"/>
      <c r="AF297" s="559"/>
      <c r="AG297" s="559"/>
      <c r="AH297" s="559"/>
      <c r="AI297" s="559"/>
      <c r="AJ297" s="559"/>
      <c r="AK297" s="559"/>
      <c r="AL297" s="559"/>
      <c r="AM297" s="559"/>
      <c r="AN297" s="559"/>
    </row>
    <row r="298">
      <c r="A298" s="559"/>
      <c r="B298" s="559"/>
      <c r="C298" s="559"/>
      <c r="D298" s="559"/>
      <c r="E298" s="559"/>
      <c r="F298" s="559"/>
      <c r="G298" s="559"/>
      <c r="H298" s="559"/>
      <c r="I298" s="559"/>
      <c r="J298" s="559"/>
      <c r="K298" s="559"/>
      <c r="L298" s="559"/>
      <c r="M298" s="559"/>
      <c r="N298" s="559"/>
      <c r="O298" s="559"/>
      <c r="P298" s="559"/>
      <c r="Q298" s="559"/>
      <c r="R298" s="559"/>
      <c r="S298" s="559"/>
      <c r="T298" s="559"/>
      <c r="U298" s="559"/>
      <c r="V298" s="559"/>
      <c r="W298" s="559"/>
      <c r="X298" s="559"/>
      <c r="Y298" s="559"/>
      <c r="Z298" s="559"/>
      <c r="AA298" s="559"/>
      <c r="AB298" s="559"/>
      <c r="AC298" s="559"/>
      <c r="AD298" s="559"/>
      <c r="AE298" s="559"/>
      <c r="AF298" s="559"/>
      <c r="AG298" s="559"/>
      <c r="AH298" s="559"/>
      <c r="AI298" s="559"/>
      <c r="AJ298" s="559"/>
      <c r="AK298" s="559"/>
      <c r="AL298" s="559"/>
      <c r="AM298" s="559"/>
      <c r="AN298" s="559"/>
    </row>
    <row r="299">
      <c r="A299" s="559"/>
      <c r="B299" s="559"/>
      <c r="C299" s="559"/>
      <c r="D299" s="559"/>
      <c r="E299" s="559"/>
      <c r="F299" s="559"/>
      <c r="G299" s="559"/>
      <c r="H299" s="559"/>
      <c r="I299" s="559"/>
      <c r="J299" s="559"/>
      <c r="K299" s="559"/>
      <c r="L299" s="559"/>
      <c r="M299" s="559"/>
      <c r="N299" s="559"/>
      <c r="O299" s="559"/>
      <c r="P299" s="559"/>
      <c r="Q299" s="559"/>
      <c r="R299" s="559"/>
      <c r="S299" s="559"/>
      <c r="T299" s="559"/>
      <c r="U299" s="559"/>
      <c r="V299" s="559"/>
      <c r="W299" s="559"/>
      <c r="X299" s="559"/>
      <c r="Y299" s="559"/>
      <c r="Z299" s="559"/>
      <c r="AA299" s="559"/>
      <c r="AB299" s="559"/>
      <c r="AC299" s="559"/>
      <c r="AD299" s="559"/>
      <c r="AE299" s="559"/>
      <c r="AF299" s="559"/>
      <c r="AG299" s="559"/>
      <c r="AH299" s="559"/>
      <c r="AI299" s="559"/>
      <c r="AJ299" s="559"/>
      <c r="AK299" s="559"/>
      <c r="AL299" s="559"/>
      <c r="AM299" s="559"/>
      <c r="AN299" s="559"/>
    </row>
    <row r="300">
      <c r="A300" s="559"/>
      <c r="B300" s="559"/>
      <c r="C300" s="559"/>
      <c r="D300" s="559"/>
      <c r="E300" s="559"/>
      <c r="F300" s="559"/>
      <c r="G300" s="559"/>
      <c r="H300" s="559"/>
      <c r="I300" s="559"/>
      <c r="J300" s="559"/>
      <c r="K300" s="559"/>
      <c r="L300" s="559"/>
      <c r="M300" s="559"/>
      <c r="N300" s="559"/>
      <c r="O300" s="559"/>
      <c r="P300" s="559"/>
      <c r="Q300" s="559"/>
      <c r="R300" s="559"/>
      <c r="S300" s="559"/>
      <c r="T300" s="559"/>
      <c r="U300" s="559"/>
      <c r="V300" s="559"/>
      <c r="W300" s="559"/>
      <c r="X300" s="559"/>
      <c r="Y300" s="559"/>
      <c r="Z300" s="559"/>
      <c r="AA300" s="559"/>
      <c r="AB300" s="559"/>
      <c r="AC300" s="559"/>
      <c r="AD300" s="559"/>
      <c r="AE300" s="559"/>
      <c r="AF300" s="559"/>
      <c r="AG300" s="559"/>
      <c r="AH300" s="559"/>
      <c r="AI300" s="559"/>
      <c r="AJ300" s="559"/>
      <c r="AK300" s="559"/>
      <c r="AL300" s="559"/>
      <c r="AM300" s="559"/>
      <c r="AN300" s="559"/>
    </row>
    <row r="301">
      <c r="A301" s="559"/>
      <c r="B301" s="559"/>
      <c r="C301" s="559"/>
      <c r="D301" s="559"/>
      <c r="E301" s="559"/>
      <c r="F301" s="559"/>
      <c r="G301" s="559"/>
      <c r="H301" s="559"/>
      <c r="I301" s="559"/>
      <c r="J301" s="559"/>
      <c r="K301" s="559"/>
      <c r="L301" s="559"/>
      <c r="M301" s="559"/>
      <c r="N301" s="559"/>
      <c r="O301" s="559"/>
      <c r="P301" s="559"/>
      <c r="Q301" s="559"/>
      <c r="R301" s="559"/>
      <c r="S301" s="559"/>
      <c r="T301" s="559"/>
      <c r="U301" s="559"/>
      <c r="V301" s="559"/>
      <c r="W301" s="559"/>
      <c r="X301" s="559"/>
      <c r="Y301" s="559"/>
      <c r="Z301" s="559"/>
      <c r="AA301" s="559"/>
      <c r="AB301" s="559"/>
      <c r="AC301" s="559"/>
      <c r="AD301" s="559"/>
      <c r="AE301" s="559"/>
      <c r="AF301" s="559"/>
      <c r="AG301" s="559"/>
      <c r="AH301" s="559"/>
      <c r="AI301" s="559"/>
      <c r="AJ301" s="559"/>
      <c r="AK301" s="559"/>
      <c r="AL301" s="559"/>
      <c r="AM301" s="559"/>
      <c r="AN301" s="559"/>
    </row>
    <row r="302">
      <c r="A302" s="559"/>
      <c r="B302" s="559"/>
      <c r="C302" s="559"/>
      <c r="D302" s="559"/>
      <c r="E302" s="559"/>
      <c r="F302" s="559"/>
      <c r="G302" s="559"/>
      <c r="H302" s="559"/>
      <c r="I302" s="559"/>
      <c r="J302" s="559"/>
      <c r="K302" s="559"/>
      <c r="L302" s="559"/>
      <c r="M302" s="559"/>
      <c r="N302" s="559"/>
      <c r="O302" s="559"/>
      <c r="P302" s="559"/>
      <c r="Q302" s="559"/>
      <c r="R302" s="559"/>
      <c r="S302" s="559"/>
      <c r="T302" s="559"/>
      <c r="U302" s="559"/>
      <c r="V302" s="559"/>
      <c r="W302" s="559"/>
      <c r="X302" s="559"/>
      <c r="Y302" s="559"/>
      <c r="Z302" s="559"/>
      <c r="AA302" s="559"/>
      <c r="AB302" s="559"/>
      <c r="AC302" s="559"/>
      <c r="AD302" s="559"/>
      <c r="AE302" s="559"/>
      <c r="AF302" s="559"/>
      <c r="AG302" s="559"/>
      <c r="AH302" s="559"/>
      <c r="AI302" s="559"/>
      <c r="AJ302" s="559"/>
      <c r="AK302" s="559"/>
      <c r="AL302" s="559"/>
      <c r="AM302" s="559"/>
      <c r="AN302" s="559"/>
    </row>
    <row r="303">
      <c r="A303" s="559"/>
      <c r="B303" s="559"/>
      <c r="C303" s="559"/>
      <c r="D303" s="559"/>
      <c r="E303" s="559"/>
      <c r="F303" s="559"/>
      <c r="G303" s="559"/>
      <c r="H303" s="559"/>
      <c r="I303" s="559"/>
      <c r="J303" s="559"/>
      <c r="K303" s="559"/>
      <c r="L303" s="559"/>
      <c r="M303" s="559"/>
      <c r="N303" s="559"/>
      <c r="O303" s="559"/>
      <c r="P303" s="559"/>
      <c r="Q303" s="559"/>
      <c r="R303" s="559"/>
      <c r="S303" s="559"/>
      <c r="T303" s="559"/>
      <c r="U303" s="559"/>
      <c r="V303" s="559"/>
      <c r="W303" s="559"/>
      <c r="X303" s="559"/>
      <c r="Y303" s="559"/>
      <c r="Z303" s="559"/>
      <c r="AA303" s="559"/>
      <c r="AB303" s="559"/>
      <c r="AC303" s="559"/>
      <c r="AD303" s="559"/>
      <c r="AE303" s="559"/>
      <c r="AF303" s="559"/>
      <c r="AG303" s="559"/>
      <c r="AH303" s="559"/>
      <c r="AI303" s="559"/>
      <c r="AJ303" s="559"/>
      <c r="AK303" s="559"/>
      <c r="AL303" s="559"/>
      <c r="AM303" s="559"/>
      <c r="AN303" s="559"/>
    </row>
    <row r="304">
      <c r="A304" s="559"/>
      <c r="B304" s="559"/>
      <c r="C304" s="559"/>
      <c r="D304" s="559"/>
      <c r="E304" s="559"/>
      <c r="F304" s="559"/>
      <c r="G304" s="559"/>
      <c r="H304" s="559"/>
      <c r="I304" s="559"/>
      <c r="J304" s="559"/>
      <c r="K304" s="559"/>
      <c r="L304" s="559"/>
      <c r="M304" s="559"/>
      <c r="N304" s="559"/>
      <c r="O304" s="559"/>
      <c r="P304" s="559"/>
      <c r="Q304" s="559"/>
      <c r="R304" s="559"/>
      <c r="S304" s="559"/>
      <c r="T304" s="559"/>
      <c r="U304" s="559"/>
      <c r="V304" s="559"/>
      <c r="W304" s="559"/>
      <c r="X304" s="559"/>
      <c r="Y304" s="559"/>
      <c r="Z304" s="559"/>
      <c r="AA304" s="559"/>
      <c r="AB304" s="559"/>
      <c r="AC304" s="559"/>
      <c r="AD304" s="559"/>
      <c r="AE304" s="559"/>
      <c r="AF304" s="559"/>
      <c r="AG304" s="559"/>
      <c r="AH304" s="559"/>
      <c r="AI304" s="559"/>
      <c r="AJ304" s="559"/>
      <c r="AK304" s="559"/>
      <c r="AL304" s="559"/>
      <c r="AM304" s="559"/>
      <c r="AN304" s="559"/>
    </row>
    <row r="305">
      <c r="A305" s="559"/>
      <c r="B305" s="559"/>
      <c r="C305" s="559"/>
      <c r="D305" s="559"/>
      <c r="E305" s="559"/>
      <c r="F305" s="559"/>
      <c r="G305" s="559"/>
      <c r="H305" s="559"/>
      <c r="I305" s="559"/>
      <c r="J305" s="559"/>
      <c r="K305" s="559"/>
      <c r="L305" s="559"/>
      <c r="M305" s="559"/>
      <c r="N305" s="559"/>
      <c r="O305" s="559"/>
      <c r="P305" s="559"/>
      <c r="Q305" s="559"/>
      <c r="R305" s="559"/>
      <c r="S305" s="559"/>
      <c r="T305" s="559"/>
      <c r="U305" s="559"/>
      <c r="V305" s="559"/>
      <c r="W305" s="559"/>
      <c r="X305" s="559"/>
      <c r="Y305" s="559"/>
      <c r="Z305" s="559"/>
      <c r="AA305" s="559"/>
      <c r="AB305" s="559"/>
      <c r="AC305" s="559"/>
      <c r="AD305" s="559"/>
      <c r="AE305" s="559"/>
      <c r="AF305" s="559"/>
      <c r="AG305" s="559"/>
      <c r="AH305" s="559"/>
      <c r="AI305" s="559"/>
      <c r="AJ305" s="559"/>
      <c r="AK305" s="559"/>
      <c r="AL305" s="559"/>
      <c r="AM305" s="559"/>
      <c r="AN305" s="559"/>
    </row>
    <row r="306">
      <c r="A306" s="559"/>
      <c r="B306" s="559"/>
      <c r="C306" s="559"/>
      <c r="D306" s="559"/>
      <c r="E306" s="559"/>
      <c r="F306" s="559"/>
      <c r="G306" s="559"/>
      <c r="H306" s="559"/>
      <c r="I306" s="559"/>
      <c r="J306" s="559"/>
      <c r="K306" s="559"/>
      <c r="L306" s="559"/>
      <c r="M306" s="559"/>
      <c r="N306" s="559"/>
      <c r="O306" s="559"/>
      <c r="P306" s="559"/>
      <c r="Q306" s="559"/>
      <c r="R306" s="559"/>
      <c r="S306" s="559"/>
      <c r="T306" s="559"/>
      <c r="U306" s="559"/>
      <c r="V306" s="559"/>
      <c r="W306" s="559"/>
      <c r="X306" s="559"/>
      <c r="Y306" s="559"/>
      <c r="Z306" s="559"/>
      <c r="AA306" s="559"/>
      <c r="AB306" s="559"/>
      <c r="AC306" s="559"/>
      <c r="AD306" s="559"/>
      <c r="AE306" s="559"/>
      <c r="AF306" s="559"/>
      <c r="AG306" s="559"/>
      <c r="AH306" s="559"/>
      <c r="AI306" s="559"/>
      <c r="AJ306" s="559"/>
      <c r="AK306" s="559"/>
      <c r="AL306" s="559"/>
      <c r="AM306" s="559"/>
      <c r="AN306" s="559"/>
    </row>
    <row r="307">
      <c r="A307" s="559"/>
      <c r="B307" s="559"/>
      <c r="C307" s="559"/>
      <c r="D307" s="559"/>
      <c r="E307" s="559"/>
      <c r="F307" s="559"/>
      <c r="G307" s="559"/>
      <c r="H307" s="559"/>
      <c r="I307" s="559"/>
      <c r="J307" s="559"/>
      <c r="K307" s="559"/>
      <c r="L307" s="559"/>
      <c r="M307" s="559"/>
      <c r="N307" s="559"/>
      <c r="O307" s="559"/>
      <c r="P307" s="559"/>
      <c r="Q307" s="559"/>
      <c r="R307" s="559"/>
      <c r="S307" s="559"/>
      <c r="T307" s="559"/>
      <c r="U307" s="559"/>
      <c r="V307" s="559"/>
      <c r="W307" s="559"/>
      <c r="X307" s="559"/>
      <c r="Y307" s="559"/>
      <c r="Z307" s="559"/>
      <c r="AA307" s="559"/>
      <c r="AB307" s="559"/>
      <c r="AC307" s="559"/>
      <c r="AD307" s="559"/>
      <c r="AE307" s="559"/>
      <c r="AF307" s="559"/>
      <c r="AG307" s="559"/>
      <c r="AH307" s="559"/>
      <c r="AI307" s="559"/>
      <c r="AJ307" s="559"/>
      <c r="AK307" s="559"/>
      <c r="AL307" s="559"/>
      <c r="AM307" s="559"/>
      <c r="AN307" s="559"/>
    </row>
    <row r="308">
      <c r="A308" s="559"/>
      <c r="B308" s="559"/>
      <c r="C308" s="559"/>
      <c r="D308" s="559"/>
      <c r="E308" s="559"/>
      <c r="F308" s="559"/>
      <c r="G308" s="559"/>
      <c r="H308" s="559"/>
      <c r="I308" s="559"/>
      <c r="J308" s="559"/>
      <c r="K308" s="559"/>
      <c r="L308" s="559"/>
      <c r="M308" s="559"/>
      <c r="N308" s="559"/>
      <c r="O308" s="559"/>
      <c r="P308" s="559"/>
      <c r="Q308" s="559"/>
      <c r="R308" s="559"/>
      <c r="S308" s="559"/>
      <c r="T308" s="559"/>
      <c r="U308" s="559"/>
      <c r="V308" s="559"/>
      <c r="W308" s="559"/>
      <c r="X308" s="559"/>
      <c r="Y308" s="559"/>
      <c r="Z308" s="559"/>
      <c r="AA308" s="559"/>
      <c r="AB308" s="559"/>
      <c r="AC308" s="559"/>
      <c r="AD308" s="559"/>
      <c r="AE308" s="559"/>
      <c r="AF308" s="559"/>
      <c r="AG308" s="559"/>
      <c r="AH308" s="559"/>
      <c r="AI308" s="559"/>
      <c r="AJ308" s="559"/>
      <c r="AK308" s="559"/>
      <c r="AL308" s="559"/>
      <c r="AM308" s="559"/>
      <c r="AN308" s="559"/>
    </row>
    <row r="309">
      <c r="A309" s="559"/>
      <c r="B309" s="559"/>
      <c r="C309" s="559"/>
      <c r="D309" s="559"/>
      <c r="E309" s="559"/>
      <c r="F309" s="559"/>
      <c r="G309" s="559"/>
      <c r="H309" s="559"/>
      <c r="I309" s="559"/>
      <c r="J309" s="559"/>
      <c r="K309" s="559"/>
      <c r="L309" s="559"/>
      <c r="M309" s="559"/>
      <c r="N309" s="559"/>
      <c r="O309" s="559"/>
      <c r="P309" s="559"/>
      <c r="Q309" s="559"/>
      <c r="R309" s="559"/>
      <c r="S309" s="559"/>
      <c r="T309" s="559"/>
      <c r="U309" s="559"/>
      <c r="V309" s="559"/>
      <c r="W309" s="559"/>
      <c r="X309" s="559"/>
      <c r="Y309" s="559"/>
      <c r="Z309" s="559"/>
      <c r="AA309" s="559"/>
      <c r="AB309" s="559"/>
      <c r="AC309" s="559"/>
      <c r="AD309" s="559"/>
      <c r="AE309" s="559"/>
      <c r="AF309" s="559"/>
      <c r="AG309" s="559"/>
      <c r="AH309" s="559"/>
      <c r="AI309" s="559"/>
      <c r="AJ309" s="559"/>
      <c r="AK309" s="559"/>
      <c r="AL309" s="559"/>
      <c r="AM309" s="559"/>
      <c r="AN309" s="559"/>
    </row>
    <row r="310">
      <c r="A310" s="559"/>
      <c r="B310" s="559"/>
      <c r="C310" s="559"/>
      <c r="D310" s="559"/>
      <c r="E310" s="559"/>
      <c r="F310" s="559"/>
      <c r="G310" s="559"/>
      <c r="H310" s="559"/>
      <c r="I310" s="559"/>
      <c r="J310" s="559"/>
      <c r="K310" s="559"/>
      <c r="L310" s="559"/>
      <c r="M310" s="559"/>
      <c r="N310" s="559"/>
      <c r="O310" s="559"/>
      <c r="P310" s="559"/>
      <c r="Q310" s="559"/>
      <c r="R310" s="559"/>
      <c r="S310" s="559"/>
      <c r="T310" s="559"/>
      <c r="U310" s="559"/>
      <c r="V310" s="559"/>
      <c r="W310" s="559"/>
      <c r="X310" s="559"/>
      <c r="Y310" s="559"/>
      <c r="Z310" s="559"/>
      <c r="AA310" s="559"/>
      <c r="AB310" s="559"/>
      <c r="AC310" s="559"/>
      <c r="AD310" s="559"/>
      <c r="AE310" s="559"/>
      <c r="AF310" s="559"/>
      <c r="AG310" s="559"/>
      <c r="AH310" s="559"/>
      <c r="AI310" s="559"/>
      <c r="AJ310" s="559"/>
      <c r="AK310" s="559"/>
      <c r="AL310" s="559"/>
      <c r="AM310" s="559"/>
      <c r="AN310" s="559"/>
    </row>
    <row r="311">
      <c r="A311" s="559"/>
      <c r="B311" s="559"/>
      <c r="C311" s="559"/>
      <c r="D311" s="559"/>
      <c r="E311" s="559"/>
      <c r="F311" s="559"/>
      <c r="G311" s="559"/>
      <c r="H311" s="559"/>
      <c r="I311" s="559"/>
      <c r="J311" s="559"/>
      <c r="K311" s="559"/>
      <c r="L311" s="559"/>
      <c r="M311" s="559"/>
      <c r="N311" s="559"/>
      <c r="O311" s="559"/>
      <c r="P311" s="559"/>
      <c r="Q311" s="559"/>
      <c r="R311" s="559"/>
      <c r="S311" s="559"/>
      <c r="T311" s="559"/>
      <c r="U311" s="559"/>
      <c r="V311" s="559"/>
      <c r="W311" s="559"/>
      <c r="X311" s="559"/>
      <c r="Y311" s="559"/>
      <c r="Z311" s="559"/>
      <c r="AA311" s="559"/>
      <c r="AB311" s="559"/>
      <c r="AC311" s="559"/>
      <c r="AD311" s="559"/>
      <c r="AE311" s="559"/>
      <c r="AF311" s="559"/>
      <c r="AG311" s="559"/>
      <c r="AH311" s="559"/>
      <c r="AI311" s="559"/>
      <c r="AJ311" s="559"/>
      <c r="AK311" s="559"/>
      <c r="AL311" s="559"/>
      <c r="AM311" s="559"/>
      <c r="AN311" s="559"/>
    </row>
    <row r="312">
      <c r="A312" s="559"/>
      <c r="B312" s="559"/>
      <c r="C312" s="559"/>
      <c r="D312" s="559"/>
      <c r="E312" s="559"/>
      <c r="F312" s="559"/>
      <c r="G312" s="559"/>
      <c r="H312" s="559"/>
      <c r="I312" s="559"/>
      <c r="J312" s="559"/>
      <c r="K312" s="559"/>
      <c r="L312" s="559"/>
      <c r="M312" s="559"/>
      <c r="N312" s="559"/>
      <c r="O312" s="559"/>
      <c r="P312" s="559"/>
      <c r="Q312" s="559"/>
      <c r="R312" s="559"/>
      <c r="S312" s="559"/>
      <c r="T312" s="559"/>
      <c r="U312" s="559"/>
      <c r="V312" s="559"/>
      <c r="W312" s="559"/>
      <c r="X312" s="559"/>
      <c r="Y312" s="559"/>
      <c r="Z312" s="559"/>
      <c r="AA312" s="559"/>
      <c r="AB312" s="559"/>
      <c r="AC312" s="559"/>
      <c r="AD312" s="559"/>
      <c r="AE312" s="559"/>
      <c r="AF312" s="559"/>
      <c r="AG312" s="559"/>
      <c r="AH312" s="559"/>
      <c r="AI312" s="559"/>
      <c r="AJ312" s="559"/>
      <c r="AK312" s="559"/>
      <c r="AL312" s="559"/>
      <c r="AM312" s="559"/>
      <c r="AN312" s="559"/>
    </row>
    <row r="313">
      <c r="A313" s="559"/>
      <c r="B313" s="559"/>
      <c r="C313" s="559"/>
      <c r="D313" s="559"/>
      <c r="E313" s="559"/>
      <c r="F313" s="559"/>
      <c r="G313" s="559"/>
      <c r="H313" s="559"/>
      <c r="I313" s="559"/>
      <c r="J313" s="559"/>
      <c r="K313" s="559"/>
      <c r="L313" s="559"/>
      <c r="M313" s="559"/>
      <c r="N313" s="559"/>
      <c r="O313" s="559"/>
      <c r="P313" s="559"/>
      <c r="Q313" s="559"/>
      <c r="R313" s="559"/>
      <c r="S313" s="559"/>
      <c r="T313" s="559"/>
      <c r="U313" s="559"/>
      <c r="V313" s="559"/>
      <c r="W313" s="559"/>
      <c r="X313" s="559"/>
      <c r="Y313" s="559"/>
      <c r="Z313" s="559"/>
      <c r="AA313" s="559"/>
      <c r="AB313" s="559"/>
      <c r="AC313" s="559"/>
      <c r="AD313" s="559"/>
      <c r="AE313" s="559"/>
      <c r="AF313" s="559"/>
      <c r="AG313" s="559"/>
      <c r="AH313" s="559"/>
      <c r="AI313" s="559"/>
      <c r="AJ313" s="559"/>
      <c r="AK313" s="559"/>
      <c r="AL313" s="559"/>
      <c r="AM313" s="559"/>
      <c r="AN313" s="559"/>
    </row>
    <row r="314">
      <c r="A314" s="559"/>
      <c r="B314" s="559"/>
      <c r="C314" s="559"/>
      <c r="D314" s="559"/>
      <c r="E314" s="559"/>
      <c r="F314" s="559"/>
      <c r="G314" s="559"/>
      <c r="H314" s="559"/>
      <c r="I314" s="559"/>
      <c r="J314" s="559"/>
      <c r="K314" s="559"/>
      <c r="L314" s="559"/>
      <c r="M314" s="559"/>
      <c r="N314" s="559"/>
      <c r="O314" s="559"/>
      <c r="P314" s="559"/>
      <c r="Q314" s="559"/>
      <c r="R314" s="559"/>
      <c r="S314" s="559"/>
      <c r="T314" s="559"/>
      <c r="U314" s="559"/>
      <c r="V314" s="559"/>
      <c r="W314" s="559"/>
      <c r="X314" s="559"/>
      <c r="Y314" s="559"/>
      <c r="Z314" s="559"/>
      <c r="AA314" s="559"/>
      <c r="AB314" s="559"/>
      <c r="AC314" s="559"/>
      <c r="AD314" s="559"/>
      <c r="AE314" s="559"/>
      <c r="AF314" s="559"/>
      <c r="AG314" s="559"/>
      <c r="AH314" s="559"/>
      <c r="AI314" s="559"/>
      <c r="AJ314" s="559"/>
      <c r="AK314" s="559"/>
      <c r="AL314" s="559"/>
      <c r="AM314" s="559"/>
      <c r="AN314" s="559"/>
    </row>
    <row r="315">
      <c r="A315" s="559"/>
      <c r="B315" s="559"/>
      <c r="C315" s="559"/>
      <c r="D315" s="559"/>
      <c r="E315" s="559"/>
      <c r="F315" s="559"/>
      <c r="G315" s="559"/>
      <c r="H315" s="559"/>
      <c r="I315" s="559"/>
      <c r="J315" s="559"/>
      <c r="K315" s="559"/>
      <c r="L315" s="559"/>
      <c r="M315" s="559"/>
      <c r="N315" s="559"/>
      <c r="O315" s="559"/>
      <c r="P315" s="559"/>
      <c r="Q315" s="559"/>
      <c r="R315" s="559"/>
      <c r="S315" s="559"/>
      <c r="T315" s="559"/>
      <c r="U315" s="559"/>
      <c r="V315" s="559"/>
      <c r="W315" s="559"/>
      <c r="X315" s="559"/>
      <c r="Y315" s="559"/>
      <c r="Z315" s="559"/>
      <c r="AA315" s="559"/>
      <c r="AB315" s="559"/>
      <c r="AC315" s="559"/>
      <c r="AD315" s="559"/>
      <c r="AE315" s="559"/>
      <c r="AF315" s="559"/>
      <c r="AG315" s="559"/>
      <c r="AH315" s="559"/>
      <c r="AI315" s="559"/>
      <c r="AJ315" s="559"/>
      <c r="AK315" s="559"/>
      <c r="AL315" s="559"/>
      <c r="AM315" s="559"/>
      <c r="AN315" s="559"/>
    </row>
    <row r="316">
      <c r="A316" s="559"/>
      <c r="B316" s="559"/>
      <c r="C316" s="559"/>
      <c r="D316" s="559"/>
      <c r="E316" s="559"/>
      <c r="F316" s="559"/>
      <c r="G316" s="559"/>
      <c r="H316" s="559"/>
      <c r="I316" s="559"/>
      <c r="J316" s="559"/>
      <c r="K316" s="559"/>
      <c r="L316" s="559"/>
      <c r="M316" s="559"/>
      <c r="N316" s="559"/>
      <c r="O316" s="559"/>
      <c r="P316" s="559"/>
      <c r="Q316" s="559"/>
      <c r="R316" s="559"/>
      <c r="S316" s="559"/>
      <c r="T316" s="559"/>
      <c r="U316" s="559"/>
      <c r="V316" s="559"/>
      <c r="W316" s="559"/>
      <c r="X316" s="559"/>
      <c r="Y316" s="559"/>
      <c r="Z316" s="559"/>
      <c r="AA316" s="559"/>
      <c r="AB316" s="559"/>
      <c r="AC316" s="559"/>
      <c r="AD316" s="559"/>
      <c r="AE316" s="559"/>
      <c r="AF316" s="559"/>
      <c r="AG316" s="559"/>
      <c r="AH316" s="559"/>
      <c r="AI316" s="559"/>
      <c r="AJ316" s="559"/>
      <c r="AK316" s="559"/>
      <c r="AL316" s="559"/>
      <c r="AM316" s="559"/>
      <c r="AN316" s="559"/>
    </row>
    <row r="317">
      <c r="A317" s="559"/>
      <c r="B317" s="559"/>
      <c r="C317" s="559"/>
      <c r="D317" s="559"/>
      <c r="E317" s="559"/>
      <c r="F317" s="559"/>
      <c r="G317" s="559"/>
      <c r="H317" s="559"/>
      <c r="I317" s="559"/>
      <c r="J317" s="559"/>
      <c r="K317" s="559"/>
      <c r="L317" s="559"/>
      <c r="M317" s="559"/>
      <c r="N317" s="559"/>
      <c r="O317" s="559"/>
      <c r="P317" s="559"/>
      <c r="Q317" s="559"/>
      <c r="R317" s="559"/>
      <c r="S317" s="559"/>
      <c r="T317" s="559"/>
      <c r="U317" s="559"/>
      <c r="V317" s="559"/>
      <c r="W317" s="559"/>
      <c r="X317" s="559"/>
      <c r="Y317" s="559"/>
      <c r="Z317" s="559"/>
      <c r="AA317" s="559"/>
      <c r="AB317" s="559"/>
      <c r="AC317" s="559"/>
      <c r="AD317" s="559"/>
      <c r="AE317" s="559"/>
      <c r="AF317" s="559"/>
      <c r="AG317" s="559"/>
      <c r="AH317" s="559"/>
      <c r="AI317" s="559"/>
      <c r="AJ317" s="559"/>
      <c r="AK317" s="559"/>
      <c r="AL317" s="559"/>
      <c r="AM317" s="559"/>
      <c r="AN317" s="559"/>
    </row>
    <row r="318">
      <c r="A318" s="559"/>
      <c r="B318" s="559"/>
      <c r="C318" s="559"/>
      <c r="D318" s="559"/>
      <c r="E318" s="559"/>
      <c r="F318" s="559"/>
      <c r="G318" s="559"/>
      <c r="H318" s="559"/>
      <c r="I318" s="559"/>
      <c r="J318" s="559"/>
      <c r="K318" s="559"/>
      <c r="L318" s="559"/>
      <c r="M318" s="559"/>
      <c r="N318" s="559"/>
      <c r="O318" s="559"/>
      <c r="P318" s="559"/>
      <c r="Q318" s="559"/>
      <c r="R318" s="559"/>
      <c r="S318" s="559"/>
      <c r="T318" s="559"/>
      <c r="U318" s="559"/>
      <c r="V318" s="559"/>
      <c r="W318" s="559"/>
      <c r="X318" s="559"/>
      <c r="Y318" s="559"/>
      <c r="Z318" s="559"/>
      <c r="AA318" s="559"/>
      <c r="AB318" s="559"/>
      <c r="AC318" s="559"/>
      <c r="AD318" s="559"/>
      <c r="AE318" s="559"/>
      <c r="AF318" s="559"/>
      <c r="AG318" s="559"/>
      <c r="AH318" s="559"/>
      <c r="AI318" s="559"/>
      <c r="AJ318" s="559"/>
      <c r="AK318" s="559"/>
      <c r="AL318" s="559"/>
      <c r="AM318" s="559"/>
      <c r="AN318" s="559"/>
    </row>
    <row r="319">
      <c r="A319" s="559"/>
      <c r="B319" s="559"/>
      <c r="C319" s="559"/>
      <c r="D319" s="559"/>
      <c r="E319" s="559"/>
      <c r="F319" s="559"/>
      <c r="G319" s="559"/>
      <c r="H319" s="559"/>
      <c r="I319" s="559"/>
      <c r="J319" s="559"/>
      <c r="K319" s="559"/>
      <c r="L319" s="559"/>
      <c r="M319" s="559"/>
      <c r="N319" s="559"/>
      <c r="O319" s="559"/>
      <c r="P319" s="559"/>
      <c r="Q319" s="559"/>
      <c r="R319" s="559"/>
      <c r="S319" s="559"/>
      <c r="T319" s="559"/>
      <c r="U319" s="559"/>
      <c r="V319" s="559"/>
      <c r="W319" s="559"/>
      <c r="X319" s="559"/>
      <c r="Y319" s="559"/>
      <c r="Z319" s="559"/>
      <c r="AA319" s="559"/>
      <c r="AB319" s="559"/>
      <c r="AC319" s="559"/>
      <c r="AD319" s="559"/>
      <c r="AE319" s="559"/>
      <c r="AF319" s="559"/>
      <c r="AG319" s="559"/>
      <c r="AH319" s="559"/>
      <c r="AI319" s="559"/>
      <c r="AJ319" s="559"/>
      <c r="AK319" s="559"/>
      <c r="AL319" s="559"/>
      <c r="AM319" s="559"/>
      <c r="AN319" s="559"/>
    </row>
    <row r="320">
      <c r="A320" s="559"/>
      <c r="B320" s="559"/>
      <c r="C320" s="559"/>
      <c r="D320" s="559"/>
      <c r="E320" s="559"/>
      <c r="F320" s="559"/>
      <c r="G320" s="559"/>
      <c r="H320" s="559"/>
      <c r="I320" s="559"/>
      <c r="J320" s="559"/>
      <c r="K320" s="559"/>
      <c r="L320" s="559"/>
      <c r="M320" s="559"/>
      <c r="N320" s="559"/>
      <c r="O320" s="559"/>
      <c r="P320" s="559"/>
      <c r="Q320" s="559"/>
      <c r="R320" s="559"/>
      <c r="S320" s="559"/>
      <c r="T320" s="559"/>
      <c r="U320" s="559"/>
      <c r="V320" s="559"/>
      <c r="W320" s="559"/>
      <c r="X320" s="559"/>
      <c r="Y320" s="559"/>
      <c r="Z320" s="559"/>
      <c r="AA320" s="559"/>
      <c r="AB320" s="559"/>
      <c r="AC320" s="559"/>
      <c r="AD320" s="559"/>
      <c r="AE320" s="559"/>
      <c r="AF320" s="559"/>
      <c r="AG320" s="559"/>
      <c r="AH320" s="559"/>
      <c r="AI320" s="559"/>
      <c r="AJ320" s="559"/>
      <c r="AK320" s="559"/>
      <c r="AL320" s="559"/>
      <c r="AM320" s="559"/>
      <c r="AN320" s="559"/>
    </row>
    <row r="321">
      <c r="A321" s="559"/>
      <c r="B321" s="559"/>
      <c r="C321" s="559"/>
      <c r="D321" s="559"/>
      <c r="E321" s="559"/>
      <c r="F321" s="559"/>
      <c r="G321" s="559"/>
      <c r="H321" s="559"/>
      <c r="I321" s="559"/>
      <c r="J321" s="559"/>
      <c r="K321" s="559"/>
      <c r="L321" s="559"/>
      <c r="M321" s="559"/>
      <c r="N321" s="559"/>
      <c r="O321" s="559"/>
      <c r="P321" s="559"/>
      <c r="Q321" s="559"/>
      <c r="R321" s="559"/>
      <c r="S321" s="559"/>
      <c r="T321" s="559"/>
      <c r="U321" s="559"/>
      <c r="V321" s="559"/>
      <c r="W321" s="559"/>
      <c r="X321" s="559"/>
      <c r="Y321" s="559"/>
      <c r="Z321" s="559"/>
      <c r="AA321" s="559"/>
      <c r="AB321" s="559"/>
      <c r="AC321" s="559"/>
      <c r="AD321" s="559"/>
      <c r="AE321" s="559"/>
      <c r="AF321" s="559"/>
      <c r="AG321" s="559"/>
      <c r="AH321" s="559"/>
      <c r="AI321" s="559"/>
      <c r="AJ321" s="559"/>
      <c r="AK321" s="559"/>
      <c r="AL321" s="559"/>
      <c r="AM321" s="559"/>
      <c r="AN321" s="559"/>
    </row>
    <row r="322">
      <c r="A322" s="559"/>
      <c r="B322" s="559"/>
      <c r="C322" s="559"/>
      <c r="D322" s="559"/>
      <c r="E322" s="559"/>
      <c r="F322" s="559"/>
      <c r="G322" s="559"/>
      <c r="H322" s="559"/>
      <c r="I322" s="559"/>
      <c r="J322" s="559"/>
      <c r="K322" s="559"/>
      <c r="L322" s="559"/>
      <c r="M322" s="559"/>
      <c r="N322" s="559"/>
      <c r="O322" s="559"/>
      <c r="P322" s="559"/>
      <c r="Q322" s="559"/>
      <c r="R322" s="559"/>
      <c r="S322" s="559"/>
      <c r="T322" s="559"/>
      <c r="U322" s="559"/>
      <c r="V322" s="559"/>
      <c r="W322" s="559"/>
      <c r="X322" s="559"/>
      <c r="Y322" s="559"/>
      <c r="Z322" s="559"/>
      <c r="AA322" s="559"/>
      <c r="AB322" s="559"/>
      <c r="AC322" s="559"/>
      <c r="AD322" s="559"/>
      <c r="AE322" s="559"/>
      <c r="AF322" s="559"/>
      <c r="AG322" s="559"/>
      <c r="AH322" s="559"/>
      <c r="AI322" s="559"/>
      <c r="AJ322" s="559"/>
      <c r="AK322" s="559"/>
      <c r="AL322" s="559"/>
      <c r="AM322" s="559"/>
      <c r="AN322" s="559"/>
    </row>
    <row r="323">
      <c r="A323" s="559"/>
      <c r="B323" s="559"/>
      <c r="C323" s="559"/>
      <c r="D323" s="559"/>
      <c r="E323" s="559"/>
      <c r="F323" s="559"/>
      <c r="G323" s="559"/>
      <c r="H323" s="559"/>
      <c r="I323" s="559"/>
      <c r="J323" s="559"/>
      <c r="K323" s="559"/>
      <c r="L323" s="559"/>
      <c r="M323" s="559"/>
      <c r="N323" s="559"/>
      <c r="O323" s="559"/>
      <c r="P323" s="559"/>
      <c r="Q323" s="559"/>
      <c r="R323" s="559"/>
      <c r="S323" s="559"/>
      <c r="T323" s="559"/>
      <c r="U323" s="559"/>
      <c r="V323" s="559"/>
      <c r="W323" s="559"/>
      <c r="X323" s="559"/>
      <c r="Y323" s="559"/>
      <c r="Z323" s="559"/>
      <c r="AA323" s="559"/>
      <c r="AB323" s="559"/>
      <c r="AC323" s="559"/>
      <c r="AD323" s="559"/>
      <c r="AE323" s="559"/>
      <c r="AF323" s="559"/>
      <c r="AG323" s="559"/>
      <c r="AH323" s="559"/>
      <c r="AI323" s="559"/>
      <c r="AJ323" s="559"/>
      <c r="AK323" s="559"/>
      <c r="AL323" s="559"/>
      <c r="AM323" s="559"/>
      <c r="AN323" s="559"/>
    </row>
    <row r="324">
      <c r="A324" s="559"/>
      <c r="B324" s="559"/>
      <c r="C324" s="559"/>
      <c r="D324" s="559"/>
      <c r="E324" s="559"/>
      <c r="F324" s="559"/>
      <c r="G324" s="559"/>
      <c r="H324" s="559"/>
      <c r="I324" s="559"/>
      <c r="J324" s="559"/>
      <c r="K324" s="559"/>
      <c r="L324" s="559"/>
      <c r="M324" s="559"/>
      <c r="N324" s="559"/>
      <c r="O324" s="559"/>
      <c r="P324" s="559"/>
      <c r="Q324" s="559"/>
      <c r="R324" s="559"/>
      <c r="S324" s="559"/>
      <c r="T324" s="559"/>
      <c r="U324" s="559"/>
      <c r="V324" s="559"/>
      <c r="W324" s="559"/>
      <c r="X324" s="559"/>
      <c r="Y324" s="559"/>
      <c r="Z324" s="559"/>
      <c r="AA324" s="559"/>
      <c r="AB324" s="559"/>
      <c r="AC324" s="559"/>
      <c r="AD324" s="559"/>
      <c r="AE324" s="559"/>
      <c r="AF324" s="559"/>
      <c r="AG324" s="559"/>
      <c r="AH324" s="559"/>
      <c r="AI324" s="559"/>
      <c r="AJ324" s="559"/>
      <c r="AK324" s="559"/>
      <c r="AL324" s="559"/>
      <c r="AM324" s="559"/>
      <c r="AN324" s="559"/>
    </row>
    <row r="325">
      <c r="A325" s="559"/>
      <c r="B325" s="559"/>
      <c r="C325" s="559"/>
      <c r="D325" s="559"/>
      <c r="E325" s="559"/>
      <c r="F325" s="559"/>
      <c r="G325" s="559"/>
      <c r="H325" s="559"/>
      <c r="I325" s="559"/>
      <c r="J325" s="559"/>
      <c r="K325" s="559"/>
      <c r="L325" s="559"/>
      <c r="M325" s="559"/>
      <c r="N325" s="559"/>
      <c r="O325" s="559"/>
      <c r="P325" s="559"/>
      <c r="Q325" s="559"/>
      <c r="R325" s="559"/>
      <c r="S325" s="559"/>
      <c r="T325" s="559"/>
      <c r="U325" s="559"/>
      <c r="V325" s="559"/>
      <c r="W325" s="559"/>
      <c r="X325" s="559"/>
      <c r="Y325" s="559"/>
      <c r="Z325" s="559"/>
      <c r="AA325" s="559"/>
      <c r="AB325" s="559"/>
      <c r="AC325" s="559"/>
      <c r="AD325" s="559"/>
      <c r="AE325" s="559"/>
      <c r="AF325" s="559"/>
      <c r="AG325" s="559"/>
      <c r="AH325" s="559"/>
      <c r="AI325" s="559"/>
      <c r="AJ325" s="559"/>
      <c r="AK325" s="559"/>
      <c r="AL325" s="559"/>
      <c r="AM325" s="559"/>
      <c r="AN325" s="559"/>
    </row>
    <row r="326">
      <c r="A326" s="559"/>
      <c r="B326" s="559"/>
      <c r="C326" s="559"/>
      <c r="D326" s="559"/>
      <c r="E326" s="559"/>
      <c r="F326" s="559"/>
      <c r="G326" s="559"/>
      <c r="H326" s="559"/>
      <c r="I326" s="559"/>
      <c r="J326" s="559"/>
      <c r="K326" s="559"/>
      <c r="L326" s="559"/>
      <c r="M326" s="559"/>
      <c r="N326" s="559"/>
      <c r="O326" s="559"/>
      <c r="P326" s="559"/>
      <c r="Q326" s="559"/>
      <c r="R326" s="559"/>
      <c r="S326" s="559"/>
      <c r="T326" s="559"/>
      <c r="U326" s="559"/>
      <c r="V326" s="559"/>
      <c r="W326" s="559"/>
      <c r="X326" s="559"/>
      <c r="Y326" s="559"/>
      <c r="Z326" s="559"/>
      <c r="AA326" s="559"/>
      <c r="AB326" s="559"/>
      <c r="AC326" s="559"/>
      <c r="AD326" s="559"/>
      <c r="AE326" s="559"/>
      <c r="AF326" s="559"/>
      <c r="AG326" s="559"/>
      <c r="AH326" s="559"/>
      <c r="AI326" s="559"/>
      <c r="AJ326" s="559"/>
      <c r="AK326" s="559"/>
      <c r="AL326" s="559"/>
      <c r="AM326" s="559"/>
      <c r="AN326" s="559"/>
    </row>
    <row r="327">
      <c r="A327" s="559"/>
      <c r="B327" s="559"/>
      <c r="C327" s="559"/>
      <c r="D327" s="559"/>
      <c r="E327" s="559"/>
      <c r="F327" s="559"/>
      <c r="G327" s="559"/>
      <c r="H327" s="559"/>
      <c r="I327" s="559"/>
      <c r="J327" s="559"/>
      <c r="K327" s="559"/>
      <c r="L327" s="559"/>
      <c r="M327" s="559"/>
      <c r="N327" s="559"/>
      <c r="O327" s="559"/>
      <c r="P327" s="559"/>
      <c r="Q327" s="559"/>
      <c r="R327" s="559"/>
      <c r="S327" s="559"/>
      <c r="T327" s="559"/>
      <c r="U327" s="559"/>
      <c r="V327" s="559"/>
      <c r="W327" s="559"/>
      <c r="X327" s="559"/>
      <c r="Y327" s="559"/>
      <c r="Z327" s="559"/>
      <c r="AA327" s="559"/>
      <c r="AB327" s="559"/>
      <c r="AC327" s="559"/>
      <c r="AD327" s="559"/>
      <c r="AE327" s="559"/>
      <c r="AF327" s="559"/>
      <c r="AG327" s="559"/>
      <c r="AH327" s="559"/>
      <c r="AI327" s="559"/>
      <c r="AJ327" s="559"/>
      <c r="AK327" s="559"/>
      <c r="AL327" s="559"/>
      <c r="AM327" s="559"/>
      <c r="AN327" s="559"/>
    </row>
    <row r="328">
      <c r="A328" s="559"/>
      <c r="B328" s="559"/>
      <c r="C328" s="559"/>
      <c r="D328" s="559"/>
      <c r="E328" s="559"/>
      <c r="F328" s="559"/>
      <c r="G328" s="559"/>
      <c r="H328" s="559"/>
      <c r="I328" s="559"/>
      <c r="J328" s="559"/>
      <c r="K328" s="559"/>
      <c r="L328" s="559"/>
      <c r="M328" s="559"/>
      <c r="N328" s="559"/>
      <c r="O328" s="559"/>
      <c r="P328" s="559"/>
      <c r="Q328" s="559"/>
      <c r="R328" s="559"/>
      <c r="S328" s="559"/>
      <c r="T328" s="559"/>
      <c r="U328" s="559"/>
      <c r="V328" s="559"/>
      <c r="W328" s="559"/>
      <c r="X328" s="559"/>
      <c r="Y328" s="559"/>
      <c r="Z328" s="559"/>
      <c r="AA328" s="559"/>
      <c r="AB328" s="559"/>
      <c r="AC328" s="559"/>
      <c r="AD328" s="559"/>
      <c r="AE328" s="559"/>
      <c r="AF328" s="559"/>
      <c r="AG328" s="559"/>
      <c r="AH328" s="559"/>
      <c r="AI328" s="559"/>
      <c r="AJ328" s="559"/>
      <c r="AK328" s="559"/>
      <c r="AL328" s="559"/>
      <c r="AM328" s="559"/>
      <c r="AN328" s="559"/>
    </row>
    <row r="329">
      <c r="A329" s="559"/>
      <c r="B329" s="559"/>
      <c r="C329" s="559"/>
      <c r="D329" s="559"/>
      <c r="E329" s="559"/>
      <c r="F329" s="559"/>
      <c r="G329" s="559"/>
      <c r="H329" s="559"/>
      <c r="I329" s="559"/>
      <c r="J329" s="559"/>
      <c r="K329" s="559"/>
      <c r="L329" s="559"/>
      <c r="M329" s="559"/>
      <c r="N329" s="559"/>
      <c r="O329" s="559"/>
      <c r="P329" s="559"/>
      <c r="Q329" s="559"/>
      <c r="R329" s="559"/>
      <c r="S329" s="559"/>
      <c r="T329" s="559"/>
      <c r="U329" s="559"/>
      <c r="V329" s="559"/>
      <c r="W329" s="559"/>
      <c r="X329" s="559"/>
      <c r="Y329" s="559"/>
      <c r="Z329" s="559"/>
      <c r="AA329" s="559"/>
      <c r="AB329" s="559"/>
      <c r="AC329" s="559"/>
      <c r="AD329" s="559"/>
      <c r="AE329" s="559"/>
      <c r="AF329" s="559"/>
      <c r="AG329" s="559"/>
      <c r="AH329" s="559"/>
      <c r="AI329" s="559"/>
      <c r="AJ329" s="559"/>
      <c r="AK329" s="559"/>
      <c r="AL329" s="559"/>
      <c r="AM329" s="559"/>
      <c r="AN329" s="559"/>
    </row>
    <row r="330">
      <c r="A330" s="559"/>
      <c r="B330" s="559"/>
      <c r="C330" s="559"/>
      <c r="D330" s="559"/>
      <c r="E330" s="559"/>
      <c r="F330" s="559"/>
      <c r="G330" s="559"/>
      <c r="H330" s="559"/>
      <c r="I330" s="559"/>
      <c r="J330" s="559"/>
      <c r="K330" s="559"/>
      <c r="L330" s="559"/>
      <c r="M330" s="559"/>
      <c r="N330" s="559"/>
      <c r="O330" s="559"/>
      <c r="P330" s="559"/>
      <c r="Q330" s="559"/>
      <c r="R330" s="559"/>
      <c r="S330" s="559"/>
      <c r="T330" s="559"/>
      <c r="U330" s="559"/>
      <c r="V330" s="559"/>
      <c r="W330" s="559"/>
      <c r="X330" s="559"/>
      <c r="Y330" s="559"/>
      <c r="Z330" s="559"/>
      <c r="AA330" s="559"/>
      <c r="AB330" s="559"/>
      <c r="AC330" s="559"/>
      <c r="AD330" s="559"/>
      <c r="AE330" s="559"/>
      <c r="AF330" s="559"/>
      <c r="AG330" s="559"/>
      <c r="AH330" s="559"/>
      <c r="AI330" s="559"/>
      <c r="AJ330" s="559"/>
      <c r="AK330" s="559"/>
      <c r="AL330" s="559"/>
      <c r="AM330" s="559"/>
      <c r="AN330" s="559"/>
    </row>
    <row r="331">
      <c r="A331" s="559"/>
      <c r="B331" s="559"/>
      <c r="C331" s="559"/>
      <c r="D331" s="559"/>
      <c r="E331" s="559"/>
      <c r="F331" s="559"/>
      <c r="G331" s="559"/>
      <c r="H331" s="559"/>
      <c r="I331" s="559"/>
      <c r="J331" s="559"/>
      <c r="K331" s="559"/>
      <c r="L331" s="559"/>
      <c r="M331" s="559"/>
      <c r="N331" s="559"/>
      <c r="O331" s="559"/>
      <c r="P331" s="559"/>
      <c r="Q331" s="559"/>
      <c r="R331" s="559"/>
      <c r="S331" s="559"/>
      <c r="T331" s="559"/>
      <c r="U331" s="559"/>
      <c r="V331" s="559"/>
      <c r="W331" s="559"/>
      <c r="X331" s="559"/>
      <c r="Y331" s="559"/>
      <c r="Z331" s="559"/>
      <c r="AA331" s="559"/>
      <c r="AB331" s="559"/>
      <c r="AC331" s="559"/>
      <c r="AD331" s="559"/>
      <c r="AE331" s="559"/>
      <c r="AF331" s="559"/>
      <c r="AG331" s="559"/>
      <c r="AH331" s="559"/>
      <c r="AI331" s="559"/>
      <c r="AJ331" s="559"/>
      <c r="AK331" s="559"/>
      <c r="AL331" s="559"/>
      <c r="AM331" s="559"/>
      <c r="AN331" s="559"/>
    </row>
    <row r="332">
      <c r="A332" s="559"/>
      <c r="B332" s="559"/>
      <c r="C332" s="559"/>
      <c r="D332" s="559"/>
      <c r="E332" s="559"/>
      <c r="F332" s="559"/>
      <c r="G332" s="559"/>
      <c r="H332" s="559"/>
      <c r="I332" s="559"/>
      <c r="J332" s="559"/>
      <c r="K332" s="559"/>
      <c r="L332" s="559"/>
      <c r="M332" s="559"/>
      <c r="N332" s="559"/>
      <c r="O332" s="559"/>
      <c r="P332" s="559"/>
      <c r="Q332" s="559"/>
      <c r="R332" s="559"/>
      <c r="S332" s="559"/>
      <c r="T332" s="559"/>
      <c r="U332" s="559"/>
      <c r="V332" s="559"/>
      <c r="W332" s="559"/>
      <c r="X332" s="559"/>
      <c r="Y332" s="559"/>
      <c r="Z332" s="559"/>
      <c r="AA332" s="559"/>
      <c r="AB332" s="559"/>
      <c r="AC332" s="559"/>
      <c r="AD332" s="559"/>
      <c r="AE332" s="559"/>
      <c r="AF332" s="559"/>
      <c r="AG332" s="559"/>
      <c r="AH332" s="559"/>
      <c r="AI332" s="559"/>
      <c r="AJ332" s="559"/>
      <c r="AK332" s="559"/>
      <c r="AL332" s="559"/>
      <c r="AM332" s="559"/>
      <c r="AN332" s="559"/>
    </row>
    <row r="333">
      <c r="A333" s="559"/>
      <c r="B333" s="559"/>
      <c r="C333" s="559"/>
      <c r="D333" s="559"/>
      <c r="E333" s="559"/>
      <c r="F333" s="559"/>
      <c r="G333" s="559"/>
      <c r="H333" s="559"/>
      <c r="I333" s="559"/>
      <c r="J333" s="559"/>
      <c r="K333" s="559"/>
      <c r="L333" s="559"/>
      <c r="M333" s="559"/>
      <c r="N333" s="559"/>
      <c r="O333" s="559"/>
      <c r="P333" s="559"/>
      <c r="Q333" s="559"/>
      <c r="R333" s="559"/>
      <c r="S333" s="559"/>
      <c r="T333" s="559"/>
      <c r="U333" s="559"/>
      <c r="V333" s="559"/>
      <c r="W333" s="559"/>
      <c r="X333" s="559"/>
      <c r="Y333" s="559"/>
      <c r="Z333" s="559"/>
      <c r="AA333" s="559"/>
      <c r="AB333" s="559"/>
      <c r="AC333" s="559"/>
      <c r="AD333" s="559"/>
      <c r="AE333" s="559"/>
      <c r="AF333" s="559"/>
      <c r="AG333" s="559"/>
      <c r="AH333" s="559"/>
      <c r="AI333" s="559"/>
      <c r="AJ333" s="559"/>
      <c r="AK333" s="559"/>
      <c r="AL333" s="559"/>
      <c r="AM333" s="559"/>
      <c r="AN333" s="559"/>
    </row>
    <row r="334">
      <c r="A334" s="559"/>
      <c r="B334" s="559"/>
      <c r="C334" s="559"/>
      <c r="D334" s="559"/>
      <c r="E334" s="559"/>
      <c r="F334" s="559"/>
      <c r="G334" s="559"/>
      <c r="H334" s="559"/>
      <c r="I334" s="559"/>
      <c r="J334" s="559"/>
      <c r="K334" s="559"/>
      <c r="L334" s="559"/>
      <c r="M334" s="559"/>
      <c r="N334" s="559"/>
      <c r="O334" s="559"/>
      <c r="P334" s="559"/>
      <c r="Q334" s="559"/>
      <c r="R334" s="559"/>
      <c r="S334" s="559"/>
      <c r="T334" s="559"/>
      <c r="U334" s="559"/>
      <c r="V334" s="559"/>
      <c r="W334" s="559"/>
      <c r="X334" s="559"/>
      <c r="Y334" s="559"/>
      <c r="Z334" s="559"/>
      <c r="AA334" s="559"/>
      <c r="AB334" s="559"/>
      <c r="AC334" s="559"/>
      <c r="AD334" s="559"/>
      <c r="AE334" s="559"/>
      <c r="AF334" s="559"/>
      <c r="AG334" s="559"/>
      <c r="AH334" s="559"/>
      <c r="AI334" s="559"/>
      <c r="AJ334" s="559"/>
      <c r="AK334" s="559"/>
      <c r="AL334" s="559"/>
      <c r="AM334" s="559"/>
      <c r="AN334" s="559"/>
    </row>
    <row r="335">
      <c r="A335" s="559"/>
      <c r="B335" s="559"/>
      <c r="C335" s="559"/>
      <c r="D335" s="559"/>
      <c r="E335" s="559"/>
      <c r="F335" s="559"/>
      <c r="G335" s="559"/>
      <c r="H335" s="559"/>
      <c r="I335" s="559"/>
      <c r="J335" s="559"/>
      <c r="K335" s="559"/>
      <c r="L335" s="559"/>
      <c r="M335" s="559"/>
      <c r="N335" s="559"/>
      <c r="O335" s="559"/>
      <c r="P335" s="559"/>
      <c r="Q335" s="559"/>
      <c r="R335" s="559"/>
      <c r="S335" s="559"/>
      <c r="T335" s="559"/>
      <c r="U335" s="559"/>
      <c r="V335" s="559"/>
      <c r="W335" s="559"/>
      <c r="X335" s="559"/>
      <c r="Y335" s="559"/>
      <c r="Z335" s="559"/>
      <c r="AA335" s="559"/>
      <c r="AB335" s="559"/>
      <c r="AC335" s="559"/>
      <c r="AD335" s="559"/>
      <c r="AE335" s="559"/>
      <c r="AF335" s="559"/>
      <c r="AG335" s="559"/>
      <c r="AH335" s="559"/>
      <c r="AI335" s="559"/>
      <c r="AJ335" s="559"/>
      <c r="AK335" s="559"/>
      <c r="AL335" s="559"/>
      <c r="AM335" s="559"/>
      <c r="AN335" s="559"/>
    </row>
    <row r="336">
      <c r="A336" s="559"/>
      <c r="B336" s="559"/>
      <c r="C336" s="559"/>
      <c r="D336" s="559"/>
      <c r="E336" s="559"/>
      <c r="F336" s="559"/>
      <c r="G336" s="559"/>
      <c r="H336" s="559"/>
      <c r="I336" s="559"/>
      <c r="J336" s="559"/>
      <c r="K336" s="559"/>
      <c r="L336" s="559"/>
      <c r="M336" s="559"/>
      <c r="N336" s="559"/>
      <c r="O336" s="559"/>
      <c r="P336" s="559"/>
      <c r="Q336" s="559"/>
      <c r="R336" s="559"/>
      <c r="S336" s="559"/>
      <c r="T336" s="559"/>
      <c r="U336" s="559"/>
      <c r="V336" s="559"/>
      <c r="W336" s="559"/>
      <c r="X336" s="559"/>
      <c r="Y336" s="559"/>
      <c r="Z336" s="559"/>
      <c r="AA336" s="559"/>
      <c r="AB336" s="559"/>
      <c r="AC336" s="559"/>
      <c r="AD336" s="559"/>
      <c r="AE336" s="559"/>
      <c r="AF336" s="559"/>
      <c r="AG336" s="559"/>
      <c r="AH336" s="559"/>
      <c r="AI336" s="559"/>
      <c r="AJ336" s="559"/>
      <c r="AK336" s="559"/>
      <c r="AL336" s="559"/>
      <c r="AM336" s="559"/>
      <c r="AN336" s="559"/>
    </row>
    <row r="337">
      <c r="A337" s="559"/>
      <c r="B337" s="559"/>
      <c r="C337" s="559"/>
      <c r="D337" s="559"/>
      <c r="E337" s="559"/>
      <c r="F337" s="559"/>
      <c r="G337" s="559"/>
      <c r="H337" s="559"/>
      <c r="I337" s="559"/>
      <c r="J337" s="559"/>
      <c r="K337" s="559"/>
      <c r="L337" s="559"/>
      <c r="M337" s="559"/>
      <c r="N337" s="559"/>
      <c r="O337" s="559"/>
      <c r="P337" s="559"/>
      <c r="Q337" s="559"/>
      <c r="R337" s="559"/>
      <c r="S337" s="559"/>
      <c r="T337" s="559"/>
      <c r="U337" s="559"/>
      <c r="V337" s="559"/>
      <c r="W337" s="559"/>
      <c r="X337" s="559"/>
      <c r="Y337" s="559"/>
      <c r="Z337" s="559"/>
      <c r="AA337" s="559"/>
      <c r="AB337" s="559"/>
      <c r="AC337" s="559"/>
      <c r="AD337" s="559"/>
      <c r="AE337" s="559"/>
      <c r="AF337" s="559"/>
      <c r="AG337" s="559"/>
      <c r="AH337" s="559"/>
      <c r="AI337" s="559"/>
      <c r="AJ337" s="559"/>
      <c r="AK337" s="559"/>
      <c r="AL337" s="559"/>
      <c r="AM337" s="559"/>
      <c r="AN337" s="559"/>
    </row>
    <row r="338">
      <c r="A338" s="559"/>
      <c r="B338" s="559"/>
      <c r="C338" s="559"/>
      <c r="D338" s="559"/>
      <c r="E338" s="559"/>
      <c r="F338" s="559"/>
      <c r="G338" s="559"/>
      <c r="H338" s="559"/>
      <c r="I338" s="559"/>
      <c r="J338" s="559"/>
      <c r="K338" s="559"/>
      <c r="L338" s="559"/>
      <c r="M338" s="559"/>
      <c r="N338" s="559"/>
      <c r="O338" s="559"/>
      <c r="P338" s="559"/>
      <c r="Q338" s="559"/>
      <c r="R338" s="559"/>
      <c r="S338" s="559"/>
      <c r="T338" s="559"/>
      <c r="U338" s="559"/>
      <c r="V338" s="559"/>
      <c r="W338" s="559"/>
      <c r="X338" s="559"/>
      <c r="Y338" s="559"/>
      <c r="Z338" s="559"/>
      <c r="AA338" s="559"/>
      <c r="AB338" s="559"/>
      <c r="AC338" s="559"/>
      <c r="AD338" s="559"/>
      <c r="AE338" s="559"/>
      <c r="AF338" s="559"/>
      <c r="AG338" s="559"/>
      <c r="AH338" s="559"/>
      <c r="AI338" s="559"/>
      <c r="AJ338" s="559"/>
      <c r="AK338" s="559"/>
      <c r="AL338" s="559"/>
      <c r="AM338" s="559"/>
      <c r="AN338" s="559"/>
    </row>
    <row r="339">
      <c r="A339" s="559"/>
      <c r="B339" s="559"/>
      <c r="C339" s="559"/>
      <c r="D339" s="559"/>
      <c r="E339" s="559"/>
      <c r="F339" s="559"/>
      <c r="G339" s="559"/>
      <c r="H339" s="559"/>
      <c r="I339" s="559"/>
      <c r="J339" s="559"/>
      <c r="K339" s="559"/>
      <c r="L339" s="559"/>
      <c r="M339" s="559"/>
      <c r="N339" s="559"/>
      <c r="O339" s="559"/>
      <c r="P339" s="559"/>
      <c r="Q339" s="559"/>
      <c r="R339" s="559"/>
      <c r="S339" s="559"/>
      <c r="T339" s="559"/>
      <c r="U339" s="559"/>
      <c r="V339" s="559"/>
      <c r="W339" s="559"/>
      <c r="X339" s="559"/>
      <c r="Y339" s="559"/>
      <c r="Z339" s="559"/>
      <c r="AA339" s="559"/>
      <c r="AB339" s="559"/>
      <c r="AC339" s="559"/>
      <c r="AD339" s="559"/>
      <c r="AE339" s="559"/>
      <c r="AF339" s="559"/>
      <c r="AG339" s="559"/>
      <c r="AH339" s="559"/>
      <c r="AI339" s="559"/>
      <c r="AJ339" s="559"/>
      <c r="AK339" s="559"/>
      <c r="AL339" s="559"/>
      <c r="AM339" s="559"/>
      <c r="AN339" s="559"/>
    </row>
    <row r="340">
      <c r="A340" s="559"/>
      <c r="B340" s="559"/>
      <c r="C340" s="559"/>
      <c r="D340" s="559"/>
      <c r="E340" s="559"/>
      <c r="F340" s="559"/>
      <c r="G340" s="559"/>
      <c r="H340" s="559"/>
      <c r="I340" s="559"/>
      <c r="J340" s="559"/>
      <c r="K340" s="559"/>
      <c r="L340" s="559"/>
      <c r="M340" s="559"/>
      <c r="N340" s="559"/>
      <c r="O340" s="559"/>
      <c r="P340" s="559"/>
      <c r="Q340" s="559"/>
      <c r="R340" s="559"/>
      <c r="S340" s="559"/>
      <c r="T340" s="559"/>
      <c r="U340" s="559"/>
      <c r="V340" s="559"/>
      <c r="W340" s="559"/>
      <c r="X340" s="559"/>
      <c r="Y340" s="559"/>
      <c r="Z340" s="559"/>
      <c r="AA340" s="559"/>
      <c r="AB340" s="559"/>
      <c r="AC340" s="559"/>
      <c r="AD340" s="559"/>
      <c r="AE340" s="559"/>
      <c r="AF340" s="559"/>
      <c r="AG340" s="559"/>
      <c r="AH340" s="559"/>
      <c r="AI340" s="559"/>
      <c r="AJ340" s="559"/>
      <c r="AK340" s="559"/>
      <c r="AL340" s="559"/>
      <c r="AM340" s="559"/>
      <c r="AN340" s="559"/>
    </row>
    <row r="341">
      <c r="A341" s="559"/>
      <c r="B341" s="559"/>
      <c r="C341" s="559"/>
      <c r="D341" s="559"/>
      <c r="E341" s="559"/>
      <c r="F341" s="559"/>
      <c r="G341" s="559"/>
      <c r="H341" s="559"/>
      <c r="I341" s="559"/>
      <c r="J341" s="559"/>
      <c r="K341" s="559"/>
      <c r="L341" s="559"/>
      <c r="M341" s="559"/>
      <c r="N341" s="559"/>
      <c r="O341" s="559"/>
      <c r="P341" s="559"/>
      <c r="Q341" s="559"/>
      <c r="R341" s="559"/>
      <c r="S341" s="559"/>
      <c r="T341" s="559"/>
      <c r="U341" s="559"/>
      <c r="V341" s="559"/>
      <c r="W341" s="559"/>
      <c r="X341" s="559"/>
      <c r="Y341" s="559"/>
      <c r="Z341" s="559"/>
      <c r="AA341" s="559"/>
      <c r="AB341" s="559"/>
      <c r="AC341" s="559"/>
      <c r="AD341" s="559"/>
      <c r="AE341" s="559"/>
      <c r="AF341" s="559"/>
      <c r="AG341" s="559"/>
      <c r="AH341" s="559"/>
      <c r="AI341" s="559"/>
      <c r="AJ341" s="559"/>
      <c r="AK341" s="559"/>
      <c r="AL341" s="559"/>
      <c r="AM341" s="559"/>
      <c r="AN341" s="559"/>
    </row>
    <row r="342">
      <c r="A342" s="559"/>
      <c r="B342" s="559"/>
      <c r="C342" s="559"/>
      <c r="D342" s="559"/>
      <c r="E342" s="559"/>
      <c r="F342" s="559"/>
      <c r="G342" s="559"/>
      <c r="H342" s="559"/>
      <c r="I342" s="559"/>
      <c r="J342" s="559"/>
      <c r="K342" s="559"/>
      <c r="L342" s="559"/>
      <c r="M342" s="559"/>
      <c r="N342" s="559"/>
      <c r="O342" s="559"/>
      <c r="P342" s="559"/>
      <c r="Q342" s="559"/>
      <c r="R342" s="559"/>
      <c r="S342" s="559"/>
      <c r="T342" s="559"/>
      <c r="U342" s="559"/>
      <c r="V342" s="559"/>
      <c r="W342" s="559"/>
      <c r="X342" s="559"/>
      <c r="Y342" s="559"/>
      <c r="Z342" s="559"/>
      <c r="AA342" s="559"/>
      <c r="AB342" s="559"/>
      <c r="AC342" s="559"/>
      <c r="AD342" s="559"/>
      <c r="AE342" s="559"/>
      <c r="AF342" s="559"/>
      <c r="AG342" s="559"/>
      <c r="AH342" s="559"/>
      <c r="AI342" s="559"/>
      <c r="AJ342" s="559"/>
      <c r="AK342" s="559"/>
      <c r="AL342" s="559"/>
      <c r="AM342" s="559"/>
      <c r="AN342" s="559"/>
    </row>
    <row r="343">
      <c r="A343" s="559"/>
      <c r="B343" s="559"/>
      <c r="C343" s="559"/>
      <c r="D343" s="559"/>
      <c r="E343" s="559"/>
      <c r="F343" s="559"/>
      <c r="G343" s="559"/>
      <c r="H343" s="559"/>
      <c r="I343" s="559"/>
      <c r="J343" s="559"/>
      <c r="K343" s="559"/>
      <c r="L343" s="559"/>
      <c r="M343" s="559"/>
      <c r="N343" s="559"/>
      <c r="O343" s="559"/>
      <c r="P343" s="559"/>
      <c r="Q343" s="559"/>
      <c r="R343" s="559"/>
      <c r="S343" s="559"/>
      <c r="T343" s="559"/>
      <c r="U343" s="559"/>
      <c r="V343" s="559"/>
      <c r="W343" s="559"/>
      <c r="X343" s="559"/>
      <c r="Y343" s="559"/>
      <c r="Z343" s="559"/>
      <c r="AA343" s="559"/>
      <c r="AB343" s="559"/>
      <c r="AC343" s="559"/>
      <c r="AD343" s="559"/>
      <c r="AE343" s="559"/>
      <c r="AF343" s="559"/>
      <c r="AG343" s="559"/>
      <c r="AH343" s="559"/>
      <c r="AI343" s="559"/>
      <c r="AJ343" s="559"/>
      <c r="AK343" s="559"/>
      <c r="AL343" s="559"/>
      <c r="AM343" s="559"/>
      <c r="AN343" s="559"/>
    </row>
    <row r="344">
      <c r="A344" s="559"/>
      <c r="B344" s="559"/>
      <c r="C344" s="559"/>
      <c r="D344" s="559"/>
      <c r="E344" s="559"/>
      <c r="F344" s="559"/>
      <c r="G344" s="559"/>
      <c r="H344" s="559"/>
      <c r="I344" s="559"/>
      <c r="J344" s="559"/>
      <c r="K344" s="559"/>
      <c r="L344" s="559"/>
      <c r="M344" s="559"/>
      <c r="N344" s="559"/>
      <c r="O344" s="559"/>
      <c r="P344" s="559"/>
      <c r="Q344" s="559"/>
      <c r="R344" s="559"/>
      <c r="S344" s="559"/>
      <c r="T344" s="559"/>
      <c r="U344" s="559"/>
      <c r="V344" s="559"/>
      <c r="W344" s="559"/>
      <c r="X344" s="559"/>
      <c r="Y344" s="559"/>
      <c r="Z344" s="559"/>
      <c r="AA344" s="559"/>
      <c r="AB344" s="559"/>
      <c r="AC344" s="559"/>
      <c r="AD344" s="559"/>
      <c r="AE344" s="559"/>
      <c r="AF344" s="559"/>
      <c r="AG344" s="559"/>
      <c r="AH344" s="559"/>
      <c r="AI344" s="559"/>
      <c r="AJ344" s="559"/>
      <c r="AK344" s="559"/>
      <c r="AL344" s="559"/>
      <c r="AM344" s="559"/>
      <c r="AN344" s="559"/>
    </row>
    <row r="345">
      <c r="A345" s="559"/>
      <c r="B345" s="559"/>
      <c r="C345" s="559"/>
      <c r="D345" s="559"/>
      <c r="E345" s="559"/>
      <c r="F345" s="559"/>
      <c r="G345" s="559"/>
      <c r="H345" s="559"/>
      <c r="I345" s="559"/>
      <c r="J345" s="559"/>
      <c r="K345" s="559"/>
      <c r="L345" s="559"/>
      <c r="M345" s="559"/>
      <c r="N345" s="559"/>
      <c r="O345" s="559"/>
      <c r="P345" s="559"/>
      <c r="Q345" s="559"/>
      <c r="R345" s="559"/>
      <c r="S345" s="559"/>
      <c r="T345" s="559"/>
      <c r="U345" s="559"/>
      <c r="V345" s="559"/>
      <c r="W345" s="559"/>
      <c r="X345" s="559"/>
      <c r="Y345" s="559"/>
      <c r="Z345" s="559"/>
      <c r="AA345" s="559"/>
      <c r="AB345" s="559"/>
      <c r="AC345" s="559"/>
      <c r="AD345" s="559"/>
      <c r="AE345" s="559"/>
      <c r="AF345" s="559"/>
      <c r="AG345" s="559"/>
      <c r="AH345" s="559"/>
      <c r="AI345" s="559"/>
      <c r="AJ345" s="559"/>
      <c r="AK345" s="559"/>
      <c r="AL345" s="559"/>
      <c r="AM345" s="559"/>
      <c r="AN345" s="559"/>
    </row>
    <row r="346">
      <c r="A346" s="559"/>
      <c r="B346" s="559"/>
      <c r="C346" s="559"/>
      <c r="D346" s="559"/>
      <c r="E346" s="559"/>
      <c r="F346" s="559"/>
      <c r="G346" s="559"/>
      <c r="H346" s="559"/>
      <c r="I346" s="559"/>
      <c r="J346" s="559"/>
      <c r="K346" s="559"/>
      <c r="L346" s="559"/>
      <c r="M346" s="559"/>
      <c r="N346" s="559"/>
      <c r="O346" s="559"/>
      <c r="P346" s="559"/>
      <c r="Q346" s="559"/>
      <c r="R346" s="559"/>
      <c r="S346" s="559"/>
      <c r="T346" s="559"/>
      <c r="U346" s="559"/>
      <c r="V346" s="559"/>
      <c r="W346" s="559"/>
      <c r="X346" s="559"/>
      <c r="Y346" s="559"/>
      <c r="Z346" s="559"/>
      <c r="AA346" s="559"/>
      <c r="AB346" s="559"/>
      <c r="AC346" s="559"/>
      <c r="AD346" s="559"/>
      <c r="AE346" s="559"/>
      <c r="AF346" s="559"/>
      <c r="AG346" s="559"/>
      <c r="AH346" s="559"/>
      <c r="AI346" s="559"/>
      <c r="AJ346" s="559"/>
      <c r="AK346" s="559"/>
      <c r="AL346" s="559"/>
      <c r="AM346" s="559"/>
      <c r="AN346" s="559"/>
    </row>
    <row r="347">
      <c r="A347" s="559"/>
      <c r="B347" s="559"/>
      <c r="C347" s="559"/>
      <c r="D347" s="559"/>
      <c r="E347" s="559"/>
      <c r="F347" s="559"/>
      <c r="G347" s="559"/>
      <c r="H347" s="559"/>
      <c r="I347" s="559"/>
      <c r="J347" s="559"/>
      <c r="K347" s="559"/>
      <c r="L347" s="559"/>
      <c r="M347" s="559"/>
      <c r="N347" s="559"/>
      <c r="O347" s="559"/>
      <c r="P347" s="559"/>
      <c r="Q347" s="559"/>
      <c r="R347" s="559"/>
      <c r="S347" s="559"/>
      <c r="T347" s="559"/>
      <c r="U347" s="559"/>
      <c r="V347" s="559"/>
      <c r="W347" s="559"/>
      <c r="X347" s="559"/>
      <c r="Y347" s="559"/>
      <c r="Z347" s="559"/>
      <c r="AA347" s="559"/>
      <c r="AB347" s="559"/>
      <c r="AC347" s="559"/>
      <c r="AD347" s="559"/>
      <c r="AE347" s="559"/>
      <c r="AF347" s="559"/>
      <c r="AG347" s="559"/>
      <c r="AH347" s="559"/>
      <c r="AI347" s="559"/>
      <c r="AJ347" s="559"/>
      <c r="AK347" s="559"/>
      <c r="AL347" s="559"/>
      <c r="AM347" s="559"/>
      <c r="AN347" s="559"/>
    </row>
    <row r="348">
      <c r="A348" s="559"/>
      <c r="B348" s="559"/>
      <c r="C348" s="559"/>
      <c r="D348" s="559"/>
      <c r="E348" s="559"/>
      <c r="F348" s="559"/>
      <c r="G348" s="559"/>
      <c r="H348" s="559"/>
      <c r="I348" s="559"/>
      <c r="J348" s="559"/>
      <c r="K348" s="559"/>
      <c r="L348" s="559"/>
      <c r="M348" s="559"/>
      <c r="N348" s="559"/>
      <c r="O348" s="559"/>
      <c r="P348" s="559"/>
      <c r="Q348" s="559"/>
      <c r="R348" s="559"/>
      <c r="S348" s="559"/>
      <c r="T348" s="559"/>
      <c r="U348" s="559"/>
      <c r="V348" s="559"/>
      <c r="W348" s="559"/>
      <c r="X348" s="559"/>
      <c r="Y348" s="559"/>
      <c r="Z348" s="559"/>
      <c r="AA348" s="559"/>
      <c r="AB348" s="559"/>
      <c r="AC348" s="559"/>
      <c r="AD348" s="559"/>
      <c r="AE348" s="559"/>
      <c r="AF348" s="559"/>
      <c r="AG348" s="559"/>
      <c r="AH348" s="559"/>
      <c r="AI348" s="559"/>
      <c r="AJ348" s="559"/>
      <c r="AK348" s="559"/>
      <c r="AL348" s="559"/>
      <c r="AM348" s="559"/>
      <c r="AN348" s="559"/>
    </row>
    <row r="349">
      <c r="A349" s="559"/>
      <c r="B349" s="559"/>
      <c r="C349" s="559"/>
      <c r="D349" s="559"/>
      <c r="E349" s="559"/>
      <c r="F349" s="559"/>
      <c r="G349" s="559"/>
      <c r="H349" s="559"/>
      <c r="I349" s="559"/>
      <c r="J349" s="559"/>
      <c r="K349" s="559"/>
      <c r="L349" s="559"/>
      <c r="M349" s="559"/>
      <c r="N349" s="559"/>
      <c r="O349" s="559"/>
      <c r="P349" s="559"/>
      <c r="Q349" s="559"/>
      <c r="R349" s="559"/>
      <c r="S349" s="559"/>
      <c r="T349" s="559"/>
      <c r="U349" s="559"/>
      <c r="V349" s="559"/>
      <c r="W349" s="559"/>
      <c r="X349" s="559"/>
      <c r="Y349" s="559"/>
      <c r="Z349" s="559"/>
      <c r="AA349" s="559"/>
      <c r="AB349" s="559"/>
      <c r="AC349" s="559"/>
      <c r="AD349" s="559"/>
      <c r="AE349" s="559"/>
      <c r="AF349" s="559"/>
      <c r="AG349" s="559"/>
      <c r="AH349" s="559"/>
      <c r="AI349" s="559"/>
      <c r="AJ349" s="559"/>
      <c r="AK349" s="559"/>
      <c r="AL349" s="559"/>
      <c r="AM349" s="559"/>
      <c r="AN349" s="559"/>
    </row>
    <row r="350">
      <c r="A350" s="559"/>
      <c r="B350" s="559"/>
      <c r="C350" s="559"/>
      <c r="D350" s="559"/>
      <c r="E350" s="559"/>
      <c r="F350" s="559"/>
      <c r="G350" s="559"/>
      <c r="H350" s="559"/>
      <c r="I350" s="559"/>
      <c r="J350" s="559"/>
      <c r="K350" s="559"/>
      <c r="L350" s="559"/>
      <c r="M350" s="559"/>
      <c r="N350" s="559"/>
      <c r="O350" s="559"/>
      <c r="P350" s="559"/>
      <c r="Q350" s="559"/>
      <c r="R350" s="559"/>
      <c r="S350" s="559"/>
      <c r="T350" s="559"/>
      <c r="U350" s="559"/>
      <c r="V350" s="559"/>
      <c r="W350" s="559"/>
      <c r="X350" s="559"/>
      <c r="Y350" s="559"/>
      <c r="Z350" s="559"/>
      <c r="AA350" s="559"/>
      <c r="AB350" s="559"/>
      <c r="AC350" s="559"/>
      <c r="AD350" s="559"/>
      <c r="AE350" s="559"/>
      <c r="AF350" s="559"/>
      <c r="AG350" s="559"/>
      <c r="AH350" s="559"/>
      <c r="AI350" s="559"/>
      <c r="AJ350" s="559"/>
      <c r="AK350" s="559"/>
      <c r="AL350" s="559"/>
      <c r="AM350" s="559"/>
      <c r="AN350" s="559"/>
    </row>
    <row r="351">
      <c r="A351" s="559"/>
      <c r="B351" s="559"/>
      <c r="C351" s="559"/>
      <c r="D351" s="559"/>
      <c r="E351" s="559"/>
      <c r="F351" s="559"/>
      <c r="G351" s="559"/>
      <c r="H351" s="559"/>
      <c r="I351" s="559"/>
      <c r="J351" s="559"/>
      <c r="K351" s="559"/>
      <c r="L351" s="559"/>
      <c r="M351" s="559"/>
      <c r="N351" s="559"/>
      <c r="O351" s="559"/>
      <c r="P351" s="559"/>
      <c r="Q351" s="559"/>
      <c r="R351" s="559"/>
      <c r="S351" s="559"/>
      <c r="T351" s="559"/>
      <c r="U351" s="559"/>
      <c r="V351" s="559"/>
      <c r="W351" s="559"/>
      <c r="X351" s="559"/>
      <c r="Y351" s="559"/>
      <c r="Z351" s="559"/>
      <c r="AA351" s="559"/>
      <c r="AB351" s="559"/>
      <c r="AC351" s="559"/>
      <c r="AD351" s="559"/>
      <c r="AE351" s="559"/>
      <c r="AF351" s="559"/>
      <c r="AG351" s="559"/>
      <c r="AH351" s="559"/>
      <c r="AI351" s="559"/>
      <c r="AJ351" s="559"/>
      <c r="AK351" s="559"/>
      <c r="AL351" s="559"/>
      <c r="AM351" s="559"/>
      <c r="AN351" s="559"/>
    </row>
    <row r="352">
      <c r="A352" s="559"/>
      <c r="B352" s="559"/>
      <c r="C352" s="559"/>
      <c r="D352" s="559"/>
      <c r="E352" s="559"/>
      <c r="F352" s="559"/>
      <c r="G352" s="559"/>
      <c r="H352" s="559"/>
      <c r="I352" s="559"/>
      <c r="J352" s="559"/>
      <c r="K352" s="559"/>
      <c r="L352" s="559"/>
      <c r="M352" s="559"/>
      <c r="N352" s="559"/>
      <c r="O352" s="559"/>
      <c r="P352" s="559"/>
      <c r="Q352" s="559"/>
      <c r="R352" s="559"/>
      <c r="S352" s="559"/>
      <c r="T352" s="559"/>
      <c r="U352" s="559"/>
      <c r="V352" s="559"/>
      <c r="W352" s="559"/>
      <c r="X352" s="559"/>
      <c r="Y352" s="559"/>
      <c r="Z352" s="559"/>
      <c r="AA352" s="559"/>
      <c r="AB352" s="559"/>
      <c r="AC352" s="559"/>
      <c r="AD352" s="559"/>
      <c r="AE352" s="559"/>
      <c r="AF352" s="559"/>
      <c r="AG352" s="559"/>
      <c r="AH352" s="559"/>
      <c r="AI352" s="559"/>
      <c r="AJ352" s="559"/>
      <c r="AK352" s="559"/>
      <c r="AL352" s="559"/>
      <c r="AM352" s="559"/>
      <c r="AN352" s="559"/>
    </row>
    <row r="353">
      <c r="A353" s="559"/>
      <c r="B353" s="559"/>
      <c r="C353" s="559"/>
      <c r="D353" s="559"/>
      <c r="E353" s="559"/>
      <c r="F353" s="559"/>
      <c r="G353" s="559"/>
      <c r="H353" s="559"/>
      <c r="I353" s="559"/>
      <c r="J353" s="559"/>
      <c r="K353" s="559"/>
      <c r="L353" s="559"/>
      <c r="M353" s="559"/>
      <c r="N353" s="559"/>
      <c r="O353" s="559"/>
      <c r="P353" s="559"/>
      <c r="Q353" s="559"/>
      <c r="R353" s="559"/>
      <c r="S353" s="559"/>
      <c r="T353" s="559"/>
      <c r="U353" s="559"/>
      <c r="V353" s="559"/>
      <c r="W353" s="559"/>
      <c r="X353" s="559"/>
      <c r="Y353" s="559"/>
      <c r="Z353" s="559"/>
      <c r="AA353" s="559"/>
      <c r="AB353" s="559"/>
      <c r="AC353" s="559"/>
      <c r="AD353" s="559"/>
      <c r="AE353" s="559"/>
      <c r="AF353" s="559"/>
      <c r="AG353" s="559"/>
      <c r="AH353" s="559"/>
      <c r="AI353" s="559"/>
      <c r="AJ353" s="559"/>
      <c r="AK353" s="559"/>
      <c r="AL353" s="559"/>
      <c r="AM353" s="559"/>
      <c r="AN353" s="559"/>
    </row>
    <row r="354">
      <c r="A354" s="559"/>
      <c r="B354" s="559"/>
      <c r="C354" s="559"/>
      <c r="D354" s="559"/>
      <c r="E354" s="559"/>
      <c r="F354" s="559"/>
      <c r="G354" s="559"/>
      <c r="H354" s="559"/>
      <c r="I354" s="559"/>
      <c r="J354" s="559"/>
      <c r="K354" s="559"/>
      <c r="L354" s="559"/>
      <c r="M354" s="559"/>
      <c r="N354" s="559"/>
      <c r="O354" s="559"/>
      <c r="P354" s="559"/>
      <c r="Q354" s="559"/>
      <c r="R354" s="559"/>
      <c r="S354" s="559"/>
      <c r="T354" s="559"/>
      <c r="U354" s="559"/>
      <c r="V354" s="559"/>
      <c r="W354" s="559"/>
      <c r="X354" s="559"/>
      <c r="Y354" s="559"/>
      <c r="Z354" s="559"/>
      <c r="AA354" s="559"/>
      <c r="AB354" s="559"/>
      <c r="AC354" s="559"/>
      <c r="AD354" s="559"/>
      <c r="AE354" s="559"/>
      <c r="AF354" s="559"/>
      <c r="AG354" s="559"/>
      <c r="AH354" s="559"/>
      <c r="AI354" s="559"/>
      <c r="AJ354" s="559"/>
      <c r="AK354" s="559"/>
      <c r="AL354" s="559"/>
      <c r="AM354" s="559"/>
      <c r="AN354" s="559"/>
    </row>
    <row r="355">
      <c r="A355" s="559"/>
      <c r="B355" s="559"/>
      <c r="C355" s="559"/>
      <c r="D355" s="559"/>
      <c r="E355" s="559"/>
      <c r="F355" s="559"/>
      <c r="G355" s="559"/>
      <c r="H355" s="559"/>
      <c r="I355" s="559"/>
      <c r="J355" s="559"/>
      <c r="K355" s="559"/>
      <c r="L355" s="559"/>
      <c r="M355" s="559"/>
      <c r="N355" s="559"/>
      <c r="O355" s="559"/>
      <c r="P355" s="559"/>
      <c r="Q355" s="559"/>
      <c r="R355" s="559"/>
      <c r="S355" s="559"/>
      <c r="T355" s="559"/>
      <c r="U355" s="559"/>
      <c r="V355" s="559"/>
      <c r="W355" s="559"/>
      <c r="X355" s="559"/>
      <c r="Y355" s="559"/>
      <c r="Z355" s="559"/>
      <c r="AA355" s="559"/>
      <c r="AB355" s="559"/>
      <c r="AC355" s="559"/>
      <c r="AD355" s="559"/>
      <c r="AE355" s="559"/>
      <c r="AF355" s="559"/>
      <c r="AG355" s="559"/>
      <c r="AH355" s="559"/>
      <c r="AI355" s="559"/>
      <c r="AJ355" s="559"/>
      <c r="AK355" s="559"/>
      <c r="AL355" s="559"/>
      <c r="AM355" s="559"/>
      <c r="AN355" s="559"/>
    </row>
    <row r="356">
      <c r="A356" s="559"/>
      <c r="B356" s="559"/>
      <c r="C356" s="559"/>
      <c r="D356" s="559"/>
      <c r="E356" s="559"/>
      <c r="F356" s="559"/>
      <c r="G356" s="559"/>
      <c r="H356" s="559"/>
      <c r="I356" s="559"/>
      <c r="J356" s="559"/>
      <c r="K356" s="559"/>
      <c r="L356" s="559"/>
      <c r="M356" s="559"/>
      <c r="N356" s="559"/>
      <c r="O356" s="559"/>
      <c r="P356" s="559"/>
      <c r="Q356" s="559"/>
      <c r="R356" s="559"/>
      <c r="S356" s="559"/>
      <c r="T356" s="559"/>
      <c r="U356" s="559"/>
      <c r="V356" s="559"/>
      <c r="W356" s="559"/>
      <c r="X356" s="559"/>
      <c r="Y356" s="559"/>
      <c r="Z356" s="559"/>
      <c r="AA356" s="559"/>
      <c r="AB356" s="559"/>
      <c r="AC356" s="559"/>
      <c r="AD356" s="559"/>
      <c r="AE356" s="559"/>
      <c r="AF356" s="559"/>
      <c r="AG356" s="559"/>
      <c r="AH356" s="559"/>
      <c r="AI356" s="559"/>
      <c r="AJ356" s="559"/>
      <c r="AK356" s="559"/>
      <c r="AL356" s="559"/>
      <c r="AM356" s="559"/>
      <c r="AN356" s="559"/>
    </row>
    <row r="357">
      <c r="A357" s="559"/>
      <c r="B357" s="559"/>
      <c r="C357" s="559"/>
      <c r="D357" s="559"/>
      <c r="E357" s="559"/>
      <c r="F357" s="559"/>
      <c r="G357" s="559"/>
      <c r="H357" s="559"/>
      <c r="I357" s="559"/>
      <c r="J357" s="559"/>
      <c r="K357" s="559"/>
      <c r="L357" s="559"/>
      <c r="M357" s="559"/>
      <c r="N357" s="559"/>
      <c r="O357" s="559"/>
      <c r="P357" s="559"/>
      <c r="Q357" s="559"/>
      <c r="R357" s="559"/>
      <c r="S357" s="559"/>
      <c r="T357" s="559"/>
      <c r="U357" s="559"/>
      <c r="V357" s="559"/>
      <c r="W357" s="559"/>
      <c r="X357" s="559"/>
      <c r="Y357" s="559"/>
      <c r="Z357" s="559"/>
      <c r="AA357" s="559"/>
      <c r="AB357" s="559"/>
      <c r="AC357" s="559"/>
      <c r="AD357" s="559"/>
      <c r="AE357" s="559"/>
      <c r="AF357" s="559"/>
      <c r="AG357" s="559"/>
      <c r="AH357" s="559"/>
      <c r="AI357" s="559"/>
      <c r="AJ357" s="559"/>
      <c r="AK357" s="559"/>
      <c r="AL357" s="559"/>
      <c r="AM357" s="559"/>
      <c r="AN357" s="559"/>
    </row>
    <row r="358">
      <c r="A358" s="559"/>
      <c r="B358" s="559"/>
      <c r="C358" s="559"/>
      <c r="D358" s="559"/>
      <c r="E358" s="559"/>
      <c r="F358" s="559"/>
      <c r="G358" s="559"/>
      <c r="H358" s="559"/>
      <c r="I358" s="559"/>
      <c r="J358" s="559"/>
      <c r="K358" s="559"/>
      <c r="L358" s="559"/>
      <c r="M358" s="559"/>
      <c r="N358" s="559"/>
      <c r="O358" s="559"/>
      <c r="P358" s="559"/>
      <c r="Q358" s="559"/>
      <c r="R358" s="559"/>
      <c r="S358" s="559"/>
      <c r="T358" s="559"/>
      <c r="U358" s="559"/>
      <c r="V358" s="559"/>
      <c r="W358" s="559"/>
      <c r="X358" s="559"/>
      <c r="Y358" s="559"/>
      <c r="Z358" s="559"/>
      <c r="AA358" s="559"/>
      <c r="AB358" s="559"/>
      <c r="AC358" s="559"/>
      <c r="AD358" s="559"/>
      <c r="AE358" s="559"/>
      <c r="AF358" s="559"/>
      <c r="AG358" s="559"/>
      <c r="AH358" s="559"/>
      <c r="AI358" s="559"/>
      <c r="AJ358" s="559"/>
      <c r="AK358" s="559"/>
      <c r="AL358" s="559"/>
      <c r="AM358" s="559"/>
      <c r="AN358" s="559"/>
    </row>
    <row r="359">
      <c r="A359" s="559"/>
      <c r="B359" s="559"/>
      <c r="C359" s="559"/>
      <c r="D359" s="559"/>
      <c r="E359" s="559"/>
      <c r="F359" s="559"/>
      <c r="G359" s="559"/>
      <c r="H359" s="559"/>
      <c r="I359" s="559"/>
      <c r="J359" s="559"/>
      <c r="K359" s="559"/>
      <c r="L359" s="559"/>
      <c r="M359" s="559"/>
      <c r="N359" s="559"/>
      <c r="O359" s="559"/>
      <c r="P359" s="559"/>
      <c r="Q359" s="559"/>
      <c r="R359" s="559"/>
      <c r="S359" s="559"/>
      <c r="T359" s="559"/>
      <c r="U359" s="559"/>
      <c r="V359" s="559"/>
      <c r="W359" s="559"/>
      <c r="X359" s="559"/>
      <c r="Y359" s="559"/>
      <c r="Z359" s="559"/>
      <c r="AA359" s="559"/>
      <c r="AB359" s="559"/>
      <c r="AC359" s="559"/>
      <c r="AD359" s="559"/>
      <c r="AE359" s="559"/>
      <c r="AF359" s="559"/>
      <c r="AG359" s="559"/>
      <c r="AH359" s="559"/>
      <c r="AI359" s="559"/>
      <c r="AJ359" s="559"/>
      <c r="AK359" s="559"/>
      <c r="AL359" s="559"/>
      <c r="AM359" s="559"/>
      <c r="AN359" s="559"/>
    </row>
    <row r="360">
      <c r="A360" s="559"/>
      <c r="B360" s="559"/>
      <c r="C360" s="559"/>
      <c r="D360" s="559"/>
      <c r="E360" s="559"/>
      <c r="F360" s="559"/>
      <c r="G360" s="559"/>
      <c r="H360" s="559"/>
      <c r="I360" s="559"/>
      <c r="J360" s="559"/>
      <c r="K360" s="559"/>
      <c r="L360" s="559"/>
      <c r="M360" s="559"/>
      <c r="N360" s="559"/>
      <c r="O360" s="559"/>
      <c r="P360" s="559"/>
      <c r="Q360" s="559"/>
      <c r="R360" s="559"/>
      <c r="S360" s="559"/>
      <c r="T360" s="559"/>
      <c r="U360" s="559"/>
      <c r="V360" s="559"/>
      <c r="W360" s="559"/>
      <c r="X360" s="559"/>
      <c r="Y360" s="559"/>
      <c r="Z360" s="559"/>
      <c r="AA360" s="559"/>
      <c r="AB360" s="559"/>
      <c r="AC360" s="559"/>
      <c r="AD360" s="559"/>
      <c r="AE360" s="559"/>
      <c r="AF360" s="559"/>
      <c r="AG360" s="559"/>
      <c r="AH360" s="559"/>
      <c r="AI360" s="559"/>
      <c r="AJ360" s="559"/>
      <c r="AK360" s="559"/>
      <c r="AL360" s="559"/>
      <c r="AM360" s="559"/>
      <c r="AN360" s="559"/>
    </row>
    <row r="361">
      <c r="A361" s="559"/>
      <c r="B361" s="559"/>
      <c r="C361" s="559"/>
      <c r="D361" s="559"/>
      <c r="E361" s="559"/>
      <c r="F361" s="559"/>
      <c r="G361" s="559"/>
      <c r="H361" s="559"/>
      <c r="I361" s="559"/>
      <c r="J361" s="559"/>
      <c r="K361" s="559"/>
      <c r="L361" s="559"/>
      <c r="M361" s="559"/>
      <c r="N361" s="559"/>
      <c r="O361" s="559"/>
      <c r="P361" s="559"/>
      <c r="Q361" s="559"/>
      <c r="R361" s="559"/>
      <c r="S361" s="559"/>
      <c r="T361" s="559"/>
      <c r="U361" s="559"/>
      <c r="V361" s="559"/>
      <c r="W361" s="559"/>
      <c r="X361" s="559"/>
      <c r="Y361" s="559"/>
      <c r="Z361" s="559"/>
      <c r="AA361" s="559"/>
      <c r="AB361" s="559"/>
      <c r="AC361" s="559"/>
      <c r="AD361" s="559"/>
      <c r="AE361" s="559"/>
      <c r="AF361" s="559"/>
      <c r="AG361" s="559"/>
      <c r="AH361" s="559"/>
      <c r="AI361" s="559"/>
      <c r="AJ361" s="559"/>
      <c r="AK361" s="559"/>
      <c r="AL361" s="559"/>
      <c r="AM361" s="559"/>
      <c r="AN361" s="559"/>
    </row>
    <row r="362">
      <c r="A362" s="559"/>
      <c r="B362" s="559"/>
      <c r="C362" s="559"/>
      <c r="D362" s="559"/>
      <c r="E362" s="559"/>
      <c r="F362" s="559"/>
      <c r="G362" s="559"/>
      <c r="H362" s="559"/>
      <c r="I362" s="559"/>
      <c r="J362" s="559"/>
      <c r="K362" s="559"/>
      <c r="L362" s="559"/>
      <c r="M362" s="559"/>
      <c r="N362" s="559"/>
      <c r="O362" s="559"/>
      <c r="P362" s="559"/>
      <c r="Q362" s="559"/>
      <c r="R362" s="559"/>
      <c r="S362" s="559"/>
      <c r="T362" s="559"/>
      <c r="U362" s="559"/>
      <c r="V362" s="559"/>
      <c r="W362" s="559"/>
      <c r="X362" s="559"/>
      <c r="Y362" s="559"/>
      <c r="Z362" s="559"/>
      <c r="AA362" s="559"/>
      <c r="AB362" s="559"/>
      <c r="AC362" s="559"/>
      <c r="AD362" s="559"/>
      <c r="AE362" s="559"/>
      <c r="AF362" s="559"/>
      <c r="AG362" s="559"/>
      <c r="AH362" s="559"/>
      <c r="AI362" s="559"/>
      <c r="AJ362" s="559"/>
      <c r="AK362" s="559"/>
      <c r="AL362" s="559"/>
      <c r="AM362" s="559"/>
      <c r="AN362" s="559"/>
    </row>
    <row r="363">
      <c r="A363" s="559"/>
      <c r="B363" s="559"/>
      <c r="C363" s="559"/>
      <c r="D363" s="559"/>
      <c r="E363" s="559"/>
      <c r="F363" s="559"/>
      <c r="G363" s="559"/>
      <c r="H363" s="559"/>
      <c r="I363" s="559"/>
      <c r="J363" s="559"/>
      <c r="K363" s="559"/>
      <c r="L363" s="559"/>
      <c r="M363" s="559"/>
      <c r="N363" s="559"/>
      <c r="O363" s="559"/>
      <c r="P363" s="559"/>
      <c r="Q363" s="559"/>
      <c r="R363" s="559"/>
      <c r="S363" s="559"/>
      <c r="T363" s="559"/>
      <c r="U363" s="559"/>
      <c r="V363" s="559"/>
      <c r="W363" s="559"/>
      <c r="X363" s="559"/>
      <c r="Y363" s="559"/>
      <c r="Z363" s="559"/>
      <c r="AA363" s="559"/>
      <c r="AB363" s="559"/>
      <c r="AC363" s="559"/>
      <c r="AD363" s="559"/>
      <c r="AE363" s="559"/>
      <c r="AF363" s="559"/>
      <c r="AG363" s="559"/>
      <c r="AH363" s="559"/>
      <c r="AI363" s="559"/>
      <c r="AJ363" s="559"/>
      <c r="AK363" s="559"/>
      <c r="AL363" s="559"/>
      <c r="AM363" s="559"/>
      <c r="AN363" s="559"/>
    </row>
    <row r="364">
      <c r="A364" s="559"/>
      <c r="B364" s="559"/>
      <c r="C364" s="559"/>
      <c r="D364" s="559"/>
      <c r="E364" s="559"/>
      <c r="F364" s="559"/>
      <c r="G364" s="559"/>
      <c r="H364" s="559"/>
      <c r="I364" s="559"/>
      <c r="J364" s="559"/>
      <c r="K364" s="559"/>
      <c r="L364" s="559"/>
      <c r="M364" s="559"/>
      <c r="N364" s="559"/>
      <c r="O364" s="559"/>
      <c r="P364" s="559"/>
      <c r="Q364" s="559"/>
      <c r="R364" s="559"/>
      <c r="S364" s="559"/>
      <c r="T364" s="559"/>
      <c r="U364" s="559"/>
      <c r="V364" s="559"/>
      <c r="W364" s="559"/>
      <c r="X364" s="559"/>
      <c r="Y364" s="559"/>
      <c r="Z364" s="559"/>
      <c r="AA364" s="559"/>
      <c r="AB364" s="559"/>
      <c r="AC364" s="559"/>
      <c r="AD364" s="559"/>
      <c r="AE364" s="559"/>
      <c r="AF364" s="559"/>
      <c r="AG364" s="559"/>
      <c r="AH364" s="559"/>
      <c r="AI364" s="559"/>
      <c r="AJ364" s="559"/>
      <c r="AK364" s="559"/>
      <c r="AL364" s="559"/>
      <c r="AM364" s="559"/>
      <c r="AN364" s="559"/>
    </row>
    <row r="365">
      <c r="A365" s="559"/>
      <c r="B365" s="559"/>
      <c r="C365" s="559"/>
      <c r="D365" s="559"/>
      <c r="E365" s="559"/>
      <c r="F365" s="559"/>
      <c r="G365" s="559"/>
      <c r="H365" s="559"/>
      <c r="I365" s="559"/>
      <c r="J365" s="559"/>
      <c r="K365" s="559"/>
      <c r="L365" s="559"/>
      <c r="M365" s="559"/>
      <c r="N365" s="559"/>
      <c r="O365" s="559"/>
      <c r="P365" s="559"/>
      <c r="Q365" s="559"/>
      <c r="R365" s="559"/>
      <c r="S365" s="559"/>
      <c r="T365" s="559"/>
      <c r="U365" s="559"/>
      <c r="V365" s="559"/>
      <c r="W365" s="559"/>
      <c r="X365" s="559"/>
      <c r="Y365" s="559"/>
      <c r="Z365" s="559"/>
      <c r="AA365" s="559"/>
      <c r="AB365" s="559"/>
      <c r="AC365" s="559"/>
      <c r="AD365" s="559"/>
      <c r="AE365" s="559"/>
      <c r="AF365" s="559"/>
      <c r="AG365" s="559"/>
      <c r="AH365" s="559"/>
      <c r="AI365" s="559"/>
      <c r="AJ365" s="559"/>
      <c r="AK365" s="559"/>
      <c r="AL365" s="559"/>
      <c r="AM365" s="559"/>
      <c r="AN365" s="559"/>
    </row>
    <row r="366">
      <c r="A366" s="559"/>
      <c r="B366" s="559"/>
      <c r="C366" s="559"/>
      <c r="D366" s="559"/>
      <c r="E366" s="559"/>
      <c r="F366" s="559"/>
      <c r="G366" s="559"/>
      <c r="H366" s="559"/>
      <c r="I366" s="559"/>
      <c r="J366" s="559"/>
      <c r="K366" s="559"/>
      <c r="L366" s="559"/>
      <c r="M366" s="559"/>
      <c r="N366" s="559"/>
      <c r="O366" s="559"/>
      <c r="P366" s="559"/>
      <c r="Q366" s="559"/>
      <c r="R366" s="559"/>
      <c r="S366" s="559"/>
      <c r="T366" s="559"/>
      <c r="U366" s="559"/>
      <c r="V366" s="559"/>
      <c r="W366" s="559"/>
      <c r="X366" s="559"/>
      <c r="Y366" s="559"/>
      <c r="Z366" s="559"/>
      <c r="AA366" s="559"/>
      <c r="AB366" s="559"/>
      <c r="AC366" s="559"/>
      <c r="AD366" s="559"/>
      <c r="AE366" s="559"/>
      <c r="AF366" s="559"/>
      <c r="AG366" s="559"/>
      <c r="AH366" s="559"/>
      <c r="AI366" s="559"/>
      <c r="AJ366" s="559"/>
      <c r="AK366" s="559"/>
      <c r="AL366" s="559"/>
      <c r="AM366" s="559"/>
      <c r="AN366" s="559"/>
    </row>
    <row r="367">
      <c r="A367" s="559"/>
      <c r="B367" s="559"/>
      <c r="C367" s="559"/>
      <c r="D367" s="559"/>
      <c r="E367" s="559"/>
      <c r="F367" s="559"/>
      <c r="G367" s="559"/>
      <c r="H367" s="559"/>
      <c r="I367" s="559"/>
      <c r="J367" s="559"/>
      <c r="K367" s="559"/>
      <c r="L367" s="559"/>
      <c r="M367" s="559"/>
      <c r="N367" s="559"/>
      <c r="O367" s="559"/>
      <c r="P367" s="559"/>
      <c r="Q367" s="559"/>
      <c r="R367" s="559"/>
      <c r="S367" s="559"/>
      <c r="T367" s="559"/>
      <c r="U367" s="559"/>
      <c r="V367" s="559"/>
      <c r="W367" s="559"/>
      <c r="X367" s="559"/>
      <c r="Y367" s="559"/>
      <c r="Z367" s="559"/>
      <c r="AA367" s="559"/>
      <c r="AB367" s="559"/>
      <c r="AC367" s="559"/>
      <c r="AD367" s="559"/>
      <c r="AE367" s="559"/>
      <c r="AF367" s="559"/>
      <c r="AG367" s="559"/>
      <c r="AH367" s="559"/>
      <c r="AI367" s="559"/>
      <c r="AJ367" s="559"/>
      <c r="AK367" s="559"/>
      <c r="AL367" s="559"/>
      <c r="AM367" s="559"/>
      <c r="AN367" s="559"/>
    </row>
    <row r="368">
      <c r="A368" s="559"/>
      <c r="B368" s="559"/>
      <c r="C368" s="559"/>
      <c r="D368" s="559"/>
      <c r="E368" s="559"/>
      <c r="F368" s="559"/>
      <c r="G368" s="559"/>
      <c r="H368" s="559"/>
      <c r="I368" s="559"/>
      <c r="J368" s="559"/>
      <c r="K368" s="559"/>
      <c r="L368" s="559"/>
      <c r="M368" s="559"/>
      <c r="N368" s="559"/>
      <c r="O368" s="559"/>
      <c r="P368" s="559"/>
      <c r="Q368" s="559"/>
      <c r="R368" s="559"/>
      <c r="S368" s="559"/>
      <c r="T368" s="559"/>
      <c r="U368" s="559"/>
      <c r="V368" s="559"/>
      <c r="W368" s="559"/>
      <c r="X368" s="559"/>
      <c r="Y368" s="559"/>
      <c r="Z368" s="559"/>
      <c r="AA368" s="559"/>
      <c r="AB368" s="559"/>
      <c r="AC368" s="559"/>
      <c r="AD368" s="559"/>
      <c r="AE368" s="559"/>
      <c r="AF368" s="559"/>
      <c r="AG368" s="559"/>
      <c r="AH368" s="559"/>
      <c r="AI368" s="559"/>
      <c r="AJ368" s="559"/>
      <c r="AK368" s="559"/>
      <c r="AL368" s="559"/>
      <c r="AM368" s="559"/>
      <c r="AN368" s="559"/>
    </row>
    <row r="369">
      <c r="A369" s="559"/>
      <c r="B369" s="559"/>
      <c r="C369" s="559"/>
      <c r="D369" s="559"/>
      <c r="E369" s="559"/>
      <c r="F369" s="559"/>
      <c r="G369" s="559"/>
      <c r="H369" s="559"/>
      <c r="I369" s="559"/>
      <c r="J369" s="559"/>
      <c r="K369" s="559"/>
      <c r="L369" s="559"/>
      <c r="M369" s="559"/>
      <c r="N369" s="559"/>
      <c r="O369" s="559"/>
      <c r="P369" s="559"/>
      <c r="Q369" s="559"/>
      <c r="R369" s="559"/>
      <c r="S369" s="559"/>
      <c r="T369" s="559"/>
      <c r="U369" s="559"/>
      <c r="V369" s="559"/>
      <c r="W369" s="559"/>
      <c r="X369" s="559"/>
      <c r="Y369" s="559"/>
      <c r="Z369" s="559"/>
      <c r="AA369" s="559"/>
      <c r="AB369" s="559"/>
      <c r="AC369" s="559"/>
      <c r="AD369" s="559"/>
      <c r="AE369" s="559"/>
      <c r="AF369" s="559"/>
      <c r="AG369" s="559"/>
      <c r="AH369" s="559"/>
      <c r="AI369" s="559"/>
      <c r="AJ369" s="559"/>
      <c r="AK369" s="559"/>
      <c r="AL369" s="559"/>
      <c r="AM369" s="559"/>
      <c r="AN369" s="559"/>
    </row>
    <row r="370">
      <c r="A370" s="559"/>
      <c r="B370" s="559"/>
      <c r="C370" s="559"/>
      <c r="D370" s="559"/>
      <c r="E370" s="559"/>
      <c r="F370" s="559"/>
      <c r="G370" s="559"/>
      <c r="H370" s="559"/>
      <c r="I370" s="559"/>
      <c r="J370" s="559"/>
      <c r="K370" s="559"/>
      <c r="L370" s="559"/>
      <c r="M370" s="559"/>
      <c r="N370" s="559"/>
      <c r="O370" s="559"/>
      <c r="P370" s="559"/>
      <c r="Q370" s="559"/>
      <c r="R370" s="559"/>
      <c r="S370" s="559"/>
      <c r="T370" s="559"/>
      <c r="U370" s="559"/>
      <c r="V370" s="559"/>
      <c r="W370" s="559"/>
      <c r="X370" s="559"/>
      <c r="Y370" s="559"/>
      <c r="Z370" s="559"/>
      <c r="AA370" s="559"/>
      <c r="AB370" s="559"/>
      <c r="AC370" s="559"/>
      <c r="AD370" s="559"/>
      <c r="AE370" s="559"/>
      <c r="AF370" s="559"/>
      <c r="AG370" s="559"/>
      <c r="AH370" s="559"/>
      <c r="AI370" s="559"/>
      <c r="AJ370" s="559"/>
      <c r="AK370" s="559"/>
      <c r="AL370" s="559"/>
      <c r="AM370" s="559"/>
      <c r="AN370" s="559"/>
    </row>
    <row r="371">
      <c r="A371" s="559"/>
      <c r="B371" s="559"/>
      <c r="C371" s="559"/>
      <c r="D371" s="559"/>
      <c r="E371" s="559"/>
      <c r="F371" s="559"/>
      <c r="G371" s="559"/>
      <c r="H371" s="559"/>
      <c r="I371" s="559"/>
      <c r="J371" s="559"/>
      <c r="K371" s="559"/>
      <c r="L371" s="559"/>
      <c r="M371" s="559"/>
      <c r="N371" s="559"/>
      <c r="O371" s="559"/>
      <c r="P371" s="559"/>
      <c r="Q371" s="559"/>
      <c r="R371" s="559"/>
      <c r="S371" s="559"/>
      <c r="T371" s="559"/>
      <c r="U371" s="559"/>
      <c r="V371" s="559"/>
      <c r="W371" s="559"/>
      <c r="X371" s="559"/>
      <c r="Y371" s="559"/>
      <c r="Z371" s="559"/>
      <c r="AA371" s="559"/>
      <c r="AB371" s="559"/>
      <c r="AC371" s="559"/>
      <c r="AD371" s="559"/>
      <c r="AE371" s="559"/>
      <c r="AF371" s="559"/>
      <c r="AG371" s="559"/>
      <c r="AH371" s="559"/>
      <c r="AI371" s="559"/>
      <c r="AJ371" s="559"/>
      <c r="AK371" s="559"/>
      <c r="AL371" s="559"/>
      <c r="AM371" s="559"/>
      <c r="AN371" s="559"/>
    </row>
    <row r="372">
      <c r="A372" s="559"/>
      <c r="B372" s="559"/>
      <c r="C372" s="559"/>
      <c r="D372" s="559"/>
      <c r="E372" s="559"/>
      <c r="F372" s="559"/>
      <c r="G372" s="559"/>
      <c r="H372" s="559"/>
      <c r="I372" s="559"/>
      <c r="J372" s="559"/>
      <c r="K372" s="559"/>
      <c r="L372" s="559"/>
      <c r="M372" s="559"/>
      <c r="N372" s="559"/>
      <c r="O372" s="559"/>
      <c r="P372" s="559"/>
      <c r="Q372" s="559"/>
      <c r="R372" s="559"/>
      <c r="S372" s="559"/>
      <c r="T372" s="559"/>
      <c r="U372" s="559"/>
      <c r="V372" s="559"/>
      <c r="W372" s="559"/>
      <c r="X372" s="559"/>
      <c r="Y372" s="559"/>
      <c r="Z372" s="559"/>
      <c r="AA372" s="559"/>
      <c r="AB372" s="559"/>
      <c r="AC372" s="559"/>
      <c r="AD372" s="559"/>
      <c r="AE372" s="559"/>
      <c r="AF372" s="559"/>
      <c r="AG372" s="559"/>
      <c r="AH372" s="559"/>
      <c r="AI372" s="559"/>
      <c r="AJ372" s="559"/>
      <c r="AK372" s="559"/>
      <c r="AL372" s="559"/>
      <c r="AM372" s="559"/>
      <c r="AN372" s="559"/>
    </row>
    <row r="373">
      <c r="A373" s="559"/>
      <c r="B373" s="559"/>
      <c r="C373" s="559"/>
      <c r="D373" s="559"/>
      <c r="E373" s="559"/>
      <c r="F373" s="559"/>
      <c r="G373" s="559"/>
      <c r="H373" s="559"/>
      <c r="I373" s="559"/>
      <c r="J373" s="559"/>
      <c r="K373" s="559"/>
      <c r="L373" s="559"/>
      <c r="M373" s="559"/>
      <c r="N373" s="559"/>
      <c r="O373" s="559"/>
      <c r="P373" s="559"/>
      <c r="Q373" s="559"/>
      <c r="R373" s="559"/>
      <c r="S373" s="559"/>
      <c r="T373" s="559"/>
      <c r="U373" s="559"/>
      <c r="V373" s="559"/>
      <c r="W373" s="559"/>
      <c r="X373" s="559"/>
      <c r="Y373" s="559"/>
      <c r="Z373" s="559"/>
      <c r="AA373" s="559"/>
      <c r="AB373" s="559"/>
      <c r="AC373" s="559"/>
      <c r="AD373" s="559"/>
      <c r="AE373" s="559"/>
      <c r="AF373" s="559"/>
      <c r="AG373" s="559"/>
      <c r="AH373" s="559"/>
      <c r="AI373" s="559"/>
      <c r="AJ373" s="559"/>
      <c r="AK373" s="559"/>
      <c r="AL373" s="559"/>
      <c r="AM373" s="559"/>
      <c r="AN373" s="559"/>
    </row>
    <row r="374">
      <c r="A374" s="559"/>
      <c r="B374" s="559"/>
      <c r="C374" s="559"/>
      <c r="D374" s="559"/>
      <c r="E374" s="559"/>
      <c r="F374" s="559"/>
      <c r="G374" s="559"/>
      <c r="H374" s="559"/>
      <c r="I374" s="559"/>
      <c r="J374" s="559"/>
      <c r="K374" s="559"/>
      <c r="L374" s="559"/>
      <c r="M374" s="559"/>
      <c r="N374" s="559"/>
      <c r="O374" s="559"/>
      <c r="P374" s="559"/>
      <c r="Q374" s="559"/>
      <c r="R374" s="559"/>
      <c r="S374" s="559"/>
      <c r="T374" s="559"/>
      <c r="U374" s="559"/>
      <c r="V374" s="559"/>
      <c r="W374" s="559"/>
      <c r="X374" s="559"/>
      <c r="Y374" s="559"/>
      <c r="Z374" s="559"/>
      <c r="AA374" s="559"/>
      <c r="AB374" s="559"/>
      <c r="AC374" s="559"/>
      <c r="AD374" s="559"/>
      <c r="AE374" s="559"/>
      <c r="AF374" s="559"/>
      <c r="AG374" s="559"/>
      <c r="AH374" s="559"/>
      <c r="AI374" s="559"/>
      <c r="AJ374" s="559"/>
      <c r="AK374" s="559"/>
      <c r="AL374" s="559"/>
      <c r="AM374" s="559"/>
      <c r="AN374" s="559"/>
    </row>
    <row r="375">
      <c r="A375" s="559"/>
      <c r="B375" s="559"/>
      <c r="C375" s="559"/>
      <c r="D375" s="559"/>
      <c r="E375" s="559"/>
      <c r="F375" s="559"/>
      <c r="G375" s="559"/>
      <c r="H375" s="559"/>
      <c r="I375" s="559"/>
      <c r="J375" s="559"/>
      <c r="K375" s="559"/>
      <c r="L375" s="559"/>
      <c r="M375" s="559"/>
      <c r="N375" s="559"/>
      <c r="O375" s="559"/>
      <c r="P375" s="559"/>
      <c r="Q375" s="559"/>
      <c r="R375" s="559"/>
      <c r="S375" s="559"/>
      <c r="T375" s="559"/>
      <c r="U375" s="559"/>
      <c r="V375" s="559"/>
      <c r="W375" s="559"/>
      <c r="X375" s="559"/>
      <c r="Y375" s="559"/>
      <c r="Z375" s="559"/>
      <c r="AA375" s="559"/>
      <c r="AB375" s="559"/>
      <c r="AC375" s="559"/>
      <c r="AD375" s="559"/>
      <c r="AE375" s="559"/>
      <c r="AF375" s="559"/>
      <c r="AG375" s="559"/>
      <c r="AH375" s="559"/>
      <c r="AI375" s="559"/>
      <c r="AJ375" s="559"/>
      <c r="AK375" s="559"/>
      <c r="AL375" s="559"/>
      <c r="AM375" s="559"/>
      <c r="AN375" s="559"/>
    </row>
    <row r="376">
      <c r="A376" s="559"/>
      <c r="B376" s="559"/>
      <c r="C376" s="559"/>
      <c r="D376" s="559"/>
      <c r="E376" s="559"/>
      <c r="F376" s="559"/>
      <c r="G376" s="559"/>
      <c r="H376" s="559"/>
      <c r="I376" s="559"/>
      <c r="J376" s="559"/>
      <c r="K376" s="559"/>
      <c r="L376" s="559"/>
      <c r="M376" s="559"/>
      <c r="N376" s="559"/>
      <c r="O376" s="559"/>
      <c r="P376" s="559"/>
      <c r="Q376" s="559"/>
      <c r="R376" s="559"/>
      <c r="S376" s="559"/>
      <c r="T376" s="559"/>
      <c r="U376" s="559"/>
      <c r="V376" s="559"/>
      <c r="W376" s="559"/>
      <c r="X376" s="559"/>
      <c r="Y376" s="559"/>
      <c r="Z376" s="559"/>
      <c r="AA376" s="559"/>
      <c r="AB376" s="559"/>
      <c r="AC376" s="559"/>
      <c r="AD376" s="559"/>
      <c r="AE376" s="559"/>
      <c r="AF376" s="559"/>
      <c r="AG376" s="559"/>
      <c r="AH376" s="559"/>
      <c r="AI376" s="559"/>
      <c r="AJ376" s="559"/>
      <c r="AK376" s="559"/>
      <c r="AL376" s="559"/>
      <c r="AM376" s="559"/>
      <c r="AN376" s="559"/>
    </row>
    <row r="377">
      <c r="A377" s="559"/>
      <c r="B377" s="559"/>
      <c r="C377" s="559"/>
      <c r="D377" s="559"/>
      <c r="E377" s="559"/>
      <c r="F377" s="559"/>
      <c r="G377" s="559"/>
      <c r="H377" s="559"/>
      <c r="I377" s="559"/>
      <c r="J377" s="559"/>
      <c r="K377" s="559"/>
      <c r="L377" s="559"/>
      <c r="M377" s="559"/>
      <c r="N377" s="559"/>
      <c r="O377" s="559"/>
      <c r="P377" s="559"/>
      <c r="Q377" s="559"/>
      <c r="R377" s="559"/>
      <c r="S377" s="559"/>
      <c r="T377" s="559"/>
      <c r="U377" s="559"/>
      <c r="V377" s="559"/>
      <c r="W377" s="559"/>
      <c r="X377" s="559"/>
      <c r="Y377" s="559"/>
      <c r="Z377" s="559"/>
      <c r="AA377" s="559"/>
      <c r="AB377" s="559"/>
      <c r="AC377" s="559"/>
      <c r="AD377" s="559"/>
      <c r="AE377" s="559"/>
      <c r="AF377" s="559"/>
      <c r="AG377" s="559"/>
      <c r="AH377" s="559"/>
      <c r="AI377" s="559"/>
      <c r="AJ377" s="559"/>
      <c r="AK377" s="559"/>
      <c r="AL377" s="559"/>
      <c r="AM377" s="559"/>
      <c r="AN377" s="559"/>
    </row>
    <row r="378">
      <c r="A378" s="559"/>
      <c r="B378" s="559"/>
      <c r="C378" s="559"/>
      <c r="D378" s="559"/>
      <c r="E378" s="559"/>
      <c r="F378" s="559"/>
      <c r="G378" s="559"/>
      <c r="H378" s="559"/>
      <c r="I378" s="559"/>
      <c r="J378" s="559"/>
      <c r="K378" s="559"/>
      <c r="L378" s="559"/>
      <c r="M378" s="559"/>
      <c r="N378" s="559"/>
      <c r="O378" s="559"/>
      <c r="P378" s="559"/>
      <c r="Q378" s="559"/>
      <c r="R378" s="559"/>
      <c r="S378" s="559"/>
      <c r="T378" s="559"/>
      <c r="U378" s="559"/>
      <c r="V378" s="559"/>
      <c r="W378" s="559"/>
      <c r="X378" s="559"/>
      <c r="Y378" s="559"/>
      <c r="Z378" s="559"/>
      <c r="AA378" s="559"/>
      <c r="AB378" s="559"/>
      <c r="AC378" s="559"/>
      <c r="AD378" s="559"/>
      <c r="AE378" s="559"/>
      <c r="AF378" s="559"/>
      <c r="AG378" s="559"/>
      <c r="AH378" s="559"/>
      <c r="AI378" s="559"/>
      <c r="AJ378" s="559"/>
      <c r="AK378" s="559"/>
      <c r="AL378" s="559"/>
      <c r="AM378" s="559"/>
      <c r="AN378" s="559"/>
    </row>
    <row r="379">
      <c r="A379" s="559"/>
      <c r="B379" s="559"/>
      <c r="C379" s="559"/>
      <c r="D379" s="559"/>
      <c r="E379" s="559"/>
      <c r="F379" s="559"/>
      <c r="G379" s="559"/>
      <c r="H379" s="559"/>
      <c r="I379" s="559"/>
      <c r="J379" s="559"/>
      <c r="K379" s="559"/>
      <c r="L379" s="559"/>
      <c r="M379" s="559"/>
      <c r="N379" s="559"/>
      <c r="O379" s="559"/>
      <c r="P379" s="559"/>
      <c r="Q379" s="559"/>
      <c r="R379" s="559"/>
      <c r="S379" s="559"/>
      <c r="T379" s="559"/>
      <c r="U379" s="559"/>
      <c r="V379" s="559"/>
      <c r="W379" s="559"/>
      <c r="X379" s="559"/>
      <c r="Y379" s="559"/>
      <c r="Z379" s="559"/>
      <c r="AA379" s="559"/>
      <c r="AB379" s="559"/>
      <c r="AC379" s="559"/>
      <c r="AD379" s="559"/>
      <c r="AE379" s="559"/>
      <c r="AF379" s="559"/>
      <c r="AG379" s="559"/>
      <c r="AH379" s="559"/>
      <c r="AI379" s="559"/>
      <c r="AJ379" s="559"/>
      <c r="AK379" s="559"/>
      <c r="AL379" s="559"/>
      <c r="AM379" s="559"/>
      <c r="AN379" s="559"/>
    </row>
    <row r="380">
      <c r="A380" s="559"/>
      <c r="B380" s="559"/>
      <c r="C380" s="559"/>
      <c r="D380" s="559"/>
      <c r="E380" s="559"/>
      <c r="F380" s="559"/>
      <c r="G380" s="559"/>
      <c r="H380" s="559"/>
      <c r="I380" s="559"/>
      <c r="J380" s="559"/>
      <c r="K380" s="559"/>
      <c r="L380" s="559"/>
      <c r="M380" s="559"/>
      <c r="N380" s="559"/>
      <c r="O380" s="559"/>
      <c r="P380" s="559"/>
      <c r="Q380" s="559"/>
      <c r="R380" s="559"/>
      <c r="S380" s="559"/>
      <c r="T380" s="559"/>
      <c r="U380" s="559"/>
      <c r="V380" s="559"/>
      <c r="W380" s="559"/>
      <c r="X380" s="559"/>
      <c r="Y380" s="559"/>
      <c r="Z380" s="559"/>
      <c r="AA380" s="559"/>
      <c r="AB380" s="559"/>
      <c r="AC380" s="559"/>
      <c r="AD380" s="559"/>
      <c r="AE380" s="559"/>
      <c r="AF380" s="559"/>
      <c r="AG380" s="559"/>
      <c r="AH380" s="559"/>
      <c r="AI380" s="559"/>
      <c r="AJ380" s="559"/>
      <c r="AK380" s="559"/>
      <c r="AL380" s="559"/>
      <c r="AM380" s="559"/>
      <c r="AN380" s="559"/>
    </row>
    <row r="381">
      <c r="A381" s="559"/>
      <c r="B381" s="559"/>
      <c r="C381" s="559"/>
      <c r="D381" s="559"/>
      <c r="E381" s="559"/>
      <c r="F381" s="559"/>
      <c r="G381" s="559"/>
      <c r="H381" s="559"/>
      <c r="I381" s="559"/>
      <c r="J381" s="559"/>
      <c r="K381" s="559"/>
      <c r="L381" s="559"/>
      <c r="M381" s="559"/>
      <c r="N381" s="559"/>
      <c r="O381" s="559"/>
      <c r="P381" s="559"/>
      <c r="Q381" s="559"/>
      <c r="R381" s="559"/>
      <c r="S381" s="559"/>
      <c r="T381" s="559"/>
      <c r="U381" s="559"/>
      <c r="V381" s="559"/>
      <c r="W381" s="559"/>
      <c r="X381" s="559"/>
      <c r="Y381" s="559"/>
      <c r="Z381" s="559"/>
      <c r="AA381" s="559"/>
      <c r="AB381" s="559"/>
      <c r="AC381" s="559"/>
      <c r="AD381" s="559"/>
      <c r="AE381" s="559"/>
      <c r="AF381" s="559"/>
      <c r="AG381" s="559"/>
      <c r="AH381" s="559"/>
      <c r="AI381" s="559"/>
      <c r="AJ381" s="559"/>
      <c r="AK381" s="559"/>
      <c r="AL381" s="559"/>
      <c r="AM381" s="559"/>
      <c r="AN381" s="559"/>
    </row>
    <row r="382">
      <c r="A382" s="559"/>
      <c r="B382" s="559"/>
      <c r="C382" s="559"/>
      <c r="D382" s="559"/>
      <c r="E382" s="559"/>
      <c r="F382" s="559"/>
      <c r="G382" s="559"/>
      <c r="H382" s="559"/>
      <c r="I382" s="559"/>
      <c r="J382" s="559"/>
      <c r="K382" s="559"/>
      <c r="L382" s="559"/>
      <c r="M382" s="559"/>
      <c r="N382" s="559"/>
      <c r="O382" s="559"/>
      <c r="P382" s="559"/>
      <c r="Q382" s="559"/>
      <c r="R382" s="559"/>
      <c r="S382" s="559"/>
      <c r="T382" s="559"/>
      <c r="U382" s="559"/>
      <c r="V382" s="559"/>
      <c r="W382" s="559"/>
      <c r="X382" s="559"/>
      <c r="Y382" s="559"/>
      <c r="Z382" s="559"/>
      <c r="AA382" s="559"/>
      <c r="AB382" s="559"/>
      <c r="AC382" s="559"/>
      <c r="AD382" s="559"/>
      <c r="AE382" s="559"/>
      <c r="AF382" s="559"/>
      <c r="AG382" s="559"/>
      <c r="AH382" s="559"/>
      <c r="AI382" s="559"/>
      <c r="AJ382" s="559"/>
      <c r="AK382" s="559"/>
      <c r="AL382" s="559"/>
      <c r="AM382" s="559"/>
      <c r="AN382" s="559"/>
    </row>
    <row r="383">
      <c r="A383" s="559"/>
      <c r="B383" s="559"/>
      <c r="C383" s="559"/>
      <c r="D383" s="559"/>
      <c r="E383" s="559"/>
      <c r="F383" s="559"/>
      <c r="G383" s="559"/>
      <c r="H383" s="559"/>
      <c r="I383" s="559"/>
      <c r="J383" s="559"/>
      <c r="K383" s="559"/>
      <c r="L383" s="559"/>
      <c r="M383" s="559"/>
      <c r="N383" s="559"/>
      <c r="O383" s="559"/>
      <c r="P383" s="559"/>
      <c r="Q383" s="559"/>
      <c r="R383" s="559"/>
      <c r="S383" s="559"/>
      <c r="T383" s="559"/>
      <c r="U383" s="559"/>
      <c r="V383" s="559"/>
      <c r="W383" s="559"/>
      <c r="X383" s="559"/>
      <c r="Y383" s="559"/>
      <c r="Z383" s="559"/>
      <c r="AA383" s="559"/>
      <c r="AB383" s="559"/>
      <c r="AC383" s="559"/>
      <c r="AD383" s="559"/>
      <c r="AE383" s="559"/>
      <c r="AF383" s="559"/>
      <c r="AG383" s="559"/>
      <c r="AH383" s="559"/>
      <c r="AI383" s="559"/>
      <c r="AJ383" s="559"/>
      <c r="AK383" s="559"/>
      <c r="AL383" s="559"/>
      <c r="AM383" s="559"/>
      <c r="AN383" s="559"/>
    </row>
    <row r="384">
      <c r="A384" s="559"/>
      <c r="B384" s="559"/>
      <c r="C384" s="559"/>
      <c r="D384" s="559"/>
      <c r="E384" s="559"/>
      <c r="F384" s="559"/>
      <c r="G384" s="559"/>
      <c r="H384" s="559"/>
      <c r="I384" s="559"/>
      <c r="J384" s="559"/>
      <c r="K384" s="559"/>
      <c r="L384" s="559"/>
      <c r="M384" s="559"/>
      <c r="N384" s="559"/>
      <c r="O384" s="559"/>
      <c r="P384" s="559"/>
      <c r="Q384" s="559"/>
      <c r="R384" s="559"/>
      <c r="S384" s="559"/>
      <c r="T384" s="559"/>
      <c r="U384" s="559"/>
      <c r="V384" s="559"/>
      <c r="W384" s="559"/>
      <c r="X384" s="559"/>
      <c r="Y384" s="559"/>
      <c r="Z384" s="559"/>
      <c r="AA384" s="559"/>
      <c r="AB384" s="559"/>
      <c r="AC384" s="559"/>
      <c r="AD384" s="559"/>
      <c r="AE384" s="559"/>
      <c r="AF384" s="559"/>
      <c r="AG384" s="559"/>
      <c r="AH384" s="559"/>
      <c r="AI384" s="559"/>
      <c r="AJ384" s="559"/>
      <c r="AK384" s="559"/>
      <c r="AL384" s="559"/>
      <c r="AM384" s="559"/>
      <c r="AN384" s="559"/>
    </row>
    <row r="385">
      <c r="A385" s="559"/>
      <c r="B385" s="559"/>
      <c r="C385" s="559"/>
      <c r="D385" s="559"/>
      <c r="E385" s="559"/>
      <c r="F385" s="559"/>
      <c r="G385" s="559"/>
      <c r="H385" s="559"/>
      <c r="I385" s="559"/>
      <c r="J385" s="559"/>
      <c r="K385" s="559"/>
      <c r="L385" s="559"/>
      <c r="M385" s="559"/>
      <c r="N385" s="559"/>
      <c r="O385" s="559"/>
      <c r="P385" s="559"/>
      <c r="Q385" s="559"/>
      <c r="R385" s="559"/>
      <c r="S385" s="559"/>
      <c r="T385" s="559"/>
      <c r="U385" s="559"/>
      <c r="V385" s="559"/>
      <c r="W385" s="559"/>
      <c r="X385" s="559"/>
      <c r="Y385" s="559"/>
      <c r="Z385" s="559"/>
      <c r="AA385" s="559"/>
      <c r="AB385" s="559"/>
      <c r="AC385" s="559"/>
      <c r="AD385" s="559"/>
      <c r="AE385" s="559"/>
      <c r="AF385" s="559"/>
      <c r="AG385" s="559"/>
      <c r="AH385" s="559"/>
      <c r="AI385" s="559"/>
      <c r="AJ385" s="559"/>
      <c r="AK385" s="559"/>
      <c r="AL385" s="559"/>
      <c r="AM385" s="559"/>
      <c r="AN385" s="559"/>
    </row>
    <row r="386">
      <c r="A386" s="559"/>
      <c r="B386" s="559"/>
      <c r="C386" s="559"/>
      <c r="D386" s="559"/>
      <c r="E386" s="559"/>
      <c r="F386" s="559"/>
      <c r="G386" s="559"/>
      <c r="H386" s="559"/>
      <c r="I386" s="559"/>
      <c r="J386" s="559"/>
      <c r="K386" s="559"/>
      <c r="L386" s="559"/>
      <c r="M386" s="559"/>
      <c r="N386" s="559"/>
      <c r="O386" s="559"/>
      <c r="P386" s="559"/>
      <c r="Q386" s="559"/>
      <c r="R386" s="559"/>
      <c r="S386" s="559"/>
      <c r="T386" s="559"/>
      <c r="U386" s="559"/>
      <c r="V386" s="559"/>
      <c r="W386" s="559"/>
      <c r="X386" s="559"/>
      <c r="Y386" s="559"/>
      <c r="Z386" s="559"/>
      <c r="AA386" s="559"/>
      <c r="AB386" s="559"/>
      <c r="AC386" s="559"/>
      <c r="AD386" s="559"/>
      <c r="AE386" s="559"/>
      <c r="AF386" s="559"/>
      <c r="AG386" s="559"/>
      <c r="AH386" s="559"/>
      <c r="AI386" s="559"/>
      <c r="AJ386" s="559"/>
      <c r="AK386" s="559"/>
      <c r="AL386" s="559"/>
      <c r="AM386" s="559"/>
      <c r="AN386" s="559"/>
    </row>
    <row r="387">
      <c r="A387" s="559"/>
      <c r="B387" s="559"/>
      <c r="C387" s="559"/>
      <c r="D387" s="559"/>
      <c r="E387" s="559"/>
      <c r="F387" s="559"/>
      <c r="G387" s="559"/>
      <c r="H387" s="559"/>
      <c r="I387" s="559"/>
      <c r="J387" s="559"/>
      <c r="K387" s="559"/>
      <c r="L387" s="559"/>
      <c r="M387" s="559"/>
      <c r="N387" s="559"/>
      <c r="O387" s="559"/>
      <c r="P387" s="559"/>
      <c r="Q387" s="559"/>
      <c r="R387" s="559"/>
      <c r="S387" s="559"/>
      <c r="T387" s="559"/>
      <c r="U387" s="559"/>
      <c r="V387" s="559"/>
      <c r="W387" s="559"/>
      <c r="X387" s="559"/>
      <c r="Y387" s="559"/>
      <c r="Z387" s="559"/>
      <c r="AA387" s="559"/>
      <c r="AB387" s="559"/>
      <c r="AC387" s="559"/>
      <c r="AD387" s="559"/>
      <c r="AE387" s="559"/>
      <c r="AF387" s="559"/>
      <c r="AG387" s="559"/>
      <c r="AH387" s="559"/>
      <c r="AI387" s="559"/>
      <c r="AJ387" s="559"/>
      <c r="AK387" s="559"/>
      <c r="AL387" s="559"/>
      <c r="AM387" s="559"/>
      <c r="AN387" s="559"/>
    </row>
    <row r="388">
      <c r="A388" s="559"/>
      <c r="B388" s="559"/>
      <c r="C388" s="559"/>
      <c r="D388" s="559"/>
      <c r="E388" s="559"/>
      <c r="F388" s="559"/>
      <c r="G388" s="559"/>
      <c r="H388" s="559"/>
      <c r="I388" s="559"/>
      <c r="J388" s="559"/>
      <c r="K388" s="559"/>
      <c r="L388" s="559"/>
      <c r="M388" s="559"/>
      <c r="N388" s="559"/>
      <c r="O388" s="559"/>
      <c r="P388" s="559"/>
      <c r="Q388" s="559"/>
      <c r="R388" s="559"/>
      <c r="S388" s="559"/>
      <c r="T388" s="559"/>
      <c r="U388" s="559"/>
      <c r="V388" s="559"/>
      <c r="W388" s="559"/>
      <c r="X388" s="559"/>
      <c r="Y388" s="559"/>
      <c r="Z388" s="559"/>
      <c r="AA388" s="559"/>
      <c r="AB388" s="559"/>
      <c r="AC388" s="559"/>
      <c r="AD388" s="559"/>
      <c r="AE388" s="559"/>
      <c r="AF388" s="559"/>
      <c r="AG388" s="559"/>
      <c r="AH388" s="559"/>
      <c r="AI388" s="559"/>
      <c r="AJ388" s="559"/>
      <c r="AK388" s="559"/>
      <c r="AL388" s="559"/>
      <c r="AM388" s="559"/>
      <c r="AN388" s="559"/>
    </row>
    <row r="389">
      <c r="A389" s="559"/>
      <c r="B389" s="559"/>
      <c r="C389" s="559"/>
      <c r="D389" s="559"/>
      <c r="E389" s="559"/>
      <c r="F389" s="559"/>
      <c r="G389" s="559"/>
      <c r="H389" s="559"/>
      <c r="I389" s="559"/>
      <c r="J389" s="559"/>
      <c r="K389" s="559"/>
      <c r="L389" s="559"/>
      <c r="M389" s="559"/>
      <c r="N389" s="559"/>
      <c r="O389" s="559"/>
      <c r="P389" s="559"/>
      <c r="Q389" s="559"/>
      <c r="R389" s="559"/>
      <c r="S389" s="559"/>
      <c r="T389" s="559"/>
      <c r="U389" s="559"/>
      <c r="V389" s="559"/>
      <c r="W389" s="559"/>
      <c r="X389" s="559"/>
      <c r="Y389" s="559"/>
      <c r="Z389" s="559"/>
      <c r="AA389" s="559"/>
      <c r="AB389" s="559"/>
      <c r="AC389" s="559"/>
      <c r="AD389" s="559"/>
      <c r="AE389" s="559"/>
      <c r="AF389" s="559"/>
      <c r="AG389" s="559"/>
      <c r="AH389" s="559"/>
      <c r="AI389" s="559"/>
      <c r="AJ389" s="559"/>
      <c r="AK389" s="559"/>
      <c r="AL389" s="559"/>
      <c r="AM389" s="559"/>
      <c r="AN389" s="559"/>
    </row>
    <row r="390">
      <c r="A390" s="559"/>
      <c r="B390" s="559"/>
      <c r="C390" s="559"/>
      <c r="D390" s="559"/>
      <c r="E390" s="559"/>
      <c r="F390" s="559"/>
      <c r="G390" s="559"/>
      <c r="H390" s="559"/>
      <c r="I390" s="559"/>
      <c r="J390" s="559"/>
      <c r="K390" s="559"/>
      <c r="L390" s="559"/>
      <c r="M390" s="559"/>
      <c r="N390" s="559"/>
      <c r="O390" s="559"/>
      <c r="P390" s="559"/>
      <c r="Q390" s="559"/>
      <c r="R390" s="559"/>
      <c r="S390" s="559"/>
      <c r="T390" s="559"/>
      <c r="U390" s="559"/>
      <c r="V390" s="559"/>
      <c r="W390" s="559"/>
      <c r="X390" s="559"/>
      <c r="Y390" s="559"/>
      <c r="Z390" s="559"/>
      <c r="AA390" s="559"/>
      <c r="AB390" s="559"/>
      <c r="AC390" s="559"/>
      <c r="AD390" s="559"/>
      <c r="AE390" s="559"/>
      <c r="AF390" s="559"/>
      <c r="AG390" s="559"/>
      <c r="AH390" s="559"/>
      <c r="AI390" s="559"/>
      <c r="AJ390" s="559"/>
      <c r="AK390" s="559"/>
      <c r="AL390" s="559"/>
      <c r="AM390" s="559"/>
      <c r="AN390" s="559"/>
    </row>
    <row r="391">
      <c r="A391" s="559"/>
      <c r="B391" s="559"/>
      <c r="C391" s="559"/>
      <c r="D391" s="559"/>
      <c r="E391" s="559"/>
      <c r="F391" s="559"/>
      <c r="G391" s="559"/>
      <c r="H391" s="559"/>
      <c r="I391" s="559"/>
      <c r="J391" s="559"/>
      <c r="K391" s="559"/>
      <c r="L391" s="559"/>
      <c r="M391" s="559"/>
      <c r="N391" s="559"/>
      <c r="O391" s="559"/>
      <c r="P391" s="559"/>
      <c r="Q391" s="559"/>
      <c r="R391" s="559"/>
      <c r="S391" s="559"/>
      <c r="T391" s="559"/>
      <c r="U391" s="559"/>
      <c r="V391" s="559"/>
      <c r="W391" s="559"/>
      <c r="X391" s="559"/>
      <c r="Y391" s="559"/>
      <c r="Z391" s="559"/>
      <c r="AA391" s="559"/>
      <c r="AB391" s="559"/>
      <c r="AC391" s="559"/>
      <c r="AD391" s="559"/>
      <c r="AE391" s="559"/>
      <c r="AF391" s="559"/>
      <c r="AG391" s="559"/>
      <c r="AH391" s="559"/>
      <c r="AI391" s="559"/>
      <c r="AJ391" s="559"/>
      <c r="AK391" s="559"/>
      <c r="AL391" s="559"/>
      <c r="AM391" s="559"/>
      <c r="AN391" s="559"/>
    </row>
    <row r="392">
      <c r="A392" s="559"/>
      <c r="B392" s="559"/>
      <c r="C392" s="559"/>
      <c r="D392" s="559"/>
      <c r="E392" s="559"/>
      <c r="F392" s="559"/>
      <c r="G392" s="559"/>
      <c r="H392" s="559"/>
      <c r="I392" s="559"/>
      <c r="J392" s="559"/>
      <c r="K392" s="559"/>
      <c r="L392" s="559"/>
      <c r="M392" s="559"/>
      <c r="N392" s="559"/>
      <c r="O392" s="559"/>
      <c r="P392" s="559"/>
      <c r="Q392" s="559"/>
      <c r="R392" s="559"/>
      <c r="S392" s="559"/>
      <c r="T392" s="559"/>
      <c r="U392" s="559"/>
      <c r="V392" s="559"/>
      <c r="W392" s="559"/>
      <c r="X392" s="559"/>
      <c r="Y392" s="559"/>
      <c r="Z392" s="559"/>
      <c r="AA392" s="559"/>
      <c r="AB392" s="559"/>
      <c r="AC392" s="559"/>
      <c r="AD392" s="559"/>
      <c r="AE392" s="559"/>
      <c r="AF392" s="559"/>
      <c r="AG392" s="559"/>
      <c r="AH392" s="559"/>
      <c r="AI392" s="559"/>
      <c r="AJ392" s="559"/>
      <c r="AK392" s="559"/>
      <c r="AL392" s="559"/>
      <c r="AM392" s="559"/>
      <c r="AN392" s="559"/>
    </row>
    <row r="393">
      <c r="A393" s="559"/>
      <c r="B393" s="559"/>
      <c r="C393" s="559"/>
      <c r="D393" s="559"/>
      <c r="E393" s="559"/>
      <c r="F393" s="559"/>
      <c r="G393" s="559"/>
      <c r="H393" s="559"/>
      <c r="I393" s="559"/>
      <c r="J393" s="559"/>
      <c r="K393" s="559"/>
      <c r="L393" s="559"/>
      <c r="M393" s="559"/>
      <c r="N393" s="559"/>
      <c r="O393" s="559"/>
      <c r="P393" s="559"/>
      <c r="Q393" s="559"/>
      <c r="R393" s="559"/>
      <c r="S393" s="559"/>
      <c r="T393" s="559"/>
      <c r="U393" s="559"/>
      <c r="V393" s="559"/>
      <c r="W393" s="559"/>
      <c r="X393" s="559"/>
      <c r="Y393" s="559"/>
      <c r="Z393" s="559"/>
      <c r="AA393" s="559"/>
      <c r="AB393" s="559"/>
      <c r="AC393" s="559"/>
      <c r="AD393" s="559"/>
      <c r="AE393" s="559"/>
      <c r="AF393" s="559"/>
      <c r="AG393" s="559"/>
      <c r="AH393" s="559"/>
      <c r="AI393" s="559"/>
      <c r="AJ393" s="559"/>
      <c r="AK393" s="559"/>
      <c r="AL393" s="559"/>
      <c r="AM393" s="559"/>
      <c r="AN393" s="559"/>
    </row>
    <row r="394">
      <c r="A394" s="559"/>
      <c r="B394" s="559"/>
      <c r="C394" s="559"/>
      <c r="D394" s="559"/>
      <c r="E394" s="559"/>
      <c r="F394" s="559"/>
      <c r="G394" s="559"/>
      <c r="H394" s="559"/>
      <c r="I394" s="559"/>
      <c r="J394" s="559"/>
      <c r="K394" s="559"/>
      <c r="L394" s="559"/>
      <c r="M394" s="559"/>
      <c r="N394" s="559"/>
      <c r="O394" s="559"/>
      <c r="P394" s="559"/>
      <c r="Q394" s="559"/>
      <c r="R394" s="559"/>
      <c r="S394" s="559"/>
      <c r="T394" s="559"/>
      <c r="U394" s="559"/>
      <c r="V394" s="559"/>
      <c r="W394" s="559"/>
      <c r="X394" s="559"/>
      <c r="Y394" s="559"/>
      <c r="Z394" s="559"/>
      <c r="AA394" s="559"/>
      <c r="AB394" s="559"/>
      <c r="AC394" s="559"/>
      <c r="AD394" s="559"/>
      <c r="AE394" s="559"/>
      <c r="AF394" s="559"/>
      <c r="AG394" s="559"/>
      <c r="AH394" s="559"/>
      <c r="AI394" s="559"/>
      <c r="AJ394" s="559"/>
      <c r="AK394" s="559"/>
      <c r="AL394" s="559"/>
      <c r="AM394" s="559"/>
      <c r="AN394" s="559"/>
    </row>
    <row r="395">
      <c r="A395" s="559"/>
      <c r="B395" s="559"/>
      <c r="C395" s="559"/>
      <c r="D395" s="559"/>
      <c r="E395" s="559"/>
      <c r="F395" s="559"/>
      <c r="G395" s="559"/>
      <c r="H395" s="559"/>
      <c r="I395" s="559"/>
      <c r="J395" s="559"/>
      <c r="K395" s="559"/>
      <c r="L395" s="559"/>
      <c r="M395" s="559"/>
      <c r="N395" s="559"/>
      <c r="O395" s="559"/>
      <c r="P395" s="559"/>
      <c r="Q395" s="559"/>
      <c r="R395" s="559"/>
      <c r="S395" s="559"/>
      <c r="T395" s="559"/>
      <c r="U395" s="559"/>
      <c r="V395" s="559"/>
      <c r="W395" s="559"/>
      <c r="X395" s="559"/>
      <c r="Y395" s="559"/>
      <c r="Z395" s="559"/>
      <c r="AA395" s="559"/>
      <c r="AB395" s="559"/>
      <c r="AC395" s="559"/>
      <c r="AD395" s="559"/>
      <c r="AE395" s="559"/>
      <c r="AF395" s="559"/>
      <c r="AG395" s="559"/>
      <c r="AH395" s="559"/>
      <c r="AI395" s="559"/>
      <c r="AJ395" s="559"/>
      <c r="AK395" s="559"/>
      <c r="AL395" s="559"/>
      <c r="AM395" s="559"/>
      <c r="AN395" s="559"/>
    </row>
    <row r="396">
      <c r="A396" s="559"/>
      <c r="B396" s="559"/>
      <c r="C396" s="559"/>
      <c r="D396" s="559"/>
      <c r="E396" s="559"/>
      <c r="F396" s="559"/>
      <c r="G396" s="559"/>
      <c r="H396" s="559"/>
      <c r="I396" s="559"/>
      <c r="J396" s="559"/>
      <c r="K396" s="559"/>
      <c r="L396" s="559"/>
      <c r="M396" s="559"/>
      <c r="N396" s="559"/>
      <c r="O396" s="559"/>
      <c r="P396" s="559"/>
      <c r="Q396" s="559"/>
      <c r="R396" s="559"/>
      <c r="S396" s="559"/>
      <c r="T396" s="559"/>
      <c r="U396" s="559"/>
      <c r="V396" s="559"/>
      <c r="W396" s="559"/>
      <c r="X396" s="559"/>
      <c r="Y396" s="559"/>
      <c r="Z396" s="559"/>
      <c r="AA396" s="559"/>
      <c r="AB396" s="559"/>
      <c r="AC396" s="559"/>
      <c r="AD396" s="559"/>
      <c r="AE396" s="559"/>
      <c r="AF396" s="559"/>
      <c r="AG396" s="559"/>
      <c r="AH396" s="559"/>
      <c r="AI396" s="559"/>
      <c r="AJ396" s="559"/>
      <c r="AK396" s="559"/>
      <c r="AL396" s="559"/>
      <c r="AM396" s="559"/>
      <c r="AN396" s="559"/>
    </row>
    <row r="397">
      <c r="A397" s="559"/>
      <c r="B397" s="559"/>
      <c r="C397" s="559"/>
      <c r="D397" s="559"/>
      <c r="E397" s="559"/>
      <c r="F397" s="559"/>
      <c r="G397" s="559"/>
      <c r="H397" s="559"/>
      <c r="I397" s="559"/>
      <c r="J397" s="559"/>
      <c r="K397" s="559"/>
      <c r="L397" s="559"/>
      <c r="M397" s="559"/>
      <c r="N397" s="559"/>
      <c r="O397" s="559"/>
      <c r="P397" s="559"/>
      <c r="Q397" s="559"/>
      <c r="R397" s="559"/>
      <c r="S397" s="559"/>
      <c r="T397" s="559"/>
      <c r="U397" s="559"/>
      <c r="V397" s="559"/>
      <c r="W397" s="559"/>
      <c r="X397" s="559"/>
      <c r="Y397" s="559"/>
      <c r="Z397" s="559"/>
      <c r="AA397" s="559"/>
      <c r="AB397" s="559"/>
      <c r="AC397" s="559"/>
      <c r="AD397" s="559"/>
      <c r="AE397" s="559"/>
      <c r="AF397" s="559"/>
      <c r="AG397" s="559"/>
      <c r="AH397" s="559"/>
      <c r="AI397" s="559"/>
      <c r="AJ397" s="559"/>
      <c r="AK397" s="559"/>
      <c r="AL397" s="559"/>
      <c r="AM397" s="559"/>
      <c r="AN397" s="559"/>
    </row>
    <row r="398">
      <c r="A398" s="559"/>
      <c r="B398" s="559"/>
      <c r="C398" s="559"/>
      <c r="D398" s="559"/>
      <c r="E398" s="559"/>
      <c r="F398" s="559"/>
      <c r="G398" s="559"/>
      <c r="H398" s="559"/>
      <c r="I398" s="559"/>
      <c r="J398" s="559"/>
      <c r="K398" s="559"/>
      <c r="L398" s="559"/>
      <c r="M398" s="559"/>
      <c r="N398" s="559"/>
      <c r="O398" s="559"/>
      <c r="P398" s="559"/>
      <c r="Q398" s="559"/>
      <c r="R398" s="559"/>
      <c r="S398" s="559"/>
      <c r="T398" s="559"/>
      <c r="U398" s="559"/>
      <c r="V398" s="559"/>
      <c r="W398" s="559"/>
      <c r="X398" s="559"/>
      <c r="Y398" s="559"/>
      <c r="Z398" s="559"/>
      <c r="AA398" s="559"/>
      <c r="AB398" s="559"/>
      <c r="AC398" s="559"/>
      <c r="AD398" s="559"/>
      <c r="AE398" s="559"/>
      <c r="AF398" s="559"/>
      <c r="AG398" s="559"/>
      <c r="AH398" s="559"/>
      <c r="AI398" s="559"/>
      <c r="AJ398" s="559"/>
      <c r="AK398" s="559"/>
      <c r="AL398" s="559"/>
      <c r="AM398" s="559"/>
      <c r="AN398" s="559"/>
    </row>
    <row r="399">
      <c r="A399" s="559"/>
      <c r="B399" s="559"/>
      <c r="C399" s="559"/>
      <c r="D399" s="559"/>
      <c r="E399" s="559"/>
      <c r="F399" s="559"/>
      <c r="G399" s="559"/>
      <c r="H399" s="559"/>
      <c r="I399" s="559"/>
      <c r="J399" s="559"/>
      <c r="K399" s="559"/>
      <c r="L399" s="559"/>
      <c r="M399" s="559"/>
      <c r="N399" s="559"/>
      <c r="O399" s="559"/>
      <c r="P399" s="559"/>
      <c r="Q399" s="559"/>
      <c r="R399" s="559"/>
      <c r="S399" s="559"/>
      <c r="T399" s="559"/>
      <c r="U399" s="559"/>
      <c r="V399" s="559"/>
      <c r="W399" s="559"/>
      <c r="X399" s="559"/>
      <c r="Y399" s="559"/>
      <c r="Z399" s="559"/>
      <c r="AA399" s="559"/>
      <c r="AB399" s="559"/>
      <c r="AC399" s="559"/>
      <c r="AD399" s="559"/>
      <c r="AE399" s="559"/>
      <c r="AF399" s="559"/>
      <c r="AG399" s="559"/>
      <c r="AH399" s="559"/>
      <c r="AI399" s="559"/>
      <c r="AJ399" s="559"/>
      <c r="AK399" s="559"/>
      <c r="AL399" s="559"/>
      <c r="AM399" s="559"/>
      <c r="AN399" s="559"/>
    </row>
    <row r="400">
      <c r="A400" s="559"/>
      <c r="B400" s="559"/>
      <c r="C400" s="559"/>
      <c r="D400" s="559"/>
      <c r="E400" s="559"/>
      <c r="F400" s="559"/>
      <c r="G400" s="559"/>
      <c r="H400" s="559"/>
      <c r="I400" s="559"/>
      <c r="J400" s="559"/>
      <c r="K400" s="559"/>
      <c r="L400" s="559"/>
      <c r="M400" s="559"/>
      <c r="N400" s="559"/>
      <c r="O400" s="559"/>
      <c r="P400" s="559"/>
      <c r="Q400" s="559"/>
      <c r="R400" s="559"/>
      <c r="S400" s="559"/>
      <c r="T400" s="559"/>
      <c r="U400" s="559"/>
      <c r="V400" s="559"/>
      <c r="W400" s="559"/>
      <c r="X400" s="559"/>
      <c r="Y400" s="559"/>
      <c r="Z400" s="559"/>
      <c r="AA400" s="559"/>
      <c r="AB400" s="559"/>
      <c r="AC400" s="559"/>
      <c r="AD400" s="559"/>
      <c r="AE400" s="559"/>
      <c r="AF400" s="559"/>
      <c r="AG400" s="559"/>
      <c r="AH400" s="559"/>
      <c r="AI400" s="559"/>
      <c r="AJ400" s="559"/>
      <c r="AK400" s="559"/>
      <c r="AL400" s="559"/>
      <c r="AM400" s="559"/>
      <c r="AN400" s="559"/>
    </row>
    <row r="401">
      <c r="A401" s="559"/>
      <c r="B401" s="559"/>
      <c r="C401" s="559"/>
      <c r="D401" s="559"/>
      <c r="E401" s="559"/>
      <c r="F401" s="559"/>
      <c r="G401" s="559"/>
      <c r="H401" s="559"/>
      <c r="I401" s="559"/>
      <c r="J401" s="559"/>
      <c r="K401" s="559"/>
      <c r="L401" s="559"/>
      <c r="M401" s="559"/>
      <c r="N401" s="559"/>
      <c r="O401" s="559"/>
      <c r="P401" s="559"/>
      <c r="Q401" s="559"/>
      <c r="R401" s="559"/>
      <c r="S401" s="559"/>
      <c r="T401" s="559"/>
      <c r="U401" s="559"/>
      <c r="V401" s="559"/>
      <c r="W401" s="559"/>
      <c r="X401" s="559"/>
      <c r="Y401" s="559"/>
      <c r="Z401" s="559"/>
      <c r="AA401" s="559"/>
      <c r="AB401" s="559"/>
      <c r="AC401" s="559"/>
      <c r="AD401" s="559"/>
      <c r="AE401" s="559"/>
      <c r="AF401" s="559"/>
      <c r="AG401" s="559"/>
      <c r="AH401" s="559"/>
      <c r="AI401" s="559"/>
      <c r="AJ401" s="559"/>
      <c r="AK401" s="559"/>
      <c r="AL401" s="559"/>
      <c r="AM401" s="559"/>
      <c r="AN401" s="559"/>
    </row>
    <row r="402">
      <c r="A402" s="559"/>
      <c r="B402" s="559"/>
      <c r="C402" s="559"/>
      <c r="D402" s="559"/>
      <c r="E402" s="559"/>
      <c r="F402" s="559"/>
      <c r="G402" s="559"/>
      <c r="H402" s="559"/>
      <c r="I402" s="559"/>
      <c r="J402" s="559"/>
      <c r="K402" s="559"/>
      <c r="L402" s="559"/>
      <c r="M402" s="559"/>
      <c r="N402" s="559"/>
      <c r="O402" s="559"/>
      <c r="P402" s="559"/>
      <c r="Q402" s="559"/>
      <c r="R402" s="559"/>
      <c r="S402" s="559"/>
      <c r="T402" s="559"/>
      <c r="U402" s="559"/>
      <c r="V402" s="559"/>
      <c r="W402" s="559"/>
      <c r="X402" s="559"/>
      <c r="Y402" s="559"/>
      <c r="Z402" s="559"/>
      <c r="AA402" s="559"/>
      <c r="AB402" s="559"/>
      <c r="AC402" s="559"/>
      <c r="AD402" s="559"/>
      <c r="AE402" s="559"/>
      <c r="AF402" s="559"/>
      <c r="AG402" s="559"/>
      <c r="AH402" s="559"/>
      <c r="AI402" s="559"/>
      <c r="AJ402" s="559"/>
      <c r="AK402" s="559"/>
      <c r="AL402" s="559"/>
      <c r="AM402" s="559"/>
      <c r="AN402" s="559"/>
    </row>
    <row r="403">
      <c r="A403" s="559"/>
      <c r="B403" s="559"/>
      <c r="C403" s="559"/>
      <c r="D403" s="559"/>
      <c r="E403" s="559"/>
      <c r="F403" s="559"/>
      <c r="G403" s="559"/>
      <c r="H403" s="559"/>
      <c r="I403" s="559"/>
      <c r="J403" s="559"/>
      <c r="K403" s="559"/>
      <c r="L403" s="559"/>
      <c r="M403" s="559"/>
      <c r="N403" s="559"/>
      <c r="O403" s="559"/>
      <c r="P403" s="559"/>
      <c r="Q403" s="559"/>
      <c r="R403" s="559"/>
      <c r="S403" s="559"/>
      <c r="T403" s="559"/>
      <c r="U403" s="559"/>
      <c r="V403" s="559"/>
      <c r="W403" s="559"/>
      <c r="X403" s="559"/>
      <c r="Y403" s="559"/>
      <c r="Z403" s="559"/>
      <c r="AA403" s="559"/>
      <c r="AB403" s="559"/>
      <c r="AC403" s="559"/>
      <c r="AD403" s="559"/>
      <c r="AE403" s="559"/>
      <c r="AF403" s="559"/>
      <c r="AG403" s="559"/>
      <c r="AH403" s="559"/>
      <c r="AI403" s="559"/>
      <c r="AJ403" s="559"/>
      <c r="AK403" s="559"/>
      <c r="AL403" s="559"/>
      <c r="AM403" s="559"/>
      <c r="AN403" s="559"/>
    </row>
    <row r="404">
      <c r="A404" s="559"/>
      <c r="B404" s="559"/>
      <c r="C404" s="559"/>
      <c r="D404" s="559"/>
      <c r="E404" s="559"/>
      <c r="F404" s="559"/>
      <c r="G404" s="559"/>
      <c r="H404" s="559"/>
      <c r="I404" s="559"/>
      <c r="J404" s="559"/>
      <c r="K404" s="559"/>
      <c r="L404" s="559"/>
      <c r="M404" s="559"/>
      <c r="N404" s="559"/>
      <c r="O404" s="559"/>
      <c r="P404" s="559"/>
      <c r="Q404" s="559"/>
      <c r="R404" s="559"/>
      <c r="S404" s="559"/>
      <c r="T404" s="559"/>
      <c r="U404" s="559"/>
      <c r="V404" s="559"/>
      <c r="W404" s="559"/>
      <c r="X404" s="559"/>
      <c r="Y404" s="559"/>
      <c r="Z404" s="559"/>
      <c r="AA404" s="559"/>
      <c r="AB404" s="559"/>
      <c r="AC404" s="559"/>
      <c r="AD404" s="559"/>
      <c r="AE404" s="559"/>
      <c r="AF404" s="559"/>
      <c r="AG404" s="559"/>
      <c r="AH404" s="559"/>
      <c r="AI404" s="559"/>
      <c r="AJ404" s="559"/>
      <c r="AK404" s="559"/>
      <c r="AL404" s="559"/>
      <c r="AM404" s="559"/>
      <c r="AN404" s="559"/>
    </row>
    <row r="405">
      <c r="A405" s="559"/>
      <c r="B405" s="559"/>
      <c r="C405" s="559"/>
      <c r="D405" s="559"/>
      <c r="E405" s="559"/>
      <c r="F405" s="559"/>
      <c r="G405" s="559"/>
      <c r="H405" s="559"/>
      <c r="I405" s="559"/>
      <c r="J405" s="559"/>
      <c r="K405" s="559"/>
      <c r="L405" s="559"/>
      <c r="M405" s="559"/>
      <c r="N405" s="559"/>
      <c r="O405" s="559"/>
      <c r="P405" s="559"/>
      <c r="Q405" s="559"/>
      <c r="R405" s="559"/>
      <c r="S405" s="559"/>
      <c r="T405" s="559"/>
      <c r="U405" s="559"/>
      <c r="V405" s="559"/>
      <c r="W405" s="559"/>
      <c r="X405" s="559"/>
      <c r="Y405" s="559"/>
      <c r="Z405" s="559"/>
      <c r="AA405" s="559"/>
      <c r="AB405" s="559"/>
      <c r="AC405" s="559"/>
      <c r="AD405" s="559"/>
      <c r="AE405" s="559"/>
      <c r="AF405" s="559"/>
      <c r="AG405" s="559"/>
      <c r="AH405" s="559"/>
      <c r="AI405" s="559"/>
      <c r="AJ405" s="559"/>
      <c r="AK405" s="559"/>
      <c r="AL405" s="559"/>
      <c r="AM405" s="559"/>
      <c r="AN405" s="559"/>
    </row>
    <row r="406">
      <c r="A406" s="559"/>
      <c r="B406" s="559"/>
      <c r="C406" s="559"/>
      <c r="D406" s="559"/>
      <c r="E406" s="559"/>
      <c r="F406" s="559"/>
      <c r="G406" s="559"/>
      <c r="H406" s="559"/>
      <c r="I406" s="559"/>
      <c r="J406" s="559"/>
      <c r="K406" s="559"/>
      <c r="L406" s="559"/>
      <c r="M406" s="559"/>
      <c r="N406" s="559"/>
      <c r="O406" s="559"/>
      <c r="P406" s="559"/>
      <c r="Q406" s="559"/>
      <c r="R406" s="559"/>
      <c r="S406" s="559"/>
      <c r="T406" s="559"/>
      <c r="U406" s="559"/>
      <c r="V406" s="559"/>
      <c r="W406" s="559"/>
      <c r="X406" s="559"/>
      <c r="Y406" s="559"/>
      <c r="Z406" s="559"/>
      <c r="AA406" s="559"/>
      <c r="AB406" s="559"/>
      <c r="AC406" s="559"/>
      <c r="AD406" s="559"/>
      <c r="AE406" s="559"/>
      <c r="AF406" s="559"/>
      <c r="AG406" s="559"/>
      <c r="AH406" s="559"/>
      <c r="AI406" s="559"/>
      <c r="AJ406" s="559"/>
      <c r="AK406" s="559"/>
      <c r="AL406" s="559"/>
      <c r="AM406" s="559"/>
      <c r="AN406" s="559"/>
    </row>
    <row r="407">
      <c r="A407" s="559"/>
      <c r="B407" s="559"/>
      <c r="C407" s="559"/>
      <c r="D407" s="559"/>
      <c r="E407" s="559"/>
      <c r="F407" s="559"/>
      <c r="G407" s="559"/>
      <c r="H407" s="559"/>
      <c r="I407" s="559"/>
      <c r="J407" s="559"/>
      <c r="K407" s="559"/>
      <c r="L407" s="559"/>
      <c r="M407" s="559"/>
      <c r="N407" s="559"/>
      <c r="O407" s="559"/>
      <c r="P407" s="559"/>
      <c r="Q407" s="559"/>
      <c r="R407" s="559"/>
      <c r="S407" s="559"/>
      <c r="T407" s="559"/>
      <c r="U407" s="559"/>
      <c r="V407" s="559"/>
      <c r="W407" s="559"/>
      <c r="X407" s="559"/>
      <c r="Y407" s="559"/>
      <c r="Z407" s="559"/>
      <c r="AA407" s="559"/>
      <c r="AB407" s="559"/>
      <c r="AC407" s="559"/>
      <c r="AD407" s="559"/>
      <c r="AE407" s="559"/>
      <c r="AF407" s="559"/>
      <c r="AG407" s="559"/>
      <c r="AH407" s="559"/>
      <c r="AI407" s="559"/>
      <c r="AJ407" s="559"/>
      <c r="AK407" s="559"/>
      <c r="AL407" s="559"/>
      <c r="AM407" s="559"/>
      <c r="AN407" s="559"/>
    </row>
    <row r="408">
      <c r="A408" s="559"/>
      <c r="B408" s="559"/>
      <c r="C408" s="559"/>
      <c r="D408" s="559"/>
      <c r="E408" s="559"/>
      <c r="F408" s="559"/>
      <c r="G408" s="559"/>
      <c r="H408" s="559"/>
      <c r="I408" s="559"/>
      <c r="J408" s="559"/>
      <c r="K408" s="559"/>
      <c r="L408" s="559"/>
      <c r="M408" s="559"/>
      <c r="N408" s="559"/>
      <c r="O408" s="559"/>
      <c r="P408" s="559"/>
      <c r="Q408" s="559"/>
      <c r="R408" s="559"/>
      <c r="S408" s="559"/>
      <c r="T408" s="559"/>
      <c r="U408" s="559"/>
      <c r="V408" s="559"/>
      <c r="W408" s="559"/>
      <c r="X408" s="559"/>
      <c r="Y408" s="559"/>
      <c r="Z408" s="559"/>
      <c r="AA408" s="559"/>
      <c r="AB408" s="559"/>
      <c r="AC408" s="559"/>
      <c r="AD408" s="559"/>
      <c r="AE408" s="559"/>
      <c r="AF408" s="559"/>
      <c r="AG408" s="559"/>
      <c r="AH408" s="559"/>
      <c r="AI408" s="559"/>
      <c r="AJ408" s="559"/>
      <c r="AK408" s="559"/>
      <c r="AL408" s="559"/>
      <c r="AM408" s="559"/>
      <c r="AN408" s="559"/>
    </row>
    <row r="409">
      <c r="A409" s="559"/>
      <c r="B409" s="559"/>
      <c r="C409" s="559"/>
      <c r="D409" s="559"/>
      <c r="E409" s="559"/>
      <c r="F409" s="559"/>
      <c r="G409" s="559"/>
      <c r="H409" s="559"/>
      <c r="I409" s="559"/>
      <c r="J409" s="559"/>
      <c r="K409" s="559"/>
      <c r="L409" s="559"/>
      <c r="M409" s="559"/>
      <c r="N409" s="559"/>
      <c r="O409" s="559"/>
      <c r="P409" s="559"/>
      <c r="Q409" s="559"/>
      <c r="R409" s="559"/>
      <c r="S409" s="559"/>
      <c r="T409" s="559"/>
      <c r="U409" s="559"/>
      <c r="V409" s="559"/>
      <c r="W409" s="559"/>
      <c r="X409" s="559"/>
      <c r="Y409" s="559"/>
      <c r="Z409" s="559"/>
      <c r="AA409" s="559"/>
      <c r="AB409" s="559"/>
      <c r="AC409" s="559"/>
      <c r="AD409" s="559"/>
      <c r="AE409" s="559"/>
      <c r="AF409" s="559"/>
      <c r="AG409" s="559"/>
      <c r="AH409" s="559"/>
      <c r="AI409" s="559"/>
      <c r="AJ409" s="559"/>
      <c r="AK409" s="559"/>
      <c r="AL409" s="559"/>
      <c r="AM409" s="559"/>
      <c r="AN409" s="559"/>
    </row>
    <row r="410">
      <c r="A410" s="559"/>
      <c r="B410" s="559"/>
      <c r="C410" s="559"/>
      <c r="D410" s="559"/>
      <c r="E410" s="559"/>
      <c r="F410" s="559"/>
      <c r="G410" s="559"/>
      <c r="H410" s="559"/>
      <c r="I410" s="559"/>
      <c r="J410" s="559"/>
      <c r="K410" s="559"/>
      <c r="L410" s="559"/>
      <c r="M410" s="559"/>
      <c r="N410" s="559"/>
      <c r="O410" s="559"/>
      <c r="P410" s="559"/>
      <c r="Q410" s="559"/>
      <c r="R410" s="559"/>
      <c r="S410" s="559"/>
      <c r="T410" s="559"/>
      <c r="U410" s="559"/>
      <c r="V410" s="559"/>
      <c r="W410" s="559"/>
      <c r="X410" s="559"/>
      <c r="Y410" s="559"/>
      <c r="Z410" s="559"/>
      <c r="AA410" s="559"/>
      <c r="AB410" s="559"/>
      <c r="AC410" s="559"/>
      <c r="AD410" s="559"/>
      <c r="AE410" s="559"/>
      <c r="AF410" s="559"/>
      <c r="AG410" s="559"/>
      <c r="AH410" s="559"/>
      <c r="AI410" s="559"/>
      <c r="AJ410" s="559"/>
      <c r="AK410" s="559"/>
      <c r="AL410" s="559"/>
      <c r="AM410" s="559"/>
      <c r="AN410" s="559"/>
    </row>
    <row r="411">
      <c r="A411" s="559"/>
      <c r="B411" s="559"/>
      <c r="C411" s="559"/>
      <c r="D411" s="559"/>
      <c r="E411" s="559"/>
      <c r="F411" s="559"/>
      <c r="G411" s="559"/>
      <c r="H411" s="559"/>
      <c r="I411" s="559"/>
      <c r="J411" s="559"/>
      <c r="K411" s="559"/>
      <c r="L411" s="559"/>
      <c r="M411" s="559"/>
      <c r="N411" s="559"/>
      <c r="O411" s="559"/>
      <c r="P411" s="559"/>
      <c r="Q411" s="559"/>
      <c r="R411" s="559"/>
      <c r="S411" s="559"/>
      <c r="T411" s="559"/>
      <c r="U411" s="559"/>
      <c r="V411" s="559"/>
      <c r="W411" s="559"/>
      <c r="X411" s="559"/>
      <c r="Y411" s="559"/>
      <c r="Z411" s="559"/>
      <c r="AA411" s="559"/>
      <c r="AB411" s="559"/>
      <c r="AC411" s="559"/>
      <c r="AD411" s="559"/>
      <c r="AE411" s="559"/>
      <c r="AF411" s="559"/>
      <c r="AG411" s="559"/>
      <c r="AH411" s="559"/>
      <c r="AI411" s="559"/>
      <c r="AJ411" s="559"/>
      <c r="AK411" s="559"/>
      <c r="AL411" s="559"/>
      <c r="AM411" s="559"/>
      <c r="AN411" s="559"/>
    </row>
    <row r="412">
      <c r="A412" s="559"/>
      <c r="B412" s="559"/>
      <c r="C412" s="559"/>
      <c r="D412" s="559"/>
      <c r="E412" s="559"/>
      <c r="F412" s="559"/>
      <c r="G412" s="559"/>
      <c r="H412" s="559"/>
      <c r="I412" s="559"/>
      <c r="J412" s="559"/>
      <c r="K412" s="559"/>
      <c r="L412" s="559"/>
      <c r="M412" s="559"/>
      <c r="N412" s="559"/>
      <c r="O412" s="559"/>
      <c r="P412" s="559"/>
      <c r="Q412" s="559"/>
      <c r="R412" s="559"/>
      <c r="S412" s="559"/>
      <c r="T412" s="559"/>
      <c r="U412" s="559"/>
      <c r="V412" s="559"/>
      <c r="W412" s="559"/>
      <c r="X412" s="559"/>
      <c r="Y412" s="559"/>
      <c r="Z412" s="559"/>
      <c r="AA412" s="559"/>
      <c r="AB412" s="559"/>
      <c r="AC412" s="559"/>
      <c r="AD412" s="559"/>
      <c r="AE412" s="559"/>
      <c r="AF412" s="559"/>
      <c r="AG412" s="559"/>
      <c r="AH412" s="559"/>
      <c r="AI412" s="559"/>
      <c r="AJ412" s="559"/>
      <c r="AK412" s="559"/>
      <c r="AL412" s="559"/>
      <c r="AM412" s="559"/>
      <c r="AN412" s="559"/>
    </row>
    <row r="413">
      <c r="A413" s="559"/>
      <c r="B413" s="559"/>
      <c r="C413" s="559"/>
      <c r="D413" s="559"/>
      <c r="E413" s="559"/>
      <c r="F413" s="559"/>
      <c r="G413" s="559"/>
      <c r="H413" s="559"/>
      <c r="I413" s="559"/>
      <c r="J413" s="559"/>
      <c r="K413" s="559"/>
      <c r="L413" s="559"/>
      <c r="M413" s="559"/>
      <c r="N413" s="559"/>
      <c r="O413" s="559"/>
      <c r="P413" s="559"/>
      <c r="Q413" s="559"/>
      <c r="R413" s="559"/>
      <c r="S413" s="559"/>
      <c r="T413" s="559"/>
      <c r="U413" s="559"/>
      <c r="V413" s="559"/>
      <c r="W413" s="559"/>
      <c r="X413" s="559"/>
      <c r="Y413" s="559"/>
      <c r="Z413" s="559"/>
      <c r="AA413" s="559"/>
      <c r="AB413" s="559"/>
      <c r="AC413" s="559"/>
      <c r="AD413" s="559"/>
      <c r="AE413" s="559"/>
      <c r="AF413" s="559"/>
      <c r="AG413" s="559"/>
      <c r="AH413" s="559"/>
      <c r="AI413" s="559"/>
      <c r="AJ413" s="559"/>
      <c r="AK413" s="559"/>
      <c r="AL413" s="559"/>
      <c r="AM413" s="559"/>
      <c r="AN413" s="559"/>
    </row>
    <row r="414">
      <c r="A414" s="559"/>
      <c r="B414" s="559"/>
      <c r="C414" s="559"/>
      <c r="D414" s="559"/>
      <c r="E414" s="559"/>
      <c r="F414" s="559"/>
      <c r="G414" s="559"/>
      <c r="H414" s="559"/>
      <c r="I414" s="559"/>
      <c r="J414" s="559"/>
      <c r="K414" s="559"/>
      <c r="L414" s="559"/>
      <c r="M414" s="559"/>
      <c r="N414" s="559"/>
      <c r="O414" s="559"/>
      <c r="P414" s="559"/>
      <c r="Q414" s="559"/>
      <c r="R414" s="559"/>
      <c r="S414" s="559"/>
      <c r="T414" s="559"/>
      <c r="U414" s="559"/>
      <c r="V414" s="559"/>
      <c r="W414" s="559"/>
      <c r="X414" s="559"/>
      <c r="Y414" s="559"/>
      <c r="Z414" s="559"/>
      <c r="AA414" s="559"/>
      <c r="AB414" s="559"/>
      <c r="AC414" s="559"/>
      <c r="AD414" s="559"/>
      <c r="AE414" s="559"/>
      <c r="AF414" s="559"/>
      <c r="AG414" s="559"/>
      <c r="AH414" s="559"/>
      <c r="AI414" s="559"/>
      <c r="AJ414" s="559"/>
      <c r="AK414" s="559"/>
      <c r="AL414" s="559"/>
      <c r="AM414" s="559"/>
      <c r="AN414" s="559"/>
    </row>
    <row r="415">
      <c r="A415" s="559"/>
      <c r="B415" s="559"/>
      <c r="C415" s="559"/>
      <c r="D415" s="559"/>
      <c r="E415" s="559"/>
      <c r="F415" s="559"/>
      <c r="G415" s="559"/>
      <c r="H415" s="559"/>
      <c r="I415" s="559"/>
      <c r="J415" s="559"/>
      <c r="K415" s="559"/>
      <c r="L415" s="559"/>
      <c r="M415" s="559"/>
      <c r="N415" s="559"/>
      <c r="O415" s="559"/>
      <c r="P415" s="559"/>
      <c r="Q415" s="559"/>
      <c r="R415" s="559"/>
      <c r="S415" s="559"/>
      <c r="T415" s="559"/>
      <c r="U415" s="559"/>
      <c r="V415" s="559"/>
      <c r="W415" s="559"/>
      <c r="X415" s="559"/>
      <c r="Y415" s="559"/>
      <c r="Z415" s="559"/>
      <c r="AA415" s="559"/>
      <c r="AB415" s="559"/>
      <c r="AC415" s="559"/>
      <c r="AD415" s="559"/>
      <c r="AE415" s="559"/>
      <c r="AF415" s="559"/>
      <c r="AG415" s="559"/>
      <c r="AH415" s="559"/>
      <c r="AI415" s="559"/>
      <c r="AJ415" s="559"/>
      <c r="AK415" s="559"/>
      <c r="AL415" s="559"/>
      <c r="AM415" s="559"/>
      <c r="AN415" s="559"/>
    </row>
    <row r="416">
      <c r="A416" s="559"/>
      <c r="B416" s="559"/>
      <c r="C416" s="559"/>
      <c r="D416" s="559"/>
      <c r="E416" s="559"/>
      <c r="F416" s="559"/>
      <c r="G416" s="559"/>
      <c r="H416" s="559"/>
      <c r="I416" s="559"/>
      <c r="J416" s="559"/>
      <c r="K416" s="559"/>
      <c r="L416" s="559"/>
      <c r="M416" s="559"/>
      <c r="N416" s="559"/>
      <c r="O416" s="559"/>
      <c r="P416" s="559"/>
      <c r="Q416" s="559"/>
      <c r="R416" s="559"/>
      <c r="S416" s="559"/>
      <c r="T416" s="559"/>
      <c r="U416" s="559"/>
      <c r="V416" s="559"/>
      <c r="W416" s="559"/>
      <c r="X416" s="559"/>
      <c r="Y416" s="559"/>
      <c r="Z416" s="559"/>
      <c r="AA416" s="559"/>
      <c r="AB416" s="559"/>
      <c r="AC416" s="559"/>
      <c r="AD416" s="559"/>
      <c r="AE416" s="559"/>
      <c r="AF416" s="559"/>
      <c r="AG416" s="559"/>
      <c r="AH416" s="559"/>
      <c r="AI416" s="559"/>
      <c r="AJ416" s="559"/>
      <c r="AK416" s="559"/>
      <c r="AL416" s="559"/>
      <c r="AM416" s="559"/>
      <c r="AN416" s="559"/>
    </row>
    <row r="417">
      <c r="A417" s="559"/>
      <c r="B417" s="559"/>
      <c r="C417" s="559"/>
      <c r="D417" s="559"/>
      <c r="E417" s="559"/>
      <c r="F417" s="559"/>
      <c r="G417" s="559"/>
      <c r="H417" s="559"/>
      <c r="I417" s="559"/>
      <c r="J417" s="559"/>
      <c r="K417" s="559"/>
      <c r="L417" s="559"/>
      <c r="M417" s="559"/>
      <c r="N417" s="559"/>
      <c r="O417" s="559"/>
      <c r="P417" s="559"/>
      <c r="Q417" s="559"/>
      <c r="R417" s="559"/>
      <c r="S417" s="559"/>
      <c r="T417" s="559"/>
      <c r="U417" s="559"/>
      <c r="V417" s="559"/>
      <c r="W417" s="559"/>
      <c r="X417" s="559"/>
      <c r="Y417" s="559"/>
      <c r="Z417" s="559"/>
      <c r="AA417" s="559"/>
      <c r="AB417" s="559"/>
      <c r="AC417" s="559"/>
      <c r="AD417" s="559"/>
      <c r="AE417" s="559"/>
      <c r="AF417" s="559"/>
      <c r="AG417" s="559"/>
      <c r="AH417" s="559"/>
      <c r="AI417" s="559"/>
      <c r="AJ417" s="559"/>
      <c r="AK417" s="559"/>
      <c r="AL417" s="559"/>
      <c r="AM417" s="559"/>
      <c r="AN417" s="559"/>
    </row>
    <row r="418">
      <c r="A418" s="559"/>
      <c r="B418" s="559"/>
      <c r="C418" s="559"/>
      <c r="D418" s="559"/>
      <c r="E418" s="559"/>
      <c r="F418" s="559"/>
      <c r="G418" s="559"/>
      <c r="H418" s="559"/>
      <c r="I418" s="559"/>
      <c r="J418" s="559"/>
      <c r="K418" s="559"/>
      <c r="L418" s="559"/>
      <c r="M418" s="559"/>
      <c r="N418" s="559"/>
      <c r="O418" s="559"/>
      <c r="P418" s="559"/>
      <c r="Q418" s="559"/>
      <c r="R418" s="559"/>
      <c r="S418" s="559"/>
      <c r="T418" s="559"/>
      <c r="U418" s="559"/>
      <c r="V418" s="559"/>
      <c r="W418" s="559"/>
      <c r="X418" s="559"/>
      <c r="Y418" s="559"/>
      <c r="Z418" s="559"/>
      <c r="AA418" s="559"/>
      <c r="AB418" s="559"/>
      <c r="AC418" s="559"/>
      <c r="AD418" s="559"/>
      <c r="AE418" s="559"/>
      <c r="AF418" s="559"/>
      <c r="AG418" s="559"/>
      <c r="AH418" s="559"/>
      <c r="AI418" s="559"/>
      <c r="AJ418" s="559"/>
      <c r="AK418" s="559"/>
      <c r="AL418" s="559"/>
      <c r="AM418" s="559"/>
      <c r="AN418" s="559"/>
    </row>
    <row r="419">
      <c r="A419" s="559"/>
      <c r="B419" s="559"/>
      <c r="C419" s="559"/>
      <c r="D419" s="559"/>
      <c r="E419" s="559"/>
      <c r="F419" s="559"/>
      <c r="G419" s="559"/>
      <c r="H419" s="559"/>
      <c r="I419" s="559"/>
      <c r="J419" s="559"/>
      <c r="K419" s="559"/>
      <c r="L419" s="559"/>
      <c r="M419" s="559"/>
      <c r="N419" s="559"/>
      <c r="O419" s="559"/>
      <c r="P419" s="559"/>
      <c r="Q419" s="559"/>
      <c r="R419" s="559"/>
      <c r="S419" s="559"/>
      <c r="T419" s="559"/>
      <c r="U419" s="559"/>
      <c r="V419" s="559"/>
      <c r="W419" s="559"/>
      <c r="X419" s="559"/>
      <c r="Y419" s="559"/>
      <c r="Z419" s="559"/>
      <c r="AA419" s="559"/>
      <c r="AB419" s="559"/>
      <c r="AC419" s="559"/>
      <c r="AD419" s="559"/>
      <c r="AE419" s="559"/>
      <c r="AF419" s="559"/>
      <c r="AG419" s="559"/>
      <c r="AH419" s="559"/>
      <c r="AI419" s="559"/>
      <c r="AJ419" s="559"/>
      <c r="AK419" s="559"/>
      <c r="AL419" s="559"/>
      <c r="AM419" s="559"/>
      <c r="AN419" s="559"/>
    </row>
    <row r="420">
      <c r="A420" s="559"/>
      <c r="B420" s="559"/>
      <c r="C420" s="559"/>
      <c r="D420" s="559"/>
      <c r="E420" s="559"/>
      <c r="F420" s="559"/>
      <c r="G420" s="559"/>
      <c r="H420" s="559"/>
      <c r="I420" s="559"/>
      <c r="J420" s="559"/>
      <c r="K420" s="559"/>
      <c r="L420" s="559"/>
      <c r="M420" s="559"/>
      <c r="N420" s="559"/>
      <c r="O420" s="559"/>
      <c r="P420" s="559"/>
      <c r="Q420" s="559"/>
      <c r="R420" s="559"/>
      <c r="S420" s="559"/>
      <c r="T420" s="559"/>
      <c r="U420" s="559"/>
      <c r="V420" s="559"/>
      <c r="W420" s="559"/>
      <c r="X420" s="559"/>
      <c r="Y420" s="559"/>
      <c r="Z420" s="559"/>
      <c r="AA420" s="559"/>
      <c r="AB420" s="559"/>
      <c r="AC420" s="559"/>
      <c r="AD420" s="559"/>
      <c r="AE420" s="559"/>
      <c r="AF420" s="559"/>
      <c r="AG420" s="559"/>
      <c r="AH420" s="559"/>
      <c r="AI420" s="559"/>
      <c r="AJ420" s="559"/>
      <c r="AK420" s="559"/>
      <c r="AL420" s="559"/>
      <c r="AM420" s="559"/>
      <c r="AN420" s="559"/>
    </row>
    <row r="421">
      <c r="A421" s="559"/>
      <c r="B421" s="559"/>
      <c r="C421" s="559"/>
      <c r="D421" s="559"/>
      <c r="E421" s="559"/>
      <c r="F421" s="559"/>
      <c r="G421" s="559"/>
      <c r="H421" s="559"/>
      <c r="I421" s="559"/>
      <c r="J421" s="559"/>
      <c r="K421" s="559"/>
      <c r="L421" s="559"/>
      <c r="M421" s="559"/>
      <c r="N421" s="559"/>
      <c r="O421" s="559"/>
      <c r="P421" s="559"/>
      <c r="Q421" s="559"/>
      <c r="R421" s="559"/>
      <c r="S421" s="559"/>
      <c r="T421" s="559"/>
      <c r="U421" s="559"/>
      <c r="V421" s="559"/>
      <c r="W421" s="559"/>
      <c r="X421" s="559"/>
      <c r="Y421" s="559"/>
      <c r="Z421" s="559"/>
      <c r="AA421" s="559"/>
      <c r="AB421" s="559"/>
      <c r="AC421" s="559"/>
      <c r="AD421" s="559"/>
      <c r="AE421" s="559"/>
      <c r="AF421" s="559"/>
      <c r="AG421" s="559"/>
      <c r="AH421" s="559"/>
      <c r="AI421" s="559"/>
      <c r="AJ421" s="559"/>
      <c r="AK421" s="559"/>
      <c r="AL421" s="559"/>
      <c r="AM421" s="559"/>
      <c r="AN421" s="559"/>
    </row>
    <row r="422">
      <c r="A422" s="559"/>
      <c r="B422" s="559"/>
      <c r="C422" s="559"/>
      <c r="D422" s="559"/>
      <c r="E422" s="559"/>
      <c r="F422" s="559"/>
      <c r="G422" s="559"/>
      <c r="H422" s="559"/>
      <c r="I422" s="559"/>
      <c r="J422" s="559"/>
      <c r="K422" s="559"/>
      <c r="L422" s="559"/>
      <c r="M422" s="559"/>
      <c r="N422" s="559"/>
      <c r="O422" s="559"/>
      <c r="P422" s="559"/>
      <c r="Q422" s="559"/>
      <c r="R422" s="559"/>
      <c r="S422" s="559"/>
      <c r="T422" s="559"/>
      <c r="U422" s="559"/>
      <c r="V422" s="559"/>
      <c r="W422" s="559"/>
      <c r="X422" s="559"/>
      <c r="Y422" s="559"/>
      <c r="Z422" s="559"/>
      <c r="AA422" s="559"/>
      <c r="AB422" s="559"/>
      <c r="AC422" s="559"/>
      <c r="AD422" s="559"/>
      <c r="AE422" s="559"/>
      <c r="AF422" s="559"/>
      <c r="AG422" s="559"/>
      <c r="AH422" s="559"/>
      <c r="AI422" s="559"/>
      <c r="AJ422" s="559"/>
      <c r="AK422" s="559"/>
      <c r="AL422" s="559"/>
      <c r="AM422" s="559"/>
      <c r="AN422" s="559"/>
    </row>
    <row r="423">
      <c r="A423" s="559"/>
      <c r="B423" s="559"/>
      <c r="C423" s="559"/>
      <c r="D423" s="559"/>
      <c r="E423" s="559"/>
      <c r="F423" s="559"/>
      <c r="G423" s="559"/>
      <c r="H423" s="559"/>
      <c r="I423" s="559"/>
      <c r="J423" s="559"/>
      <c r="K423" s="559"/>
      <c r="L423" s="559"/>
      <c r="M423" s="559"/>
      <c r="N423" s="559"/>
      <c r="O423" s="559"/>
      <c r="P423" s="559"/>
      <c r="Q423" s="559"/>
      <c r="R423" s="559"/>
      <c r="S423" s="559"/>
      <c r="T423" s="559"/>
      <c r="U423" s="559"/>
      <c r="V423" s="559"/>
      <c r="W423" s="559"/>
      <c r="X423" s="559"/>
      <c r="Y423" s="559"/>
      <c r="Z423" s="559"/>
      <c r="AA423" s="559"/>
      <c r="AB423" s="559"/>
      <c r="AC423" s="559"/>
      <c r="AD423" s="559"/>
      <c r="AE423" s="559"/>
      <c r="AF423" s="559"/>
      <c r="AG423" s="559"/>
      <c r="AH423" s="559"/>
      <c r="AI423" s="559"/>
      <c r="AJ423" s="559"/>
      <c r="AK423" s="559"/>
      <c r="AL423" s="559"/>
      <c r="AM423" s="559"/>
      <c r="AN423" s="559"/>
    </row>
    <row r="424">
      <c r="A424" s="559"/>
      <c r="B424" s="559"/>
      <c r="C424" s="559"/>
      <c r="D424" s="559"/>
      <c r="E424" s="559"/>
      <c r="F424" s="559"/>
      <c r="G424" s="559"/>
      <c r="H424" s="559"/>
      <c r="I424" s="559"/>
      <c r="J424" s="559"/>
      <c r="K424" s="559"/>
      <c r="L424" s="559"/>
      <c r="M424" s="559"/>
      <c r="N424" s="559"/>
      <c r="O424" s="559"/>
      <c r="P424" s="559"/>
      <c r="Q424" s="559"/>
      <c r="R424" s="559"/>
      <c r="S424" s="559"/>
      <c r="T424" s="559"/>
      <c r="U424" s="559"/>
      <c r="V424" s="559"/>
      <c r="W424" s="559"/>
      <c r="X424" s="559"/>
      <c r="Y424" s="559"/>
      <c r="Z424" s="559"/>
      <c r="AA424" s="559"/>
      <c r="AB424" s="559"/>
      <c r="AC424" s="559"/>
      <c r="AD424" s="559"/>
      <c r="AE424" s="559"/>
      <c r="AF424" s="559"/>
      <c r="AG424" s="559"/>
      <c r="AH424" s="559"/>
      <c r="AI424" s="559"/>
      <c r="AJ424" s="559"/>
      <c r="AK424" s="559"/>
      <c r="AL424" s="559"/>
      <c r="AM424" s="559"/>
      <c r="AN424" s="559"/>
    </row>
    <row r="425">
      <c r="A425" s="559"/>
      <c r="B425" s="559"/>
      <c r="C425" s="559"/>
      <c r="D425" s="559"/>
      <c r="E425" s="559"/>
      <c r="F425" s="559"/>
      <c r="G425" s="559"/>
      <c r="H425" s="559"/>
      <c r="I425" s="559"/>
      <c r="J425" s="559"/>
      <c r="K425" s="559"/>
      <c r="L425" s="559"/>
      <c r="M425" s="559"/>
      <c r="N425" s="559"/>
      <c r="O425" s="559"/>
      <c r="P425" s="559"/>
      <c r="Q425" s="559"/>
      <c r="R425" s="559"/>
      <c r="S425" s="559"/>
      <c r="T425" s="559"/>
      <c r="U425" s="559"/>
      <c r="V425" s="559"/>
      <c r="W425" s="559"/>
      <c r="X425" s="559"/>
      <c r="Y425" s="559"/>
      <c r="Z425" s="559"/>
      <c r="AA425" s="559"/>
      <c r="AB425" s="559"/>
      <c r="AC425" s="559"/>
      <c r="AD425" s="559"/>
      <c r="AE425" s="559"/>
      <c r="AF425" s="559"/>
      <c r="AG425" s="559"/>
      <c r="AH425" s="559"/>
      <c r="AI425" s="559"/>
      <c r="AJ425" s="559"/>
      <c r="AK425" s="559"/>
      <c r="AL425" s="559"/>
      <c r="AM425" s="559"/>
      <c r="AN425" s="559"/>
    </row>
    <row r="426">
      <c r="A426" s="559"/>
      <c r="B426" s="559"/>
      <c r="C426" s="559"/>
      <c r="D426" s="559"/>
      <c r="E426" s="559"/>
      <c r="F426" s="559"/>
      <c r="G426" s="559"/>
      <c r="H426" s="559"/>
      <c r="I426" s="559"/>
      <c r="J426" s="559"/>
      <c r="K426" s="559"/>
      <c r="L426" s="559"/>
      <c r="M426" s="559"/>
      <c r="N426" s="559"/>
      <c r="O426" s="559"/>
      <c r="P426" s="559"/>
      <c r="Q426" s="559"/>
      <c r="R426" s="559"/>
      <c r="S426" s="559"/>
      <c r="T426" s="559"/>
      <c r="U426" s="559"/>
      <c r="V426" s="559"/>
      <c r="W426" s="559"/>
      <c r="X426" s="559"/>
      <c r="Y426" s="559"/>
      <c r="Z426" s="559"/>
      <c r="AA426" s="559"/>
      <c r="AB426" s="559"/>
      <c r="AC426" s="559"/>
      <c r="AD426" s="559"/>
      <c r="AE426" s="559"/>
      <c r="AF426" s="559"/>
      <c r="AG426" s="559"/>
      <c r="AH426" s="559"/>
      <c r="AI426" s="559"/>
      <c r="AJ426" s="559"/>
      <c r="AK426" s="559"/>
      <c r="AL426" s="559"/>
      <c r="AM426" s="559"/>
      <c r="AN426" s="559"/>
    </row>
    <row r="427">
      <c r="A427" s="559"/>
      <c r="B427" s="559"/>
      <c r="C427" s="559"/>
      <c r="D427" s="559"/>
      <c r="E427" s="559"/>
      <c r="F427" s="559"/>
      <c r="G427" s="559"/>
      <c r="H427" s="559"/>
      <c r="I427" s="559"/>
      <c r="J427" s="559"/>
      <c r="K427" s="559"/>
      <c r="L427" s="559"/>
      <c r="M427" s="559"/>
      <c r="N427" s="559"/>
      <c r="O427" s="559"/>
      <c r="P427" s="559"/>
      <c r="Q427" s="559"/>
      <c r="R427" s="559"/>
      <c r="S427" s="559"/>
      <c r="T427" s="559"/>
      <c r="U427" s="559"/>
      <c r="V427" s="559"/>
      <c r="W427" s="559"/>
      <c r="X427" s="559"/>
      <c r="Y427" s="559"/>
      <c r="Z427" s="559"/>
      <c r="AA427" s="559"/>
      <c r="AB427" s="559"/>
      <c r="AC427" s="559"/>
      <c r="AD427" s="559"/>
      <c r="AE427" s="559"/>
      <c r="AF427" s="559"/>
      <c r="AG427" s="559"/>
      <c r="AH427" s="559"/>
      <c r="AI427" s="559"/>
      <c r="AJ427" s="559"/>
      <c r="AK427" s="559"/>
      <c r="AL427" s="559"/>
      <c r="AM427" s="559"/>
      <c r="AN427" s="559"/>
    </row>
    <row r="428">
      <c r="A428" s="559"/>
      <c r="B428" s="559"/>
      <c r="C428" s="559"/>
      <c r="D428" s="559"/>
      <c r="E428" s="559"/>
      <c r="F428" s="559"/>
      <c r="G428" s="559"/>
      <c r="H428" s="559"/>
      <c r="I428" s="559"/>
      <c r="J428" s="559"/>
      <c r="K428" s="559"/>
      <c r="L428" s="559"/>
      <c r="M428" s="559"/>
      <c r="N428" s="559"/>
      <c r="O428" s="559"/>
      <c r="P428" s="559"/>
      <c r="Q428" s="559"/>
      <c r="R428" s="559"/>
      <c r="S428" s="559"/>
      <c r="T428" s="559"/>
      <c r="U428" s="559"/>
      <c r="V428" s="559"/>
      <c r="W428" s="559"/>
      <c r="X428" s="559"/>
      <c r="Y428" s="559"/>
      <c r="Z428" s="559"/>
      <c r="AA428" s="559"/>
      <c r="AB428" s="559"/>
      <c r="AC428" s="559"/>
      <c r="AD428" s="559"/>
      <c r="AE428" s="559"/>
      <c r="AF428" s="559"/>
      <c r="AG428" s="559"/>
      <c r="AH428" s="559"/>
      <c r="AI428" s="559"/>
      <c r="AJ428" s="559"/>
      <c r="AK428" s="559"/>
      <c r="AL428" s="559"/>
      <c r="AM428" s="559"/>
      <c r="AN428" s="559"/>
    </row>
    <row r="429">
      <c r="A429" s="559"/>
      <c r="B429" s="559"/>
      <c r="C429" s="559"/>
      <c r="D429" s="559"/>
      <c r="E429" s="559"/>
      <c r="F429" s="559"/>
      <c r="G429" s="559"/>
      <c r="H429" s="559"/>
      <c r="I429" s="559"/>
      <c r="J429" s="559"/>
      <c r="K429" s="559"/>
      <c r="L429" s="559"/>
      <c r="M429" s="559"/>
      <c r="N429" s="559"/>
      <c r="O429" s="559"/>
      <c r="P429" s="559"/>
      <c r="Q429" s="559"/>
      <c r="R429" s="559"/>
      <c r="S429" s="559"/>
      <c r="T429" s="559"/>
      <c r="U429" s="559"/>
      <c r="V429" s="559"/>
      <c r="W429" s="559"/>
      <c r="X429" s="559"/>
      <c r="Y429" s="559"/>
      <c r="Z429" s="559"/>
      <c r="AA429" s="559"/>
      <c r="AB429" s="559"/>
      <c r="AC429" s="559"/>
      <c r="AD429" s="559"/>
      <c r="AE429" s="559"/>
      <c r="AF429" s="559"/>
      <c r="AG429" s="559"/>
      <c r="AH429" s="559"/>
      <c r="AI429" s="559"/>
      <c r="AJ429" s="559"/>
      <c r="AK429" s="559"/>
      <c r="AL429" s="559"/>
      <c r="AM429" s="559"/>
      <c r="AN429" s="559"/>
    </row>
    <row r="430">
      <c r="A430" s="559"/>
      <c r="B430" s="559"/>
      <c r="C430" s="559"/>
      <c r="D430" s="559"/>
      <c r="E430" s="559"/>
      <c r="F430" s="559"/>
      <c r="G430" s="559"/>
      <c r="H430" s="559"/>
      <c r="I430" s="559"/>
      <c r="J430" s="559"/>
      <c r="K430" s="559"/>
      <c r="L430" s="559"/>
      <c r="M430" s="559"/>
      <c r="N430" s="559"/>
      <c r="O430" s="559"/>
      <c r="P430" s="559"/>
      <c r="Q430" s="559"/>
      <c r="R430" s="559"/>
      <c r="S430" s="559"/>
      <c r="T430" s="559"/>
      <c r="U430" s="559"/>
      <c r="V430" s="559"/>
      <c r="W430" s="559"/>
      <c r="X430" s="559"/>
      <c r="Y430" s="559"/>
      <c r="Z430" s="559"/>
      <c r="AA430" s="559"/>
      <c r="AB430" s="559"/>
      <c r="AC430" s="559"/>
      <c r="AD430" s="559"/>
      <c r="AE430" s="559"/>
      <c r="AF430" s="559"/>
      <c r="AG430" s="559"/>
      <c r="AH430" s="559"/>
      <c r="AI430" s="559"/>
      <c r="AJ430" s="559"/>
      <c r="AK430" s="559"/>
      <c r="AL430" s="559"/>
      <c r="AM430" s="559"/>
      <c r="AN430" s="559"/>
    </row>
    <row r="431">
      <c r="A431" s="559"/>
      <c r="B431" s="559"/>
      <c r="C431" s="559"/>
      <c r="D431" s="559"/>
      <c r="E431" s="559"/>
      <c r="F431" s="559"/>
      <c r="G431" s="559"/>
      <c r="H431" s="559"/>
      <c r="I431" s="559"/>
      <c r="J431" s="559"/>
      <c r="K431" s="559"/>
      <c r="L431" s="559"/>
      <c r="M431" s="559"/>
      <c r="N431" s="559"/>
      <c r="O431" s="559"/>
      <c r="P431" s="559"/>
      <c r="Q431" s="559"/>
      <c r="R431" s="559"/>
      <c r="S431" s="559"/>
      <c r="T431" s="559"/>
      <c r="U431" s="559"/>
      <c r="V431" s="559"/>
      <c r="W431" s="559"/>
      <c r="X431" s="559"/>
      <c r="Y431" s="559"/>
      <c r="Z431" s="559"/>
      <c r="AA431" s="559"/>
      <c r="AB431" s="559"/>
      <c r="AC431" s="559"/>
      <c r="AD431" s="559"/>
      <c r="AE431" s="559"/>
      <c r="AF431" s="559"/>
      <c r="AG431" s="559"/>
      <c r="AH431" s="559"/>
      <c r="AI431" s="559"/>
      <c r="AJ431" s="559"/>
      <c r="AK431" s="559"/>
      <c r="AL431" s="559"/>
      <c r="AM431" s="559"/>
      <c r="AN431" s="559"/>
    </row>
    <row r="432">
      <c r="A432" s="559"/>
      <c r="B432" s="559"/>
      <c r="C432" s="559"/>
      <c r="D432" s="559"/>
      <c r="E432" s="559"/>
      <c r="F432" s="559"/>
      <c r="G432" s="559"/>
      <c r="H432" s="559"/>
      <c r="I432" s="559"/>
      <c r="J432" s="559"/>
      <c r="K432" s="559"/>
      <c r="L432" s="559"/>
      <c r="M432" s="559"/>
      <c r="N432" s="559"/>
      <c r="O432" s="559"/>
      <c r="P432" s="559"/>
      <c r="Q432" s="559"/>
      <c r="R432" s="559"/>
      <c r="S432" s="559"/>
      <c r="T432" s="559"/>
      <c r="U432" s="559"/>
      <c r="V432" s="559"/>
      <c r="W432" s="559"/>
      <c r="X432" s="559"/>
      <c r="Y432" s="559"/>
      <c r="Z432" s="559"/>
      <c r="AA432" s="559"/>
      <c r="AB432" s="559"/>
      <c r="AC432" s="559"/>
      <c r="AD432" s="559"/>
      <c r="AE432" s="559"/>
      <c r="AF432" s="559"/>
      <c r="AG432" s="559"/>
      <c r="AH432" s="559"/>
      <c r="AI432" s="559"/>
      <c r="AJ432" s="559"/>
      <c r="AK432" s="559"/>
      <c r="AL432" s="559"/>
      <c r="AM432" s="559"/>
      <c r="AN432" s="559"/>
    </row>
    <row r="433">
      <c r="A433" s="559"/>
      <c r="B433" s="559"/>
      <c r="C433" s="559"/>
      <c r="D433" s="559"/>
      <c r="E433" s="559"/>
      <c r="F433" s="559"/>
      <c r="G433" s="559"/>
      <c r="H433" s="559"/>
      <c r="I433" s="559"/>
      <c r="J433" s="559"/>
      <c r="K433" s="559"/>
      <c r="L433" s="559"/>
      <c r="M433" s="559"/>
      <c r="N433" s="559"/>
      <c r="O433" s="559"/>
      <c r="P433" s="559"/>
      <c r="Q433" s="559"/>
      <c r="R433" s="559"/>
      <c r="S433" s="559"/>
      <c r="T433" s="559"/>
      <c r="U433" s="559"/>
      <c r="V433" s="559"/>
      <c r="W433" s="559"/>
      <c r="X433" s="559"/>
      <c r="Y433" s="559"/>
      <c r="Z433" s="559"/>
      <c r="AA433" s="559"/>
      <c r="AB433" s="559"/>
      <c r="AC433" s="559"/>
      <c r="AD433" s="559"/>
      <c r="AE433" s="559"/>
      <c r="AF433" s="559"/>
      <c r="AG433" s="559"/>
      <c r="AH433" s="559"/>
      <c r="AI433" s="559"/>
      <c r="AJ433" s="559"/>
      <c r="AK433" s="559"/>
      <c r="AL433" s="559"/>
      <c r="AM433" s="559"/>
      <c r="AN433" s="559"/>
    </row>
    <row r="434">
      <c r="A434" s="559"/>
      <c r="B434" s="559"/>
      <c r="C434" s="559"/>
      <c r="D434" s="559"/>
      <c r="E434" s="559"/>
      <c r="F434" s="559"/>
      <c r="G434" s="559"/>
      <c r="H434" s="559"/>
      <c r="I434" s="559"/>
      <c r="J434" s="559"/>
      <c r="K434" s="559"/>
      <c r="L434" s="559"/>
      <c r="M434" s="559"/>
      <c r="N434" s="559"/>
      <c r="O434" s="559"/>
      <c r="P434" s="559"/>
      <c r="Q434" s="559"/>
      <c r="R434" s="559"/>
      <c r="S434" s="559"/>
      <c r="T434" s="559"/>
      <c r="U434" s="559"/>
      <c r="V434" s="559"/>
      <c r="W434" s="559"/>
      <c r="X434" s="559"/>
      <c r="Y434" s="559"/>
      <c r="Z434" s="559"/>
      <c r="AA434" s="559"/>
      <c r="AB434" s="559"/>
      <c r="AC434" s="559"/>
      <c r="AD434" s="559"/>
      <c r="AE434" s="559"/>
      <c r="AF434" s="559"/>
      <c r="AG434" s="559"/>
      <c r="AH434" s="559"/>
      <c r="AI434" s="559"/>
      <c r="AJ434" s="559"/>
      <c r="AK434" s="559"/>
      <c r="AL434" s="559"/>
      <c r="AM434" s="559"/>
      <c r="AN434" s="559"/>
    </row>
    <row r="435">
      <c r="A435" s="559"/>
      <c r="B435" s="559"/>
      <c r="C435" s="559"/>
      <c r="D435" s="559"/>
      <c r="E435" s="559"/>
      <c r="F435" s="559"/>
      <c r="G435" s="559"/>
      <c r="H435" s="559"/>
      <c r="I435" s="559"/>
      <c r="J435" s="559"/>
      <c r="K435" s="559"/>
      <c r="L435" s="559"/>
      <c r="M435" s="559"/>
      <c r="N435" s="559"/>
      <c r="O435" s="559"/>
      <c r="P435" s="559"/>
      <c r="Q435" s="559"/>
      <c r="R435" s="559"/>
      <c r="S435" s="559"/>
      <c r="T435" s="559"/>
      <c r="U435" s="559"/>
      <c r="V435" s="559"/>
      <c r="W435" s="559"/>
      <c r="X435" s="559"/>
      <c r="Y435" s="559"/>
      <c r="Z435" s="559"/>
      <c r="AA435" s="559"/>
      <c r="AB435" s="559"/>
      <c r="AC435" s="559"/>
      <c r="AD435" s="559"/>
      <c r="AE435" s="559"/>
      <c r="AF435" s="559"/>
      <c r="AG435" s="559"/>
      <c r="AH435" s="559"/>
      <c r="AI435" s="559"/>
      <c r="AJ435" s="559"/>
      <c r="AK435" s="559"/>
      <c r="AL435" s="559"/>
      <c r="AM435" s="559"/>
      <c r="AN435" s="559"/>
    </row>
    <row r="436">
      <c r="A436" s="559"/>
      <c r="B436" s="559"/>
      <c r="C436" s="559"/>
      <c r="D436" s="559"/>
      <c r="E436" s="559"/>
      <c r="F436" s="559"/>
      <c r="G436" s="559"/>
      <c r="H436" s="559"/>
      <c r="I436" s="559"/>
      <c r="J436" s="559"/>
      <c r="K436" s="559"/>
      <c r="L436" s="559"/>
      <c r="M436" s="559"/>
      <c r="N436" s="559"/>
      <c r="O436" s="559"/>
      <c r="P436" s="559"/>
      <c r="Q436" s="559"/>
      <c r="R436" s="559"/>
      <c r="S436" s="559"/>
      <c r="T436" s="559"/>
      <c r="U436" s="559"/>
      <c r="V436" s="559"/>
      <c r="W436" s="559"/>
      <c r="X436" s="559"/>
      <c r="Y436" s="559"/>
      <c r="Z436" s="559"/>
      <c r="AA436" s="559"/>
      <c r="AB436" s="559"/>
      <c r="AC436" s="559"/>
      <c r="AD436" s="559"/>
      <c r="AE436" s="559"/>
      <c r="AF436" s="559"/>
      <c r="AG436" s="559"/>
      <c r="AH436" s="559"/>
      <c r="AI436" s="559"/>
      <c r="AJ436" s="559"/>
      <c r="AK436" s="559"/>
      <c r="AL436" s="559"/>
      <c r="AM436" s="559"/>
      <c r="AN436" s="559"/>
    </row>
    <row r="437">
      <c r="A437" s="559"/>
      <c r="B437" s="559"/>
      <c r="C437" s="559"/>
      <c r="D437" s="559"/>
      <c r="E437" s="559"/>
      <c r="F437" s="559"/>
      <c r="G437" s="559"/>
      <c r="H437" s="559"/>
      <c r="I437" s="559"/>
      <c r="J437" s="559"/>
      <c r="K437" s="559"/>
      <c r="L437" s="559"/>
      <c r="M437" s="559"/>
      <c r="N437" s="559"/>
      <c r="O437" s="559"/>
      <c r="P437" s="559"/>
      <c r="Q437" s="559"/>
      <c r="R437" s="559"/>
      <c r="S437" s="559"/>
      <c r="T437" s="559"/>
      <c r="U437" s="559"/>
      <c r="V437" s="559"/>
      <c r="W437" s="559"/>
      <c r="X437" s="559"/>
      <c r="Y437" s="559"/>
      <c r="Z437" s="559"/>
      <c r="AA437" s="559"/>
      <c r="AB437" s="559"/>
      <c r="AC437" s="559"/>
      <c r="AD437" s="559"/>
      <c r="AE437" s="559"/>
      <c r="AF437" s="559"/>
      <c r="AG437" s="559"/>
      <c r="AH437" s="559"/>
      <c r="AI437" s="559"/>
      <c r="AJ437" s="559"/>
      <c r="AK437" s="559"/>
      <c r="AL437" s="559"/>
      <c r="AM437" s="559"/>
      <c r="AN437" s="559"/>
    </row>
    <row r="438">
      <c r="A438" s="559"/>
      <c r="B438" s="559"/>
      <c r="C438" s="559"/>
      <c r="D438" s="559"/>
      <c r="E438" s="559"/>
      <c r="F438" s="559"/>
      <c r="G438" s="559"/>
      <c r="H438" s="559"/>
      <c r="I438" s="559"/>
      <c r="J438" s="559"/>
      <c r="K438" s="559"/>
      <c r="L438" s="559"/>
      <c r="M438" s="559"/>
      <c r="N438" s="559"/>
      <c r="O438" s="559"/>
      <c r="P438" s="559"/>
      <c r="Q438" s="559"/>
      <c r="R438" s="559"/>
      <c r="S438" s="559"/>
      <c r="T438" s="559"/>
      <c r="U438" s="559"/>
      <c r="V438" s="559"/>
      <c r="W438" s="559"/>
      <c r="X438" s="559"/>
      <c r="Y438" s="559"/>
      <c r="Z438" s="559"/>
      <c r="AA438" s="559"/>
      <c r="AB438" s="559"/>
      <c r="AC438" s="559"/>
      <c r="AD438" s="559"/>
      <c r="AE438" s="559"/>
      <c r="AF438" s="559"/>
      <c r="AG438" s="559"/>
      <c r="AH438" s="559"/>
      <c r="AI438" s="559"/>
      <c r="AJ438" s="559"/>
      <c r="AK438" s="559"/>
      <c r="AL438" s="559"/>
      <c r="AM438" s="559"/>
      <c r="AN438" s="559"/>
    </row>
    <row r="439">
      <c r="A439" s="559"/>
      <c r="B439" s="559"/>
      <c r="C439" s="559"/>
      <c r="D439" s="559"/>
      <c r="E439" s="559"/>
      <c r="F439" s="559"/>
      <c r="G439" s="559"/>
      <c r="H439" s="559"/>
      <c r="I439" s="559"/>
      <c r="J439" s="559"/>
      <c r="K439" s="559"/>
      <c r="L439" s="559"/>
      <c r="M439" s="559"/>
      <c r="N439" s="559"/>
      <c r="O439" s="559"/>
      <c r="P439" s="559"/>
      <c r="Q439" s="559"/>
      <c r="R439" s="559"/>
      <c r="S439" s="559"/>
      <c r="T439" s="559"/>
      <c r="U439" s="559"/>
      <c r="V439" s="559"/>
      <c r="W439" s="559"/>
      <c r="X439" s="559"/>
      <c r="Y439" s="559"/>
      <c r="Z439" s="559"/>
      <c r="AA439" s="559"/>
      <c r="AB439" s="559"/>
      <c r="AC439" s="559"/>
      <c r="AD439" s="559"/>
      <c r="AE439" s="559"/>
      <c r="AF439" s="559"/>
      <c r="AG439" s="559"/>
      <c r="AH439" s="559"/>
      <c r="AI439" s="559"/>
      <c r="AJ439" s="559"/>
      <c r="AK439" s="559"/>
      <c r="AL439" s="559"/>
      <c r="AM439" s="559"/>
      <c r="AN439" s="559"/>
    </row>
    <row r="440">
      <c r="A440" s="559"/>
      <c r="B440" s="559"/>
      <c r="C440" s="559"/>
      <c r="D440" s="559"/>
      <c r="E440" s="559"/>
      <c r="F440" s="559"/>
      <c r="G440" s="559"/>
      <c r="H440" s="559"/>
      <c r="I440" s="559"/>
      <c r="J440" s="559"/>
      <c r="K440" s="559"/>
      <c r="L440" s="559"/>
      <c r="M440" s="559"/>
      <c r="N440" s="559"/>
      <c r="O440" s="559"/>
      <c r="P440" s="559"/>
      <c r="Q440" s="559"/>
      <c r="R440" s="559"/>
      <c r="S440" s="559"/>
      <c r="T440" s="559"/>
      <c r="U440" s="559"/>
      <c r="V440" s="559"/>
      <c r="W440" s="559"/>
      <c r="X440" s="559"/>
      <c r="Y440" s="559"/>
      <c r="Z440" s="559"/>
      <c r="AA440" s="559"/>
      <c r="AB440" s="559"/>
      <c r="AC440" s="559"/>
      <c r="AD440" s="559"/>
      <c r="AE440" s="559"/>
      <c r="AF440" s="559"/>
      <c r="AG440" s="559"/>
      <c r="AH440" s="559"/>
      <c r="AI440" s="559"/>
      <c r="AJ440" s="559"/>
      <c r="AK440" s="559"/>
      <c r="AL440" s="559"/>
      <c r="AM440" s="559"/>
      <c r="AN440" s="559"/>
    </row>
    <row r="441">
      <c r="A441" s="559"/>
      <c r="B441" s="559"/>
      <c r="C441" s="559"/>
      <c r="D441" s="559"/>
      <c r="E441" s="559"/>
      <c r="F441" s="559"/>
      <c r="G441" s="559"/>
      <c r="H441" s="559"/>
      <c r="I441" s="559"/>
      <c r="J441" s="559"/>
      <c r="K441" s="559"/>
      <c r="L441" s="559"/>
      <c r="M441" s="559"/>
      <c r="N441" s="559"/>
      <c r="O441" s="559"/>
      <c r="P441" s="559"/>
      <c r="Q441" s="559"/>
      <c r="R441" s="559"/>
      <c r="S441" s="559"/>
      <c r="T441" s="559"/>
      <c r="U441" s="559"/>
      <c r="V441" s="559"/>
      <c r="W441" s="559"/>
      <c r="X441" s="559"/>
      <c r="Y441" s="559"/>
      <c r="Z441" s="559"/>
      <c r="AA441" s="559"/>
      <c r="AB441" s="559"/>
      <c r="AC441" s="559"/>
      <c r="AD441" s="559"/>
      <c r="AE441" s="559"/>
      <c r="AF441" s="559"/>
      <c r="AG441" s="559"/>
      <c r="AH441" s="559"/>
      <c r="AI441" s="559"/>
      <c r="AJ441" s="559"/>
      <c r="AK441" s="559"/>
      <c r="AL441" s="559"/>
      <c r="AM441" s="559"/>
      <c r="AN441" s="559"/>
    </row>
    <row r="442">
      <c r="A442" s="559"/>
      <c r="B442" s="559"/>
      <c r="C442" s="559"/>
      <c r="D442" s="559"/>
      <c r="E442" s="559"/>
      <c r="F442" s="559"/>
      <c r="G442" s="559"/>
      <c r="H442" s="559"/>
      <c r="I442" s="559"/>
      <c r="J442" s="559"/>
      <c r="K442" s="559"/>
      <c r="L442" s="559"/>
      <c r="M442" s="559"/>
      <c r="N442" s="559"/>
      <c r="O442" s="559"/>
      <c r="P442" s="559"/>
      <c r="Q442" s="559"/>
      <c r="R442" s="559"/>
      <c r="S442" s="559"/>
      <c r="T442" s="559"/>
      <c r="U442" s="559"/>
      <c r="V442" s="559"/>
      <c r="W442" s="559"/>
      <c r="X442" s="559"/>
      <c r="Y442" s="559"/>
      <c r="Z442" s="559"/>
      <c r="AA442" s="559"/>
      <c r="AB442" s="559"/>
      <c r="AC442" s="559"/>
      <c r="AD442" s="559"/>
      <c r="AE442" s="559"/>
      <c r="AF442" s="559"/>
      <c r="AG442" s="559"/>
      <c r="AH442" s="559"/>
      <c r="AI442" s="559"/>
      <c r="AJ442" s="559"/>
      <c r="AK442" s="559"/>
      <c r="AL442" s="559"/>
      <c r="AM442" s="559"/>
      <c r="AN442" s="559"/>
    </row>
    <row r="443">
      <c r="A443" s="559"/>
      <c r="B443" s="559"/>
      <c r="C443" s="559"/>
      <c r="D443" s="559"/>
      <c r="E443" s="559"/>
      <c r="F443" s="559"/>
      <c r="G443" s="559"/>
      <c r="H443" s="559"/>
      <c r="I443" s="559"/>
      <c r="J443" s="559"/>
      <c r="K443" s="559"/>
      <c r="L443" s="559"/>
      <c r="M443" s="559"/>
      <c r="N443" s="559"/>
      <c r="O443" s="559"/>
      <c r="P443" s="559"/>
      <c r="Q443" s="559"/>
      <c r="R443" s="559"/>
      <c r="S443" s="559"/>
      <c r="T443" s="559"/>
      <c r="U443" s="559"/>
      <c r="V443" s="559"/>
      <c r="W443" s="559"/>
      <c r="X443" s="559"/>
      <c r="Y443" s="559"/>
      <c r="Z443" s="559"/>
      <c r="AA443" s="559"/>
      <c r="AB443" s="559"/>
      <c r="AC443" s="559"/>
      <c r="AD443" s="559"/>
      <c r="AE443" s="559"/>
      <c r="AF443" s="559"/>
      <c r="AG443" s="559"/>
      <c r="AH443" s="559"/>
      <c r="AI443" s="559"/>
      <c r="AJ443" s="559"/>
      <c r="AK443" s="559"/>
      <c r="AL443" s="559"/>
      <c r="AM443" s="559"/>
      <c r="AN443" s="559"/>
    </row>
    <row r="444">
      <c r="A444" s="559"/>
      <c r="B444" s="559"/>
      <c r="C444" s="559"/>
      <c r="D444" s="559"/>
      <c r="E444" s="559"/>
      <c r="F444" s="559"/>
      <c r="G444" s="559"/>
      <c r="H444" s="559"/>
      <c r="I444" s="559"/>
      <c r="J444" s="559"/>
      <c r="K444" s="559"/>
      <c r="L444" s="559"/>
      <c r="M444" s="559"/>
      <c r="N444" s="559"/>
      <c r="O444" s="559"/>
      <c r="P444" s="559"/>
      <c r="Q444" s="559"/>
      <c r="R444" s="559"/>
      <c r="S444" s="559"/>
      <c r="T444" s="559"/>
      <c r="U444" s="559"/>
      <c r="V444" s="559"/>
      <c r="W444" s="559"/>
      <c r="X444" s="559"/>
      <c r="Y444" s="559"/>
      <c r="Z444" s="559"/>
      <c r="AA444" s="559"/>
      <c r="AB444" s="559"/>
      <c r="AC444" s="559"/>
      <c r="AD444" s="559"/>
      <c r="AE444" s="559"/>
      <c r="AF444" s="559"/>
      <c r="AG444" s="559"/>
      <c r="AH444" s="559"/>
      <c r="AI444" s="559"/>
      <c r="AJ444" s="559"/>
      <c r="AK444" s="559"/>
      <c r="AL444" s="559"/>
      <c r="AM444" s="559"/>
      <c r="AN444" s="559"/>
    </row>
    <row r="445">
      <c r="A445" s="559"/>
      <c r="B445" s="559"/>
      <c r="C445" s="559"/>
      <c r="D445" s="559"/>
      <c r="E445" s="559"/>
      <c r="F445" s="559"/>
      <c r="G445" s="559"/>
      <c r="H445" s="559"/>
      <c r="I445" s="559"/>
      <c r="J445" s="559"/>
      <c r="K445" s="559"/>
      <c r="L445" s="559"/>
      <c r="M445" s="559"/>
      <c r="N445" s="559"/>
      <c r="O445" s="559"/>
      <c r="P445" s="559"/>
      <c r="Q445" s="559"/>
      <c r="R445" s="559"/>
      <c r="S445" s="559"/>
      <c r="T445" s="559"/>
      <c r="U445" s="559"/>
      <c r="V445" s="559"/>
      <c r="W445" s="559"/>
      <c r="X445" s="559"/>
      <c r="Y445" s="559"/>
      <c r="Z445" s="559"/>
      <c r="AA445" s="559"/>
      <c r="AB445" s="559"/>
      <c r="AC445" s="559"/>
      <c r="AD445" s="559"/>
      <c r="AE445" s="559"/>
      <c r="AF445" s="559"/>
      <c r="AG445" s="559"/>
      <c r="AH445" s="559"/>
      <c r="AI445" s="559"/>
      <c r="AJ445" s="559"/>
      <c r="AK445" s="559"/>
      <c r="AL445" s="559"/>
      <c r="AM445" s="559"/>
      <c r="AN445" s="559"/>
    </row>
    <row r="446">
      <c r="A446" s="559"/>
      <c r="B446" s="559"/>
      <c r="C446" s="559"/>
      <c r="D446" s="559"/>
      <c r="E446" s="559"/>
      <c r="F446" s="559"/>
      <c r="G446" s="559"/>
      <c r="H446" s="559"/>
      <c r="I446" s="559"/>
      <c r="J446" s="559"/>
      <c r="K446" s="559"/>
      <c r="L446" s="559"/>
      <c r="M446" s="559"/>
      <c r="N446" s="559"/>
      <c r="O446" s="559"/>
      <c r="P446" s="559"/>
      <c r="Q446" s="559"/>
      <c r="R446" s="559"/>
      <c r="S446" s="559"/>
      <c r="T446" s="559"/>
      <c r="U446" s="559"/>
      <c r="V446" s="559"/>
      <c r="W446" s="559"/>
      <c r="X446" s="559"/>
      <c r="Y446" s="559"/>
      <c r="Z446" s="559"/>
      <c r="AA446" s="559"/>
      <c r="AB446" s="559"/>
      <c r="AC446" s="559"/>
      <c r="AD446" s="559"/>
      <c r="AE446" s="559"/>
      <c r="AF446" s="559"/>
      <c r="AG446" s="559"/>
      <c r="AH446" s="559"/>
      <c r="AI446" s="559"/>
      <c r="AJ446" s="559"/>
      <c r="AK446" s="559"/>
      <c r="AL446" s="559"/>
      <c r="AM446" s="559"/>
      <c r="AN446" s="559"/>
    </row>
    <row r="447">
      <c r="A447" s="559"/>
      <c r="B447" s="559"/>
      <c r="C447" s="559"/>
      <c r="D447" s="559"/>
      <c r="E447" s="559"/>
      <c r="F447" s="559"/>
      <c r="G447" s="559"/>
      <c r="H447" s="559"/>
      <c r="I447" s="559"/>
      <c r="J447" s="559"/>
      <c r="K447" s="559"/>
      <c r="L447" s="559"/>
      <c r="M447" s="559"/>
      <c r="N447" s="559"/>
      <c r="O447" s="559"/>
      <c r="P447" s="559"/>
      <c r="Q447" s="559"/>
      <c r="R447" s="559"/>
      <c r="S447" s="559"/>
      <c r="T447" s="559"/>
      <c r="U447" s="559"/>
      <c r="V447" s="559"/>
      <c r="W447" s="559"/>
      <c r="X447" s="559"/>
      <c r="Y447" s="559"/>
      <c r="Z447" s="559"/>
      <c r="AA447" s="559"/>
      <c r="AB447" s="559"/>
      <c r="AC447" s="559"/>
      <c r="AD447" s="559"/>
      <c r="AE447" s="559"/>
      <c r="AF447" s="559"/>
      <c r="AG447" s="559"/>
      <c r="AH447" s="559"/>
      <c r="AI447" s="559"/>
      <c r="AJ447" s="559"/>
      <c r="AK447" s="559"/>
      <c r="AL447" s="559"/>
      <c r="AM447" s="559"/>
      <c r="AN447" s="559"/>
    </row>
    <row r="448">
      <c r="A448" s="559"/>
      <c r="B448" s="559"/>
      <c r="C448" s="559"/>
      <c r="D448" s="559"/>
      <c r="E448" s="559"/>
      <c r="F448" s="559"/>
      <c r="G448" s="559"/>
      <c r="H448" s="559"/>
      <c r="I448" s="559"/>
      <c r="J448" s="559"/>
      <c r="K448" s="559"/>
      <c r="L448" s="559"/>
      <c r="M448" s="559"/>
      <c r="N448" s="559"/>
      <c r="O448" s="559"/>
      <c r="P448" s="559"/>
      <c r="Q448" s="559"/>
      <c r="R448" s="559"/>
      <c r="S448" s="559"/>
      <c r="T448" s="559"/>
      <c r="U448" s="559"/>
      <c r="V448" s="559"/>
      <c r="W448" s="559"/>
      <c r="X448" s="559"/>
      <c r="Y448" s="559"/>
      <c r="Z448" s="559"/>
      <c r="AA448" s="559"/>
      <c r="AB448" s="559"/>
      <c r="AC448" s="559"/>
      <c r="AD448" s="559"/>
      <c r="AE448" s="559"/>
      <c r="AF448" s="559"/>
      <c r="AG448" s="559"/>
      <c r="AH448" s="559"/>
      <c r="AI448" s="559"/>
      <c r="AJ448" s="559"/>
      <c r="AK448" s="559"/>
      <c r="AL448" s="559"/>
      <c r="AM448" s="559"/>
      <c r="AN448" s="559"/>
    </row>
    <row r="449">
      <c r="A449" s="559"/>
      <c r="B449" s="559"/>
      <c r="C449" s="559"/>
      <c r="D449" s="559"/>
      <c r="E449" s="559"/>
      <c r="F449" s="559"/>
      <c r="G449" s="559"/>
      <c r="H449" s="559"/>
      <c r="I449" s="559"/>
      <c r="J449" s="559"/>
      <c r="K449" s="559"/>
      <c r="L449" s="559"/>
      <c r="M449" s="559"/>
      <c r="N449" s="559"/>
      <c r="O449" s="559"/>
      <c r="P449" s="559"/>
      <c r="Q449" s="559"/>
      <c r="R449" s="559"/>
      <c r="S449" s="559"/>
      <c r="T449" s="559"/>
      <c r="U449" s="559"/>
      <c r="V449" s="559"/>
      <c r="W449" s="559"/>
      <c r="X449" s="559"/>
      <c r="Y449" s="559"/>
      <c r="Z449" s="559"/>
      <c r="AA449" s="559"/>
      <c r="AB449" s="559"/>
      <c r="AC449" s="559"/>
      <c r="AD449" s="559"/>
      <c r="AE449" s="559"/>
      <c r="AF449" s="559"/>
      <c r="AG449" s="559"/>
      <c r="AH449" s="559"/>
      <c r="AI449" s="559"/>
      <c r="AJ449" s="559"/>
      <c r="AK449" s="559"/>
      <c r="AL449" s="559"/>
      <c r="AM449" s="559"/>
      <c r="AN449" s="559"/>
    </row>
    <row r="450">
      <c r="A450" s="559"/>
      <c r="B450" s="559"/>
      <c r="C450" s="559"/>
      <c r="D450" s="559"/>
      <c r="E450" s="559"/>
      <c r="F450" s="559"/>
      <c r="G450" s="559"/>
      <c r="H450" s="559"/>
      <c r="I450" s="559"/>
      <c r="J450" s="559"/>
      <c r="K450" s="559"/>
      <c r="L450" s="559"/>
      <c r="M450" s="559"/>
      <c r="N450" s="559"/>
      <c r="O450" s="559"/>
      <c r="P450" s="559"/>
      <c r="Q450" s="559"/>
      <c r="R450" s="559"/>
      <c r="S450" s="559"/>
      <c r="T450" s="559"/>
      <c r="U450" s="559"/>
      <c r="V450" s="559"/>
      <c r="W450" s="559"/>
      <c r="X450" s="559"/>
      <c r="Y450" s="559"/>
      <c r="Z450" s="559"/>
      <c r="AA450" s="559"/>
      <c r="AB450" s="559"/>
      <c r="AC450" s="559"/>
      <c r="AD450" s="559"/>
      <c r="AE450" s="559"/>
      <c r="AF450" s="559"/>
      <c r="AG450" s="559"/>
      <c r="AH450" s="559"/>
      <c r="AI450" s="559"/>
      <c r="AJ450" s="559"/>
      <c r="AK450" s="559"/>
      <c r="AL450" s="559"/>
      <c r="AM450" s="559"/>
      <c r="AN450" s="559"/>
    </row>
    <row r="451">
      <c r="A451" s="559"/>
      <c r="B451" s="559"/>
      <c r="C451" s="559"/>
      <c r="D451" s="559"/>
      <c r="E451" s="559"/>
      <c r="F451" s="559"/>
      <c r="G451" s="559"/>
      <c r="H451" s="559"/>
      <c r="I451" s="559"/>
      <c r="J451" s="559"/>
      <c r="K451" s="559"/>
      <c r="L451" s="559"/>
      <c r="M451" s="559"/>
      <c r="N451" s="559"/>
      <c r="O451" s="559"/>
      <c r="P451" s="559"/>
      <c r="Q451" s="559"/>
      <c r="R451" s="559"/>
      <c r="S451" s="559"/>
      <c r="T451" s="559"/>
      <c r="U451" s="559"/>
      <c r="V451" s="559"/>
      <c r="W451" s="559"/>
      <c r="X451" s="559"/>
      <c r="Y451" s="559"/>
      <c r="Z451" s="559"/>
      <c r="AA451" s="559"/>
      <c r="AB451" s="559"/>
      <c r="AC451" s="559"/>
      <c r="AD451" s="559"/>
      <c r="AE451" s="559"/>
      <c r="AF451" s="559"/>
      <c r="AG451" s="559"/>
      <c r="AH451" s="559"/>
      <c r="AI451" s="559"/>
      <c r="AJ451" s="559"/>
      <c r="AK451" s="559"/>
      <c r="AL451" s="559"/>
      <c r="AM451" s="559"/>
      <c r="AN451" s="559"/>
    </row>
    <row r="452">
      <c r="A452" s="559"/>
      <c r="B452" s="559"/>
      <c r="C452" s="559"/>
      <c r="D452" s="559"/>
      <c r="E452" s="559"/>
      <c r="F452" s="559"/>
      <c r="G452" s="559"/>
      <c r="H452" s="559"/>
      <c r="I452" s="559"/>
      <c r="J452" s="559"/>
      <c r="K452" s="559"/>
      <c r="L452" s="559"/>
      <c r="M452" s="559"/>
      <c r="N452" s="559"/>
      <c r="O452" s="559"/>
      <c r="P452" s="559"/>
      <c r="Q452" s="559"/>
      <c r="R452" s="559"/>
      <c r="S452" s="559"/>
      <c r="T452" s="559"/>
      <c r="U452" s="559"/>
      <c r="V452" s="559"/>
      <c r="W452" s="559"/>
      <c r="X452" s="559"/>
      <c r="Y452" s="559"/>
      <c r="Z452" s="559"/>
      <c r="AA452" s="559"/>
      <c r="AB452" s="559"/>
      <c r="AC452" s="559"/>
      <c r="AD452" s="559"/>
      <c r="AE452" s="559"/>
      <c r="AF452" s="559"/>
      <c r="AG452" s="559"/>
      <c r="AH452" s="559"/>
      <c r="AI452" s="559"/>
      <c r="AJ452" s="559"/>
      <c r="AK452" s="559"/>
      <c r="AL452" s="559"/>
      <c r="AM452" s="559"/>
      <c r="AN452" s="559"/>
    </row>
    <row r="453">
      <c r="A453" s="559"/>
      <c r="B453" s="559"/>
      <c r="C453" s="559"/>
      <c r="D453" s="559"/>
      <c r="E453" s="559"/>
      <c r="F453" s="559"/>
      <c r="G453" s="559"/>
      <c r="H453" s="559"/>
      <c r="I453" s="559"/>
      <c r="J453" s="559"/>
      <c r="K453" s="559"/>
      <c r="L453" s="559"/>
      <c r="M453" s="559"/>
      <c r="N453" s="559"/>
      <c r="O453" s="559"/>
      <c r="P453" s="559"/>
      <c r="Q453" s="559"/>
      <c r="R453" s="559"/>
      <c r="S453" s="559"/>
      <c r="T453" s="559"/>
      <c r="U453" s="559"/>
      <c r="V453" s="559"/>
      <c r="W453" s="559"/>
      <c r="X453" s="559"/>
      <c r="Y453" s="559"/>
      <c r="Z453" s="559"/>
      <c r="AA453" s="559"/>
      <c r="AB453" s="559"/>
      <c r="AC453" s="559"/>
      <c r="AD453" s="559"/>
      <c r="AE453" s="559"/>
      <c r="AF453" s="559"/>
      <c r="AG453" s="559"/>
      <c r="AH453" s="559"/>
      <c r="AI453" s="559"/>
      <c r="AJ453" s="559"/>
      <c r="AK453" s="559"/>
      <c r="AL453" s="559"/>
      <c r="AM453" s="559"/>
      <c r="AN453" s="559"/>
    </row>
    <row r="454">
      <c r="A454" s="559"/>
      <c r="B454" s="559"/>
      <c r="C454" s="559"/>
      <c r="D454" s="559"/>
      <c r="E454" s="559"/>
      <c r="F454" s="559"/>
      <c r="G454" s="559"/>
      <c r="H454" s="559"/>
      <c r="I454" s="559"/>
      <c r="J454" s="559"/>
      <c r="K454" s="559"/>
      <c r="L454" s="559"/>
      <c r="M454" s="559"/>
      <c r="N454" s="559"/>
      <c r="O454" s="559"/>
      <c r="P454" s="559"/>
      <c r="Q454" s="559"/>
      <c r="R454" s="559"/>
      <c r="S454" s="559"/>
      <c r="T454" s="559"/>
      <c r="U454" s="559"/>
      <c r="V454" s="559"/>
      <c r="W454" s="559"/>
      <c r="X454" s="559"/>
      <c r="Y454" s="559"/>
      <c r="Z454" s="559"/>
      <c r="AA454" s="559"/>
      <c r="AB454" s="559"/>
      <c r="AC454" s="559"/>
      <c r="AD454" s="559"/>
      <c r="AE454" s="559"/>
      <c r="AF454" s="559"/>
      <c r="AG454" s="559"/>
      <c r="AH454" s="559"/>
      <c r="AI454" s="559"/>
      <c r="AJ454" s="559"/>
      <c r="AK454" s="559"/>
      <c r="AL454" s="559"/>
      <c r="AM454" s="559"/>
      <c r="AN454" s="559"/>
    </row>
    <row r="455">
      <c r="A455" s="559"/>
      <c r="B455" s="559"/>
      <c r="C455" s="559"/>
      <c r="D455" s="559"/>
      <c r="E455" s="559"/>
      <c r="F455" s="559"/>
      <c r="G455" s="559"/>
      <c r="H455" s="559"/>
      <c r="I455" s="559"/>
      <c r="J455" s="559"/>
      <c r="K455" s="559"/>
      <c r="L455" s="559"/>
      <c r="M455" s="559"/>
      <c r="N455" s="559"/>
      <c r="O455" s="559"/>
      <c r="P455" s="559"/>
      <c r="Q455" s="559"/>
      <c r="R455" s="559"/>
      <c r="S455" s="559"/>
      <c r="T455" s="559"/>
      <c r="U455" s="559"/>
      <c r="V455" s="559"/>
      <c r="W455" s="559"/>
      <c r="X455" s="559"/>
      <c r="Y455" s="559"/>
      <c r="Z455" s="559"/>
      <c r="AA455" s="559"/>
      <c r="AB455" s="559"/>
      <c r="AC455" s="559"/>
      <c r="AD455" s="559"/>
      <c r="AE455" s="559"/>
      <c r="AF455" s="559"/>
      <c r="AG455" s="559"/>
      <c r="AH455" s="559"/>
      <c r="AI455" s="559"/>
      <c r="AJ455" s="559"/>
      <c r="AK455" s="559"/>
      <c r="AL455" s="559"/>
      <c r="AM455" s="559"/>
      <c r="AN455" s="559"/>
    </row>
    <row r="456">
      <c r="A456" s="559"/>
      <c r="B456" s="559"/>
      <c r="C456" s="559"/>
      <c r="D456" s="559"/>
      <c r="E456" s="559"/>
      <c r="F456" s="559"/>
      <c r="G456" s="559"/>
      <c r="H456" s="559"/>
      <c r="I456" s="559"/>
      <c r="J456" s="559"/>
      <c r="K456" s="559"/>
      <c r="L456" s="559"/>
      <c r="M456" s="559"/>
      <c r="N456" s="559"/>
      <c r="O456" s="559"/>
      <c r="P456" s="559"/>
      <c r="Q456" s="559"/>
      <c r="R456" s="559"/>
      <c r="S456" s="559"/>
      <c r="T456" s="559"/>
      <c r="U456" s="559"/>
      <c r="V456" s="559"/>
      <c r="W456" s="559"/>
      <c r="X456" s="559"/>
      <c r="Y456" s="559"/>
      <c r="Z456" s="559"/>
      <c r="AA456" s="559"/>
      <c r="AB456" s="559"/>
      <c r="AC456" s="559"/>
      <c r="AD456" s="559"/>
      <c r="AE456" s="559"/>
      <c r="AF456" s="559"/>
      <c r="AG456" s="559"/>
      <c r="AH456" s="559"/>
      <c r="AI456" s="559"/>
      <c r="AJ456" s="559"/>
      <c r="AK456" s="559"/>
      <c r="AL456" s="559"/>
      <c r="AM456" s="559"/>
      <c r="AN456" s="559"/>
    </row>
    <row r="457">
      <c r="A457" s="559"/>
      <c r="B457" s="559"/>
      <c r="C457" s="559"/>
      <c r="D457" s="559"/>
      <c r="E457" s="559"/>
      <c r="F457" s="559"/>
      <c r="G457" s="559"/>
      <c r="H457" s="559"/>
      <c r="I457" s="559"/>
      <c r="J457" s="559"/>
      <c r="K457" s="559"/>
      <c r="L457" s="559"/>
      <c r="M457" s="559"/>
      <c r="N457" s="559"/>
      <c r="O457" s="559"/>
      <c r="P457" s="559"/>
      <c r="Q457" s="559"/>
      <c r="R457" s="559"/>
      <c r="S457" s="559"/>
      <c r="T457" s="559"/>
      <c r="U457" s="559"/>
      <c r="V457" s="559"/>
      <c r="W457" s="559"/>
      <c r="X457" s="559"/>
      <c r="Y457" s="559"/>
      <c r="Z457" s="559"/>
      <c r="AA457" s="559"/>
      <c r="AB457" s="559"/>
      <c r="AC457" s="559"/>
      <c r="AD457" s="559"/>
      <c r="AE457" s="559"/>
      <c r="AF457" s="559"/>
      <c r="AG457" s="559"/>
      <c r="AH457" s="559"/>
      <c r="AI457" s="559"/>
      <c r="AJ457" s="559"/>
      <c r="AK457" s="559"/>
      <c r="AL457" s="559"/>
      <c r="AM457" s="559"/>
      <c r="AN457" s="559"/>
    </row>
    <row r="458">
      <c r="A458" s="559"/>
      <c r="B458" s="559"/>
      <c r="C458" s="559"/>
      <c r="D458" s="559"/>
      <c r="E458" s="559"/>
      <c r="F458" s="559"/>
      <c r="G458" s="559"/>
      <c r="H458" s="559"/>
      <c r="I458" s="559"/>
      <c r="J458" s="559"/>
      <c r="K458" s="559"/>
      <c r="L458" s="559"/>
      <c r="M458" s="559"/>
      <c r="N458" s="559"/>
      <c r="O458" s="559"/>
      <c r="P458" s="559"/>
      <c r="Q458" s="559"/>
      <c r="R458" s="559"/>
      <c r="S458" s="559"/>
      <c r="T458" s="559"/>
      <c r="U458" s="559"/>
      <c r="V458" s="559"/>
      <c r="W458" s="559"/>
      <c r="X458" s="559"/>
      <c r="Y458" s="559"/>
      <c r="Z458" s="559"/>
      <c r="AA458" s="559"/>
      <c r="AB458" s="559"/>
      <c r="AC458" s="559"/>
      <c r="AD458" s="559"/>
      <c r="AE458" s="559"/>
      <c r="AF458" s="559"/>
      <c r="AG458" s="559"/>
      <c r="AH458" s="559"/>
      <c r="AI458" s="559"/>
      <c r="AJ458" s="559"/>
      <c r="AK458" s="559"/>
      <c r="AL458" s="559"/>
      <c r="AM458" s="559"/>
      <c r="AN458" s="559"/>
    </row>
    <row r="459">
      <c r="A459" s="559"/>
      <c r="B459" s="559"/>
      <c r="C459" s="559"/>
      <c r="D459" s="559"/>
      <c r="E459" s="559"/>
      <c r="F459" s="559"/>
      <c r="G459" s="559"/>
      <c r="H459" s="559"/>
      <c r="I459" s="559"/>
      <c r="J459" s="559"/>
      <c r="K459" s="559"/>
      <c r="L459" s="559"/>
      <c r="M459" s="559"/>
      <c r="N459" s="559"/>
      <c r="O459" s="559"/>
      <c r="P459" s="559"/>
      <c r="Q459" s="559"/>
      <c r="R459" s="559"/>
      <c r="S459" s="559"/>
      <c r="T459" s="559"/>
      <c r="U459" s="559"/>
      <c r="V459" s="559"/>
      <c r="W459" s="559"/>
      <c r="X459" s="559"/>
      <c r="Y459" s="559"/>
      <c r="Z459" s="559"/>
      <c r="AA459" s="559"/>
      <c r="AB459" s="559"/>
      <c r="AC459" s="559"/>
      <c r="AD459" s="559"/>
      <c r="AE459" s="559"/>
      <c r="AF459" s="559"/>
      <c r="AG459" s="559"/>
      <c r="AH459" s="559"/>
      <c r="AI459" s="559"/>
      <c r="AJ459" s="559"/>
      <c r="AK459" s="559"/>
      <c r="AL459" s="559"/>
      <c r="AM459" s="559"/>
      <c r="AN459" s="559"/>
    </row>
    <row r="460">
      <c r="A460" s="559"/>
      <c r="B460" s="559"/>
      <c r="C460" s="559"/>
      <c r="D460" s="559"/>
      <c r="E460" s="559"/>
      <c r="F460" s="559"/>
      <c r="G460" s="559"/>
      <c r="H460" s="559"/>
      <c r="I460" s="559"/>
      <c r="J460" s="559"/>
      <c r="K460" s="559"/>
      <c r="L460" s="559"/>
      <c r="M460" s="559"/>
      <c r="N460" s="559"/>
      <c r="O460" s="559"/>
      <c r="P460" s="559"/>
      <c r="Q460" s="559"/>
      <c r="R460" s="559"/>
      <c r="S460" s="559"/>
      <c r="T460" s="559"/>
      <c r="U460" s="559"/>
      <c r="V460" s="559"/>
      <c r="W460" s="559"/>
      <c r="X460" s="559"/>
      <c r="Y460" s="559"/>
      <c r="Z460" s="559"/>
      <c r="AA460" s="559"/>
      <c r="AB460" s="559"/>
      <c r="AC460" s="559"/>
      <c r="AD460" s="559"/>
      <c r="AE460" s="559"/>
      <c r="AF460" s="559"/>
      <c r="AG460" s="559"/>
      <c r="AH460" s="559"/>
      <c r="AI460" s="559"/>
      <c r="AJ460" s="559"/>
      <c r="AK460" s="559"/>
      <c r="AL460" s="559"/>
      <c r="AM460" s="559"/>
      <c r="AN460" s="559"/>
    </row>
    <row r="461">
      <c r="A461" s="559"/>
      <c r="B461" s="559"/>
      <c r="C461" s="559"/>
      <c r="D461" s="559"/>
      <c r="E461" s="559"/>
      <c r="F461" s="559"/>
      <c r="G461" s="559"/>
      <c r="H461" s="559"/>
      <c r="I461" s="559"/>
      <c r="J461" s="559"/>
      <c r="K461" s="559"/>
      <c r="L461" s="559"/>
      <c r="M461" s="559"/>
      <c r="N461" s="559"/>
      <c r="O461" s="559"/>
      <c r="P461" s="559"/>
      <c r="Q461" s="559"/>
      <c r="R461" s="559"/>
      <c r="S461" s="559"/>
      <c r="T461" s="559"/>
      <c r="U461" s="559"/>
      <c r="V461" s="559"/>
      <c r="W461" s="559"/>
      <c r="X461" s="559"/>
      <c r="Y461" s="559"/>
      <c r="Z461" s="559"/>
      <c r="AA461" s="559"/>
      <c r="AB461" s="559"/>
      <c r="AC461" s="559"/>
      <c r="AD461" s="559"/>
      <c r="AE461" s="559"/>
      <c r="AF461" s="559"/>
      <c r="AG461" s="559"/>
      <c r="AH461" s="559"/>
      <c r="AI461" s="559"/>
      <c r="AJ461" s="559"/>
      <c r="AK461" s="559"/>
      <c r="AL461" s="559"/>
      <c r="AM461" s="559"/>
      <c r="AN461" s="559"/>
    </row>
    <row r="462">
      <c r="A462" s="559"/>
      <c r="B462" s="559"/>
      <c r="C462" s="559"/>
      <c r="D462" s="559"/>
      <c r="E462" s="559"/>
      <c r="F462" s="559"/>
      <c r="G462" s="559"/>
      <c r="H462" s="559"/>
      <c r="I462" s="559"/>
      <c r="J462" s="559"/>
      <c r="K462" s="559"/>
      <c r="L462" s="559"/>
      <c r="M462" s="559"/>
      <c r="N462" s="559"/>
      <c r="O462" s="559"/>
      <c r="P462" s="559"/>
      <c r="Q462" s="559"/>
      <c r="R462" s="559"/>
      <c r="S462" s="559"/>
      <c r="T462" s="559"/>
      <c r="U462" s="559"/>
      <c r="V462" s="559"/>
      <c r="W462" s="559"/>
      <c r="X462" s="559"/>
      <c r="Y462" s="559"/>
      <c r="Z462" s="559"/>
      <c r="AA462" s="559"/>
      <c r="AB462" s="559"/>
      <c r="AC462" s="559"/>
      <c r="AD462" s="559"/>
      <c r="AE462" s="559"/>
      <c r="AF462" s="559"/>
      <c r="AG462" s="559"/>
      <c r="AH462" s="559"/>
      <c r="AI462" s="559"/>
      <c r="AJ462" s="559"/>
      <c r="AK462" s="559"/>
      <c r="AL462" s="559"/>
      <c r="AM462" s="559"/>
      <c r="AN462" s="559"/>
    </row>
    <row r="463">
      <c r="A463" s="559"/>
      <c r="B463" s="559"/>
      <c r="C463" s="559"/>
      <c r="D463" s="559"/>
      <c r="E463" s="559"/>
      <c r="F463" s="559"/>
      <c r="G463" s="559"/>
      <c r="H463" s="559"/>
      <c r="I463" s="559"/>
      <c r="J463" s="559"/>
      <c r="K463" s="559"/>
      <c r="L463" s="559"/>
      <c r="M463" s="559"/>
      <c r="N463" s="559"/>
      <c r="O463" s="559"/>
      <c r="P463" s="559"/>
      <c r="Q463" s="559"/>
      <c r="R463" s="559"/>
      <c r="S463" s="559"/>
      <c r="T463" s="559"/>
      <c r="U463" s="559"/>
      <c r="V463" s="559"/>
      <c r="W463" s="559"/>
      <c r="X463" s="559"/>
      <c r="Y463" s="559"/>
      <c r="Z463" s="559"/>
      <c r="AA463" s="559"/>
      <c r="AB463" s="559"/>
      <c r="AC463" s="559"/>
      <c r="AD463" s="559"/>
      <c r="AE463" s="559"/>
      <c r="AF463" s="559"/>
      <c r="AG463" s="559"/>
      <c r="AH463" s="559"/>
      <c r="AI463" s="559"/>
      <c r="AJ463" s="559"/>
      <c r="AK463" s="559"/>
      <c r="AL463" s="559"/>
      <c r="AM463" s="559"/>
      <c r="AN463" s="559"/>
    </row>
    <row r="464">
      <c r="A464" s="559"/>
      <c r="B464" s="559"/>
      <c r="C464" s="559"/>
      <c r="D464" s="559"/>
      <c r="E464" s="559"/>
      <c r="F464" s="559"/>
      <c r="G464" s="559"/>
      <c r="H464" s="559"/>
      <c r="I464" s="559"/>
      <c r="J464" s="559"/>
      <c r="K464" s="559"/>
      <c r="L464" s="559"/>
      <c r="M464" s="559"/>
      <c r="N464" s="559"/>
      <c r="O464" s="559"/>
      <c r="P464" s="559"/>
      <c r="Q464" s="559"/>
      <c r="R464" s="559"/>
      <c r="S464" s="559"/>
      <c r="T464" s="559"/>
      <c r="U464" s="559"/>
      <c r="V464" s="559"/>
      <c r="W464" s="559"/>
      <c r="X464" s="559"/>
      <c r="Y464" s="559"/>
      <c r="Z464" s="559"/>
      <c r="AA464" s="559"/>
      <c r="AB464" s="559"/>
      <c r="AC464" s="559"/>
      <c r="AD464" s="559"/>
      <c r="AE464" s="559"/>
      <c r="AF464" s="559"/>
      <c r="AG464" s="559"/>
      <c r="AH464" s="559"/>
      <c r="AI464" s="559"/>
      <c r="AJ464" s="559"/>
      <c r="AK464" s="559"/>
      <c r="AL464" s="559"/>
      <c r="AM464" s="559"/>
      <c r="AN464" s="559"/>
    </row>
    <row r="465">
      <c r="A465" s="559"/>
      <c r="B465" s="559"/>
      <c r="C465" s="559"/>
      <c r="D465" s="559"/>
      <c r="E465" s="559"/>
      <c r="F465" s="559"/>
      <c r="G465" s="559"/>
      <c r="H465" s="559"/>
      <c r="I465" s="559"/>
      <c r="J465" s="559"/>
      <c r="K465" s="559"/>
      <c r="L465" s="559"/>
      <c r="M465" s="559"/>
      <c r="N465" s="559"/>
      <c r="O465" s="559"/>
      <c r="P465" s="559"/>
      <c r="Q465" s="559"/>
      <c r="R465" s="559"/>
      <c r="S465" s="559"/>
      <c r="T465" s="559"/>
      <c r="U465" s="559"/>
      <c r="V465" s="559"/>
      <c r="W465" s="559"/>
      <c r="X465" s="559"/>
      <c r="Y465" s="559"/>
      <c r="Z465" s="559"/>
      <c r="AA465" s="559"/>
      <c r="AB465" s="559"/>
      <c r="AC465" s="559"/>
      <c r="AD465" s="559"/>
      <c r="AE465" s="559"/>
      <c r="AF465" s="559"/>
      <c r="AG465" s="559"/>
      <c r="AH465" s="559"/>
      <c r="AI465" s="559"/>
      <c r="AJ465" s="559"/>
      <c r="AK465" s="559"/>
      <c r="AL465" s="559"/>
      <c r="AM465" s="559"/>
      <c r="AN465" s="559"/>
    </row>
    <row r="466">
      <c r="A466" s="559"/>
      <c r="B466" s="559"/>
      <c r="C466" s="559"/>
      <c r="D466" s="559"/>
      <c r="E466" s="559"/>
      <c r="F466" s="559"/>
      <c r="G466" s="559"/>
      <c r="H466" s="559"/>
      <c r="I466" s="559"/>
      <c r="J466" s="559"/>
      <c r="K466" s="559"/>
      <c r="L466" s="559"/>
      <c r="M466" s="559"/>
      <c r="N466" s="559"/>
      <c r="O466" s="559"/>
      <c r="P466" s="559"/>
      <c r="Q466" s="559"/>
      <c r="R466" s="559"/>
      <c r="S466" s="559"/>
      <c r="T466" s="559"/>
      <c r="U466" s="559"/>
      <c r="V466" s="559"/>
      <c r="W466" s="559"/>
      <c r="X466" s="559"/>
      <c r="Y466" s="559"/>
      <c r="Z466" s="559"/>
      <c r="AA466" s="559"/>
      <c r="AB466" s="559"/>
      <c r="AC466" s="559"/>
      <c r="AD466" s="559"/>
      <c r="AE466" s="559"/>
      <c r="AF466" s="559"/>
      <c r="AG466" s="559"/>
      <c r="AH466" s="559"/>
      <c r="AI466" s="559"/>
      <c r="AJ466" s="559"/>
      <c r="AK466" s="559"/>
      <c r="AL466" s="559"/>
      <c r="AM466" s="559"/>
      <c r="AN466" s="559"/>
    </row>
    <row r="467">
      <c r="A467" s="559"/>
      <c r="B467" s="559"/>
      <c r="C467" s="559"/>
      <c r="D467" s="559"/>
      <c r="E467" s="559"/>
      <c r="F467" s="559"/>
      <c r="G467" s="559"/>
      <c r="H467" s="559"/>
      <c r="I467" s="559"/>
      <c r="J467" s="559"/>
      <c r="K467" s="559"/>
      <c r="L467" s="559"/>
      <c r="M467" s="559"/>
      <c r="N467" s="559"/>
      <c r="O467" s="559"/>
      <c r="P467" s="559"/>
      <c r="Q467" s="559"/>
      <c r="R467" s="559"/>
      <c r="S467" s="559"/>
      <c r="T467" s="559"/>
      <c r="U467" s="559"/>
      <c r="V467" s="559"/>
      <c r="W467" s="559"/>
      <c r="X467" s="559"/>
      <c r="Y467" s="559"/>
      <c r="Z467" s="559"/>
      <c r="AA467" s="559"/>
      <c r="AB467" s="559"/>
      <c r="AC467" s="559"/>
      <c r="AD467" s="559"/>
      <c r="AE467" s="559"/>
      <c r="AF467" s="559"/>
      <c r="AG467" s="559"/>
      <c r="AH467" s="559"/>
      <c r="AI467" s="559"/>
      <c r="AJ467" s="559"/>
      <c r="AK467" s="559"/>
      <c r="AL467" s="559"/>
      <c r="AM467" s="559"/>
      <c r="AN467" s="559"/>
    </row>
    <row r="468">
      <c r="A468" s="559"/>
      <c r="B468" s="559"/>
      <c r="C468" s="559"/>
      <c r="D468" s="559"/>
      <c r="E468" s="559"/>
      <c r="F468" s="559"/>
      <c r="G468" s="559"/>
      <c r="H468" s="559"/>
      <c r="I468" s="559"/>
      <c r="J468" s="559"/>
      <c r="K468" s="559"/>
      <c r="L468" s="559"/>
      <c r="M468" s="559"/>
      <c r="N468" s="559"/>
      <c r="O468" s="559"/>
      <c r="P468" s="559"/>
      <c r="Q468" s="559"/>
      <c r="R468" s="559"/>
      <c r="S468" s="559"/>
      <c r="T468" s="559"/>
      <c r="U468" s="559"/>
      <c r="V468" s="559"/>
      <c r="W468" s="559"/>
      <c r="X468" s="559"/>
      <c r="Y468" s="559"/>
      <c r="Z468" s="559"/>
      <c r="AA468" s="559"/>
      <c r="AB468" s="559"/>
      <c r="AC468" s="559"/>
      <c r="AD468" s="559"/>
      <c r="AE468" s="559"/>
      <c r="AF468" s="559"/>
      <c r="AG468" s="559"/>
      <c r="AH468" s="559"/>
      <c r="AI468" s="559"/>
      <c r="AJ468" s="559"/>
      <c r="AK468" s="559"/>
      <c r="AL468" s="559"/>
      <c r="AM468" s="559"/>
      <c r="AN468" s="559"/>
    </row>
    <row r="469">
      <c r="A469" s="559"/>
      <c r="B469" s="559"/>
      <c r="C469" s="559"/>
      <c r="D469" s="559"/>
      <c r="E469" s="559"/>
      <c r="F469" s="559"/>
      <c r="G469" s="559"/>
      <c r="H469" s="559"/>
      <c r="I469" s="559"/>
      <c r="J469" s="559"/>
      <c r="K469" s="559"/>
      <c r="L469" s="559"/>
      <c r="M469" s="559"/>
      <c r="N469" s="559"/>
      <c r="O469" s="559"/>
      <c r="P469" s="559"/>
      <c r="Q469" s="559"/>
      <c r="R469" s="559"/>
      <c r="S469" s="559"/>
      <c r="T469" s="559"/>
      <c r="U469" s="559"/>
      <c r="V469" s="559"/>
      <c r="W469" s="559"/>
      <c r="X469" s="559"/>
      <c r="Y469" s="559"/>
      <c r="Z469" s="559"/>
      <c r="AA469" s="559"/>
      <c r="AB469" s="559"/>
      <c r="AC469" s="559"/>
      <c r="AD469" s="559"/>
      <c r="AE469" s="559"/>
      <c r="AF469" s="559"/>
      <c r="AG469" s="559"/>
      <c r="AH469" s="559"/>
      <c r="AI469" s="559"/>
      <c r="AJ469" s="559"/>
      <c r="AK469" s="559"/>
      <c r="AL469" s="559"/>
      <c r="AM469" s="559"/>
      <c r="AN469" s="559"/>
    </row>
    <row r="470">
      <c r="A470" s="559"/>
      <c r="B470" s="559"/>
      <c r="C470" s="559"/>
      <c r="D470" s="559"/>
      <c r="E470" s="559"/>
      <c r="F470" s="559"/>
      <c r="G470" s="559"/>
      <c r="H470" s="559"/>
      <c r="I470" s="559"/>
      <c r="J470" s="559"/>
      <c r="K470" s="559"/>
      <c r="L470" s="559"/>
      <c r="M470" s="559"/>
      <c r="N470" s="559"/>
      <c r="O470" s="559"/>
      <c r="P470" s="559"/>
      <c r="Q470" s="559"/>
      <c r="R470" s="559"/>
      <c r="S470" s="559"/>
      <c r="T470" s="559"/>
      <c r="U470" s="559"/>
      <c r="V470" s="559"/>
      <c r="W470" s="559"/>
      <c r="X470" s="559"/>
      <c r="Y470" s="559"/>
      <c r="Z470" s="559"/>
      <c r="AA470" s="559"/>
      <c r="AB470" s="559"/>
      <c r="AC470" s="559"/>
      <c r="AD470" s="559"/>
      <c r="AE470" s="559"/>
      <c r="AF470" s="559"/>
      <c r="AG470" s="559"/>
      <c r="AH470" s="559"/>
      <c r="AI470" s="559"/>
      <c r="AJ470" s="559"/>
      <c r="AK470" s="559"/>
      <c r="AL470" s="559"/>
      <c r="AM470" s="559"/>
      <c r="AN470" s="559"/>
    </row>
    <row r="471">
      <c r="A471" s="559"/>
      <c r="B471" s="559"/>
      <c r="C471" s="559"/>
      <c r="D471" s="559"/>
      <c r="E471" s="559"/>
      <c r="F471" s="559"/>
      <c r="G471" s="559"/>
      <c r="H471" s="559"/>
      <c r="I471" s="559"/>
      <c r="J471" s="559"/>
      <c r="K471" s="559"/>
      <c r="L471" s="559"/>
      <c r="M471" s="559"/>
      <c r="N471" s="559"/>
      <c r="O471" s="559"/>
      <c r="P471" s="559"/>
      <c r="Q471" s="559"/>
      <c r="R471" s="559"/>
      <c r="S471" s="559"/>
      <c r="T471" s="559"/>
      <c r="U471" s="559"/>
      <c r="V471" s="559"/>
      <c r="W471" s="559"/>
      <c r="X471" s="559"/>
      <c r="Y471" s="559"/>
      <c r="Z471" s="559"/>
      <c r="AA471" s="559"/>
      <c r="AB471" s="559"/>
      <c r="AC471" s="559"/>
      <c r="AD471" s="559"/>
      <c r="AE471" s="559"/>
      <c r="AF471" s="559"/>
      <c r="AG471" s="559"/>
      <c r="AH471" s="559"/>
      <c r="AI471" s="559"/>
      <c r="AJ471" s="559"/>
      <c r="AK471" s="559"/>
      <c r="AL471" s="559"/>
      <c r="AM471" s="559"/>
      <c r="AN471" s="559"/>
    </row>
    <row r="472">
      <c r="A472" s="559"/>
      <c r="B472" s="559"/>
      <c r="C472" s="559"/>
      <c r="D472" s="559"/>
      <c r="E472" s="559"/>
      <c r="F472" s="559"/>
      <c r="G472" s="559"/>
      <c r="H472" s="559"/>
      <c r="I472" s="559"/>
      <c r="J472" s="559"/>
      <c r="K472" s="559"/>
      <c r="L472" s="559"/>
      <c r="M472" s="559"/>
      <c r="N472" s="559"/>
      <c r="O472" s="559"/>
      <c r="P472" s="559"/>
      <c r="Q472" s="559"/>
      <c r="R472" s="559"/>
      <c r="S472" s="559"/>
      <c r="T472" s="559"/>
      <c r="U472" s="559"/>
      <c r="V472" s="559"/>
      <c r="W472" s="559"/>
      <c r="X472" s="559"/>
      <c r="Y472" s="559"/>
      <c r="Z472" s="559"/>
      <c r="AA472" s="559"/>
      <c r="AB472" s="559"/>
      <c r="AC472" s="559"/>
      <c r="AD472" s="559"/>
      <c r="AE472" s="559"/>
      <c r="AF472" s="559"/>
      <c r="AG472" s="559"/>
      <c r="AH472" s="559"/>
      <c r="AI472" s="559"/>
      <c r="AJ472" s="559"/>
      <c r="AK472" s="559"/>
      <c r="AL472" s="559"/>
      <c r="AM472" s="559"/>
      <c r="AN472" s="559"/>
    </row>
    <row r="473">
      <c r="A473" s="559"/>
      <c r="B473" s="559"/>
      <c r="C473" s="559"/>
      <c r="D473" s="559"/>
      <c r="E473" s="559"/>
      <c r="F473" s="559"/>
      <c r="G473" s="559"/>
      <c r="H473" s="559"/>
      <c r="I473" s="559"/>
      <c r="J473" s="559"/>
      <c r="K473" s="559"/>
      <c r="L473" s="559"/>
      <c r="M473" s="559"/>
      <c r="N473" s="559"/>
      <c r="O473" s="559"/>
      <c r="P473" s="559"/>
      <c r="Q473" s="559"/>
      <c r="R473" s="559"/>
      <c r="S473" s="559"/>
      <c r="T473" s="559"/>
      <c r="U473" s="559"/>
      <c r="V473" s="559"/>
      <c r="W473" s="559"/>
      <c r="X473" s="559"/>
      <c r="Y473" s="559"/>
      <c r="Z473" s="559"/>
      <c r="AA473" s="559"/>
      <c r="AB473" s="559"/>
      <c r="AC473" s="559"/>
      <c r="AD473" s="559"/>
      <c r="AE473" s="559"/>
      <c r="AF473" s="559"/>
      <c r="AG473" s="559"/>
      <c r="AH473" s="559"/>
      <c r="AI473" s="559"/>
      <c r="AJ473" s="559"/>
      <c r="AK473" s="559"/>
      <c r="AL473" s="559"/>
      <c r="AM473" s="559"/>
      <c r="AN473" s="559"/>
    </row>
    <row r="474">
      <c r="A474" s="559"/>
      <c r="B474" s="559"/>
      <c r="C474" s="559"/>
      <c r="D474" s="559"/>
      <c r="E474" s="559"/>
      <c r="F474" s="559"/>
      <c r="G474" s="559"/>
      <c r="H474" s="559"/>
      <c r="I474" s="559"/>
      <c r="J474" s="559"/>
      <c r="K474" s="559"/>
      <c r="L474" s="559"/>
      <c r="M474" s="559"/>
      <c r="N474" s="559"/>
      <c r="O474" s="559"/>
      <c r="P474" s="559"/>
      <c r="Q474" s="559"/>
      <c r="R474" s="559"/>
      <c r="S474" s="559"/>
      <c r="T474" s="559"/>
      <c r="U474" s="559"/>
      <c r="V474" s="559"/>
      <c r="W474" s="559"/>
      <c r="X474" s="559"/>
      <c r="Y474" s="559"/>
      <c r="Z474" s="559"/>
      <c r="AA474" s="559"/>
      <c r="AB474" s="559"/>
      <c r="AC474" s="559"/>
      <c r="AD474" s="559"/>
      <c r="AE474" s="559"/>
      <c r="AF474" s="559"/>
      <c r="AG474" s="559"/>
      <c r="AH474" s="559"/>
      <c r="AI474" s="559"/>
      <c r="AJ474" s="559"/>
      <c r="AK474" s="559"/>
      <c r="AL474" s="559"/>
      <c r="AM474" s="559"/>
      <c r="AN474" s="559"/>
    </row>
    <row r="475">
      <c r="A475" s="559"/>
      <c r="B475" s="559"/>
      <c r="C475" s="559"/>
      <c r="D475" s="559"/>
      <c r="E475" s="559"/>
      <c r="F475" s="559"/>
      <c r="G475" s="559"/>
      <c r="H475" s="559"/>
      <c r="I475" s="559"/>
      <c r="J475" s="559"/>
      <c r="K475" s="559"/>
      <c r="L475" s="559"/>
      <c r="M475" s="559"/>
      <c r="N475" s="559"/>
      <c r="O475" s="559"/>
      <c r="P475" s="559"/>
      <c r="Q475" s="559"/>
      <c r="R475" s="559"/>
      <c r="S475" s="559"/>
      <c r="T475" s="559"/>
      <c r="U475" s="559"/>
      <c r="V475" s="559"/>
      <c r="W475" s="559"/>
      <c r="X475" s="559"/>
      <c r="Y475" s="559"/>
      <c r="Z475" s="559"/>
      <c r="AA475" s="559"/>
      <c r="AB475" s="559"/>
      <c r="AC475" s="559"/>
      <c r="AD475" s="559"/>
      <c r="AE475" s="559"/>
      <c r="AF475" s="559"/>
      <c r="AG475" s="559"/>
      <c r="AH475" s="559"/>
      <c r="AI475" s="559"/>
      <c r="AJ475" s="559"/>
      <c r="AK475" s="559"/>
      <c r="AL475" s="559"/>
      <c r="AM475" s="559"/>
      <c r="AN475" s="559"/>
    </row>
    <row r="476">
      <c r="A476" s="559"/>
      <c r="B476" s="559"/>
      <c r="C476" s="559"/>
      <c r="D476" s="559"/>
      <c r="E476" s="559"/>
      <c r="F476" s="559"/>
      <c r="G476" s="559"/>
      <c r="H476" s="559"/>
      <c r="I476" s="559"/>
      <c r="J476" s="559"/>
      <c r="K476" s="559"/>
      <c r="L476" s="559"/>
      <c r="M476" s="559"/>
      <c r="N476" s="559"/>
      <c r="O476" s="559"/>
      <c r="P476" s="559"/>
      <c r="Q476" s="559"/>
      <c r="R476" s="559"/>
      <c r="S476" s="559"/>
      <c r="T476" s="559"/>
      <c r="U476" s="559"/>
      <c r="V476" s="559"/>
      <c r="W476" s="559"/>
      <c r="X476" s="559"/>
      <c r="Y476" s="559"/>
      <c r="Z476" s="559"/>
      <c r="AA476" s="559"/>
      <c r="AB476" s="559"/>
      <c r="AC476" s="559"/>
      <c r="AD476" s="559"/>
      <c r="AE476" s="559"/>
      <c r="AF476" s="559"/>
      <c r="AG476" s="559"/>
      <c r="AH476" s="559"/>
      <c r="AI476" s="559"/>
      <c r="AJ476" s="559"/>
      <c r="AK476" s="559"/>
      <c r="AL476" s="559"/>
      <c r="AM476" s="559"/>
      <c r="AN476" s="559"/>
    </row>
    <row r="477">
      <c r="A477" s="559"/>
      <c r="B477" s="559"/>
      <c r="C477" s="559"/>
      <c r="D477" s="559"/>
      <c r="E477" s="559"/>
      <c r="F477" s="559"/>
      <c r="G477" s="559"/>
      <c r="H477" s="559"/>
      <c r="I477" s="559"/>
      <c r="J477" s="559"/>
      <c r="K477" s="559"/>
      <c r="L477" s="559"/>
      <c r="M477" s="559"/>
      <c r="N477" s="559"/>
      <c r="O477" s="559"/>
      <c r="P477" s="559"/>
      <c r="Q477" s="559"/>
      <c r="R477" s="559"/>
      <c r="S477" s="559"/>
      <c r="T477" s="559"/>
      <c r="U477" s="559"/>
      <c r="V477" s="559"/>
      <c r="W477" s="559"/>
      <c r="X477" s="559"/>
      <c r="Y477" s="559"/>
      <c r="Z477" s="559"/>
      <c r="AA477" s="559"/>
      <c r="AB477" s="559"/>
      <c r="AC477" s="559"/>
      <c r="AD477" s="559"/>
      <c r="AE477" s="559"/>
      <c r="AF477" s="559"/>
      <c r="AG477" s="559"/>
      <c r="AH477" s="559"/>
      <c r="AI477" s="559"/>
      <c r="AJ477" s="559"/>
      <c r="AK477" s="559"/>
      <c r="AL477" s="559"/>
      <c r="AM477" s="559"/>
      <c r="AN477" s="559"/>
    </row>
    <row r="478">
      <c r="A478" s="559"/>
      <c r="B478" s="559"/>
      <c r="C478" s="559"/>
      <c r="D478" s="559"/>
      <c r="E478" s="559"/>
      <c r="F478" s="559"/>
      <c r="G478" s="559"/>
      <c r="H478" s="559"/>
      <c r="I478" s="559"/>
      <c r="J478" s="559"/>
      <c r="K478" s="559"/>
      <c r="L478" s="559"/>
      <c r="M478" s="559"/>
      <c r="N478" s="559"/>
      <c r="O478" s="559"/>
      <c r="P478" s="559"/>
      <c r="Q478" s="559"/>
      <c r="R478" s="559"/>
      <c r="S478" s="559"/>
      <c r="T478" s="559"/>
      <c r="U478" s="559"/>
      <c r="V478" s="559"/>
      <c r="W478" s="559"/>
      <c r="X478" s="559"/>
      <c r="Y478" s="559"/>
      <c r="Z478" s="559"/>
      <c r="AA478" s="559"/>
      <c r="AB478" s="559"/>
      <c r="AC478" s="559"/>
      <c r="AD478" s="559"/>
      <c r="AE478" s="559"/>
      <c r="AF478" s="559"/>
      <c r="AG478" s="559"/>
      <c r="AH478" s="559"/>
      <c r="AI478" s="559"/>
      <c r="AJ478" s="559"/>
      <c r="AK478" s="559"/>
      <c r="AL478" s="559"/>
      <c r="AM478" s="559"/>
      <c r="AN478" s="559"/>
    </row>
    <row r="479">
      <c r="A479" s="559"/>
      <c r="B479" s="559"/>
      <c r="C479" s="559"/>
      <c r="D479" s="559"/>
      <c r="E479" s="559"/>
      <c r="F479" s="559"/>
      <c r="G479" s="559"/>
      <c r="H479" s="559"/>
      <c r="I479" s="559"/>
      <c r="J479" s="559"/>
      <c r="K479" s="559"/>
      <c r="L479" s="559"/>
      <c r="M479" s="559"/>
      <c r="N479" s="559"/>
      <c r="O479" s="559"/>
      <c r="P479" s="559"/>
      <c r="Q479" s="559"/>
      <c r="R479" s="559"/>
      <c r="S479" s="559"/>
      <c r="T479" s="559"/>
      <c r="U479" s="559"/>
      <c r="V479" s="559"/>
      <c r="W479" s="559"/>
      <c r="X479" s="559"/>
      <c r="Y479" s="559"/>
      <c r="Z479" s="559"/>
      <c r="AA479" s="559"/>
      <c r="AB479" s="559"/>
      <c r="AC479" s="559"/>
      <c r="AD479" s="559"/>
      <c r="AE479" s="559"/>
      <c r="AF479" s="559"/>
      <c r="AG479" s="559"/>
      <c r="AH479" s="559"/>
      <c r="AI479" s="559"/>
      <c r="AJ479" s="559"/>
      <c r="AK479" s="559"/>
      <c r="AL479" s="559"/>
      <c r="AM479" s="559"/>
      <c r="AN479" s="559"/>
    </row>
    <row r="480">
      <c r="A480" s="559"/>
      <c r="B480" s="559"/>
      <c r="C480" s="559"/>
      <c r="D480" s="559"/>
      <c r="E480" s="559"/>
      <c r="F480" s="559"/>
      <c r="G480" s="559"/>
      <c r="H480" s="559"/>
      <c r="I480" s="559"/>
      <c r="J480" s="559"/>
      <c r="K480" s="559"/>
      <c r="L480" s="559"/>
      <c r="M480" s="559"/>
      <c r="N480" s="559"/>
      <c r="O480" s="559"/>
      <c r="P480" s="559"/>
      <c r="Q480" s="559"/>
      <c r="R480" s="559"/>
      <c r="S480" s="559"/>
      <c r="T480" s="559"/>
      <c r="U480" s="559"/>
      <c r="V480" s="559"/>
      <c r="W480" s="559"/>
      <c r="X480" s="559"/>
      <c r="Y480" s="559"/>
      <c r="Z480" s="559"/>
      <c r="AA480" s="559"/>
      <c r="AB480" s="559"/>
      <c r="AC480" s="559"/>
      <c r="AD480" s="559"/>
      <c r="AE480" s="559"/>
      <c r="AF480" s="559"/>
      <c r="AG480" s="559"/>
      <c r="AH480" s="559"/>
      <c r="AI480" s="559"/>
      <c r="AJ480" s="559"/>
      <c r="AK480" s="559"/>
      <c r="AL480" s="559"/>
      <c r="AM480" s="559"/>
      <c r="AN480" s="559"/>
    </row>
    <row r="481">
      <c r="A481" s="559"/>
      <c r="B481" s="559"/>
      <c r="C481" s="559"/>
      <c r="D481" s="559"/>
      <c r="E481" s="559"/>
      <c r="F481" s="559"/>
      <c r="G481" s="559"/>
      <c r="H481" s="559"/>
      <c r="I481" s="559"/>
      <c r="J481" s="559"/>
      <c r="K481" s="559"/>
      <c r="L481" s="559"/>
      <c r="M481" s="559"/>
      <c r="N481" s="559"/>
      <c r="O481" s="559"/>
      <c r="P481" s="559"/>
      <c r="Q481" s="559"/>
      <c r="R481" s="559"/>
      <c r="S481" s="559"/>
      <c r="T481" s="559"/>
      <c r="U481" s="559"/>
      <c r="V481" s="559"/>
      <c r="W481" s="559"/>
      <c r="X481" s="559"/>
      <c r="Y481" s="559"/>
      <c r="Z481" s="559"/>
      <c r="AA481" s="559"/>
      <c r="AB481" s="559"/>
      <c r="AC481" s="559"/>
      <c r="AD481" s="559"/>
      <c r="AE481" s="559"/>
      <c r="AF481" s="559"/>
      <c r="AG481" s="559"/>
      <c r="AH481" s="559"/>
      <c r="AI481" s="559"/>
      <c r="AJ481" s="559"/>
      <c r="AK481" s="559"/>
      <c r="AL481" s="559"/>
      <c r="AM481" s="559"/>
      <c r="AN481" s="559"/>
    </row>
    <row r="482">
      <c r="A482" s="559"/>
      <c r="B482" s="559"/>
      <c r="C482" s="559"/>
      <c r="D482" s="559"/>
      <c r="E482" s="559"/>
      <c r="F482" s="559"/>
      <c r="G482" s="559"/>
      <c r="H482" s="559"/>
      <c r="I482" s="559"/>
      <c r="J482" s="559"/>
      <c r="K482" s="559"/>
      <c r="L482" s="559"/>
      <c r="M482" s="559"/>
      <c r="N482" s="559"/>
      <c r="O482" s="559"/>
      <c r="P482" s="559"/>
      <c r="Q482" s="559"/>
      <c r="R482" s="559"/>
      <c r="S482" s="559"/>
      <c r="T482" s="559"/>
      <c r="U482" s="559"/>
      <c r="V482" s="559"/>
      <c r="W482" s="559"/>
      <c r="X482" s="559"/>
      <c r="Y482" s="559"/>
      <c r="Z482" s="559"/>
      <c r="AA482" s="559"/>
      <c r="AB482" s="559"/>
      <c r="AC482" s="559"/>
      <c r="AD482" s="559"/>
      <c r="AE482" s="559"/>
      <c r="AF482" s="559"/>
      <c r="AG482" s="559"/>
      <c r="AH482" s="559"/>
      <c r="AI482" s="559"/>
      <c r="AJ482" s="559"/>
      <c r="AK482" s="559"/>
      <c r="AL482" s="559"/>
      <c r="AM482" s="559"/>
      <c r="AN482" s="559"/>
    </row>
    <row r="483">
      <c r="A483" s="559"/>
      <c r="B483" s="559"/>
      <c r="C483" s="559"/>
      <c r="D483" s="559"/>
      <c r="E483" s="559"/>
      <c r="F483" s="559"/>
      <c r="G483" s="559"/>
      <c r="H483" s="559"/>
      <c r="I483" s="559"/>
      <c r="J483" s="559"/>
      <c r="K483" s="559"/>
      <c r="L483" s="559"/>
      <c r="M483" s="559"/>
      <c r="N483" s="559"/>
      <c r="O483" s="559"/>
      <c r="P483" s="559"/>
      <c r="Q483" s="559"/>
      <c r="R483" s="559"/>
      <c r="S483" s="559"/>
      <c r="T483" s="559"/>
      <c r="U483" s="559"/>
      <c r="V483" s="559"/>
      <c r="W483" s="559"/>
      <c r="X483" s="559"/>
      <c r="Y483" s="559"/>
      <c r="Z483" s="559"/>
      <c r="AA483" s="559"/>
      <c r="AB483" s="559"/>
      <c r="AC483" s="559"/>
      <c r="AD483" s="559"/>
      <c r="AE483" s="559"/>
      <c r="AF483" s="559"/>
      <c r="AG483" s="559"/>
      <c r="AH483" s="559"/>
      <c r="AI483" s="559"/>
      <c r="AJ483" s="559"/>
      <c r="AK483" s="559"/>
      <c r="AL483" s="559"/>
      <c r="AM483" s="559"/>
      <c r="AN483" s="559"/>
    </row>
    <row r="484">
      <c r="A484" s="559"/>
      <c r="B484" s="559"/>
      <c r="C484" s="559"/>
      <c r="D484" s="559"/>
      <c r="E484" s="559"/>
      <c r="F484" s="559"/>
      <c r="G484" s="559"/>
      <c r="H484" s="559"/>
      <c r="I484" s="559"/>
      <c r="J484" s="559"/>
      <c r="K484" s="559"/>
      <c r="L484" s="559"/>
      <c r="M484" s="559"/>
      <c r="N484" s="559"/>
      <c r="O484" s="559"/>
      <c r="P484" s="559"/>
      <c r="Q484" s="559"/>
      <c r="R484" s="559"/>
      <c r="S484" s="559"/>
      <c r="T484" s="559"/>
      <c r="U484" s="559"/>
      <c r="V484" s="559"/>
      <c r="W484" s="559"/>
      <c r="X484" s="559"/>
      <c r="Y484" s="559"/>
      <c r="Z484" s="559"/>
      <c r="AA484" s="559"/>
      <c r="AB484" s="559"/>
      <c r="AC484" s="559"/>
      <c r="AD484" s="559"/>
      <c r="AE484" s="559"/>
      <c r="AF484" s="559"/>
      <c r="AG484" s="559"/>
      <c r="AH484" s="559"/>
      <c r="AI484" s="559"/>
      <c r="AJ484" s="559"/>
      <c r="AK484" s="559"/>
      <c r="AL484" s="559"/>
      <c r="AM484" s="559"/>
      <c r="AN484" s="559"/>
    </row>
    <row r="485">
      <c r="A485" s="559"/>
      <c r="B485" s="559"/>
      <c r="C485" s="559"/>
      <c r="D485" s="559"/>
      <c r="E485" s="559"/>
      <c r="F485" s="559"/>
      <c r="G485" s="559"/>
      <c r="H485" s="559"/>
      <c r="I485" s="559"/>
      <c r="J485" s="559"/>
      <c r="K485" s="559"/>
      <c r="L485" s="559"/>
      <c r="M485" s="559"/>
      <c r="N485" s="559"/>
      <c r="O485" s="559"/>
      <c r="P485" s="559"/>
      <c r="Q485" s="559"/>
      <c r="R485" s="559"/>
      <c r="S485" s="559"/>
      <c r="T485" s="559"/>
      <c r="U485" s="559"/>
      <c r="V485" s="559"/>
      <c r="W485" s="559"/>
      <c r="X485" s="559"/>
      <c r="Y485" s="559"/>
      <c r="Z485" s="559"/>
      <c r="AA485" s="559"/>
      <c r="AB485" s="559"/>
      <c r="AC485" s="559"/>
      <c r="AD485" s="559"/>
      <c r="AE485" s="559"/>
      <c r="AF485" s="559"/>
      <c r="AG485" s="559"/>
      <c r="AH485" s="559"/>
      <c r="AI485" s="559"/>
      <c r="AJ485" s="559"/>
      <c r="AK485" s="559"/>
      <c r="AL485" s="559"/>
      <c r="AM485" s="559"/>
      <c r="AN485" s="559"/>
    </row>
    <row r="486">
      <c r="A486" s="559"/>
      <c r="B486" s="559"/>
      <c r="C486" s="559"/>
      <c r="D486" s="559"/>
      <c r="E486" s="559"/>
      <c r="F486" s="559"/>
      <c r="G486" s="559"/>
      <c r="H486" s="559"/>
      <c r="I486" s="559"/>
      <c r="J486" s="559"/>
      <c r="K486" s="559"/>
      <c r="L486" s="559"/>
      <c r="M486" s="559"/>
      <c r="N486" s="559"/>
      <c r="O486" s="559"/>
      <c r="P486" s="559"/>
      <c r="Q486" s="559"/>
      <c r="R486" s="559"/>
      <c r="S486" s="559"/>
      <c r="T486" s="559"/>
      <c r="U486" s="559"/>
      <c r="V486" s="559"/>
      <c r="W486" s="559"/>
      <c r="X486" s="559"/>
      <c r="Y486" s="559"/>
      <c r="Z486" s="559"/>
      <c r="AA486" s="559"/>
      <c r="AB486" s="559"/>
      <c r="AC486" s="559"/>
      <c r="AD486" s="559"/>
      <c r="AE486" s="559"/>
      <c r="AF486" s="559"/>
      <c r="AG486" s="559"/>
      <c r="AH486" s="559"/>
      <c r="AI486" s="559"/>
      <c r="AJ486" s="559"/>
      <c r="AK486" s="559"/>
      <c r="AL486" s="559"/>
      <c r="AM486" s="559"/>
      <c r="AN486" s="559"/>
    </row>
    <row r="487">
      <c r="A487" s="559"/>
      <c r="B487" s="559"/>
      <c r="C487" s="559"/>
      <c r="D487" s="559"/>
      <c r="E487" s="559"/>
      <c r="F487" s="559"/>
      <c r="G487" s="559"/>
      <c r="H487" s="559"/>
      <c r="I487" s="559"/>
      <c r="J487" s="559"/>
      <c r="K487" s="559"/>
      <c r="L487" s="559"/>
      <c r="M487" s="559"/>
      <c r="N487" s="559"/>
      <c r="O487" s="559"/>
      <c r="P487" s="559"/>
      <c r="Q487" s="559"/>
      <c r="R487" s="559"/>
      <c r="S487" s="559"/>
      <c r="T487" s="559"/>
      <c r="U487" s="559"/>
      <c r="V487" s="559"/>
      <c r="W487" s="559"/>
      <c r="X487" s="559"/>
      <c r="Y487" s="559"/>
      <c r="Z487" s="559"/>
      <c r="AA487" s="559"/>
      <c r="AB487" s="559"/>
      <c r="AC487" s="559"/>
      <c r="AD487" s="559"/>
      <c r="AE487" s="559"/>
      <c r="AF487" s="559"/>
      <c r="AG487" s="559"/>
      <c r="AH487" s="559"/>
      <c r="AI487" s="559"/>
      <c r="AJ487" s="559"/>
      <c r="AK487" s="559"/>
      <c r="AL487" s="559"/>
      <c r="AM487" s="559"/>
      <c r="AN487" s="559"/>
    </row>
    <row r="488">
      <c r="A488" s="559"/>
      <c r="B488" s="559"/>
      <c r="C488" s="559"/>
      <c r="D488" s="559"/>
      <c r="E488" s="559"/>
      <c r="F488" s="559"/>
      <c r="G488" s="559"/>
      <c r="H488" s="559"/>
      <c r="I488" s="559"/>
      <c r="J488" s="559"/>
      <c r="K488" s="559"/>
      <c r="L488" s="559"/>
      <c r="M488" s="559"/>
      <c r="N488" s="559"/>
      <c r="O488" s="559"/>
      <c r="P488" s="559"/>
      <c r="Q488" s="559"/>
      <c r="R488" s="559"/>
      <c r="S488" s="559"/>
      <c r="T488" s="559"/>
      <c r="U488" s="559"/>
      <c r="V488" s="559"/>
      <c r="W488" s="559"/>
      <c r="X488" s="559"/>
      <c r="Y488" s="559"/>
      <c r="Z488" s="559"/>
      <c r="AA488" s="559"/>
      <c r="AB488" s="559"/>
      <c r="AC488" s="559"/>
      <c r="AD488" s="559"/>
      <c r="AE488" s="559"/>
      <c r="AF488" s="559"/>
      <c r="AG488" s="559"/>
      <c r="AH488" s="559"/>
      <c r="AI488" s="559"/>
      <c r="AJ488" s="559"/>
      <c r="AK488" s="559"/>
      <c r="AL488" s="559"/>
      <c r="AM488" s="559"/>
      <c r="AN488" s="559"/>
    </row>
    <row r="489">
      <c r="A489" s="559"/>
      <c r="B489" s="559"/>
      <c r="C489" s="559"/>
      <c r="D489" s="559"/>
      <c r="E489" s="559"/>
      <c r="F489" s="559"/>
      <c r="G489" s="559"/>
      <c r="H489" s="559"/>
      <c r="I489" s="559"/>
      <c r="J489" s="559"/>
      <c r="K489" s="559"/>
      <c r="L489" s="559"/>
      <c r="M489" s="559"/>
      <c r="N489" s="559"/>
      <c r="O489" s="559"/>
      <c r="P489" s="559"/>
      <c r="Q489" s="559"/>
      <c r="R489" s="559"/>
      <c r="S489" s="559"/>
      <c r="T489" s="559"/>
      <c r="U489" s="559"/>
      <c r="V489" s="559"/>
      <c r="W489" s="559"/>
      <c r="X489" s="559"/>
      <c r="Y489" s="559"/>
      <c r="Z489" s="559"/>
      <c r="AA489" s="559"/>
      <c r="AB489" s="559"/>
      <c r="AC489" s="559"/>
      <c r="AD489" s="559"/>
      <c r="AE489" s="559"/>
      <c r="AF489" s="559"/>
      <c r="AG489" s="559"/>
      <c r="AH489" s="559"/>
      <c r="AI489" s="559"/>
      <c r="AJ489" s="559"/>
      <c r="AK489" s="559"/>
      <c r="AL489" s="559"/>
      <c r="AM489" s="559"/>
      <c r="AN489" s="559"/>
    </row>
    <row r="490">
      <c r="A490" s="559"/>
      <c r="B490" s="559"/>
      <c r="C490" s="559"/>
      <c r="D490" s="559"/>
      <c r="E490" s="559"/>
      <c r="F490" s="559"/>
      <c r="G490" s="559"/>
      <c r="H490" s="559"/>
      <c r="I490" s="559"/>
      <c r="J490" s="559"/>
      <c r="K490" s="559"/>
      <c r="L490" s="559"/>
      <c r="M490" s="559"/>
      <c r="N490" s="559"/>
      <c r="O490" s="559"/>
      <c r="P490" s="559"/>
      <c r="Q490" s="559"/>
      <c r="R490" s="559"/>
      <c r="S490" s="559"/>
      <c r="T490" s="559"/>
      <c r="U490" s="559"/>
      <c r="V490" s="559"/>
      <c r="W490" s="559"/>
      <c r="X490" s="559"/>
      <c r="Y490" s="559"/>
      <c r="Z490" s="559"/>
      <c r="AA490" s="559"/>
      <c r="AB490" s="559"/>
      <c r="AC490" s="559"/>
      <c r="AD490" s="559"/>
      <c r="AE490" s="559"/>
      <c r="AF490" s="559"/>
      <c r="AG490" s="559"/>
      <c r="AH490" s="559"/>
      <c r="AI490" s="559"/>
      <c r="AJ490" s="559"/>
      <c r="AK490" s="559"/>
      <c r="AL490" s="559"/>
      <c r="AM490" s="559"/>
      <c r="AN490" s="559"/>
    </row>
    <row r="491">
      <c r="A491" s="559"/>
      <c r="B491" s="559"/>
      <c r="C491" s="559"/>
      <c r="D491" s="559"/>
      <c r="E491" s="559"/>
      <c r="F491" s="559"/>
      <c r="G491" s="559"/>
      <c r="H491" s="559"/>
      <c r="I491" s="559"/>
      <c r="J491" s="559"/>
      <c r="K491" s="559"/>
      <c r="L491" s="559"/>
      <c r="M491" s="559"/>
      <c r="N491" s="559"/>
      <c r="O491" s="559"/>
      <c r="P491" s="559"/>
      <c r="Q491" s="559"/>
      <c r="R491" s="559"/>
      <c r="S491" s="559"/>
      <c r="T491" s="559"/>
      <c r="U491" s="559"/>
      <c r="V491" s="559"/>
      <c r="W491" s="559"/>
      <c r="X491" s="559"/>
      <c r="Y491" s="559"/>
      <c r="Z491" s="559"/>
      <c r="AA491" s="559"/>
      <c r="AB491" s="559"/>
      <c r="AC491" s="559"/>
      <c r="AD491" s="559"/>
      <c r="AE491" s="559"/>
      <c r="AF491" s="559"/>
      <c r="AG491" s="559"/>
      <c r="AH491" s="559"/>
      <c r="AI491" s="559"/>
      <c r="AJ491" s="559"/>
      <c r="AK491" s="559"/>
      <c r="AL491" s="559"/>
      <c r="AM491" s="559"/>
      <c r="AN491" s="559"/>
    </row>
    <row r="492">
      <c r="A492" s="559"/>
      <c r="B492" s="559"/>
      <c r="C492" s="559"/>
      <c r="D492" s="559"/>
      <c r="E492" s="559"/>
      <c r="F492" s="559"/>
      <c r="G492" s="559"/>
      <c r="H492" s="559"/>
      <c r="I492" s="559"/>
      <c r="J492" s="559"/>
      <c r="K492" s="559"/>
      <c r="L492" s="559"/>
      <c r="M492" s="559"/>
      <c r="N492" s="559"/>
      <c r="O492" s="559"/>
      <c r="P492" s="559"/>
      <c r="Q492" s="559"/>
      <c r="R492" s="559"/>
      <c r="S492" s="559"/>
      <c r="T492" s="559"/>
      <c r="U492" s="559"/>
      <c r="V492" s="559"/>
      <c r="W492" s="559"/>
      <c r="X492" s="559"/>
      <c r="Y492" s="559"/>
      <c r="Z492" s="559"/>
      <c r="AA492" s="559"/>
      <c r="AB492" s="559"/>
      <c r="AC492" s="559"/>
      <c r="AD492" s="559"/>
      <c r="AE492" s="559"/>
      <c r="AF492" s="559"/>
      <c r="AG492" s="559"/>
      <c r="AH492" s="559"/>
      <c r="AI492" s="559"/>
      <c r="AJ492" s="559"/>
      <c r="AK492" s="559"/>
      <c r="AL492" s="559"/>
      <c r="AM492" s="559"/>
      <c r="AN492" s="559"/>
    </row>
    <row r="493">
      <c r="A493" s="559"/>
      <c r="B493" s="559"/>
      <c r="C493" s="559"/>
      <c r="D493" s="559"/>
      <c r="E493" s="559"/>
      <c r="F493" s="559"/>
      <c r="G493" s="559"/>
      <c r="H493" s="559"/>
      <c r="I493" s="559"/>
      <c r="J493" s="559"/>
      <c r="K493" s="559"/>
      <c r="L493" s="559"/>
      <c r="M493" s="559"/>
      <c r="N493" s="559"/>
      <c r="O493" s="559"/>
      <c r="P493" s="559"/>
      <c r="Q493" s="559"/>
      <c r="R493" s="559"/>
      <c r="S493" s="559"/>
      <c r="T493" s="559"/>
      <c r="U493" s="559"/>
      <c r="V493" s="559"/>
      <c r="W493" s="559"/>
      <c r="X493" s="559"/>
      <c r="Y493" s="559"/>
      <c r="Z493" s="559"/>
      <c r="AA493" s="559"/>
      <c r="AB493" s="559"/>
      <c r="AC493" s="559"/>
      <c r="AD493" s="559"/>
      <c r="AE493" s="559"/>
      <c r="AF493" s="559"/>
      <c r="AG493" s="559"/>
      <c r="AH493" s="559"/>
      <c r="AI493" s="559"/>
      <c r="AJ493" s="559"/>
      <c r="AK493" s="559"/>
      <c r="AL493" s="559"/>
      <c r="AM493" s="559"/>
      <c r="AN493" s="559"/>
    </row>
    <row r="494">
      <c r="A494" s="559"/>
      <c r="B494" s="559"/>
      <c r="C494" s="559"/>
      <c r="D494" s="559"/>
      <c r="E494" s="559"/>
      <c r="F494" s="559"/>
      <c r="G494" s="559"/>
      <c r="H494" s="559"/>
      <c r="I494" s="559"/>
      <c r="J494" s="559"/>
      <c r="K494" s="559"/>
      <c r="L494" s="559"/>
      <c r="M494" s="559"/>
      <c r="N494" s="559"/>
      <c r="O494" s="559"/>
      <c r="P494" s="559"/>
      <c r="Q494" s="559"/>
      <c r="R494" s="559"/>
      <c r="S494" s="559"/>
      <c r="T494" s="559"/>
      <c r="U494" s="559"/>
      <c r="V494" s="559"/>
      <c r="W494" s="559"/>
      <c r="X494" s="559"/>
      <c r="Y494" s="559"/>
      <c r="Z494" s="559"/>
      <c r="AA494" s="559"/>
      <c r="AB494" s="559"/>
      <c r="AC494" s="559"/>
      <c r="AD494" s="559"/>
      <c r="AE494" s="559"/>
      <c r="AF494" s="559"/>
      <c r="AG494" s="559"/>
      <c r="AH494" s="559"/>
      <c r="AI494" s="559"/>
      <c r="AJ494" s="559"/>
      <c r="AK494" s="559"/>
      <c r="AL494" s="559"/>
      <c r="AM494" s="559"/>
      <c r="AN494" s="559"/>
    </row>
    <row r="495">
      <c r="A495" s="559"/>
      <c r="B495" s="559"/>
      <c r="C495" s="559"/>
      <c r="D495" s="559"/>
      <c r="E495" s="559"/>
      <c r="F495" s="559"/>
      <c r="G495" s="559"/>
      <c r="H495" s="559"/>
      <c r="I495" s="559"/>
      <c r="J495" s="559"/>
      <c r="K495" s="559"/>
      <c r="L495" s="559"/>
      <c r="M495" s="559"/>
      <c r="N495" s="559"/>
      <c r="O495" s="559"/>
      <c r="P495" s="559"/>
      <c r="Q495" s="559"/>
      <c r="R495" s="559"/>
      <c r="S495" s="559"/>
      <c r="T495" s="559"/>
      <c r="U495" s="559"/>
      <c r="V495" s="559"/>
      <c r="W495" s="559"/>
      <c r="X495" s="559"/>
      <c r="Y495" s="559"/>
      <c r="Z495" s="559"/>
      <c r="AA495" s="559"/>
      <c r="AB495" s="559"/>
      <c r="AC495" s="559"/>
      <c r="AD495" s="559"/>
      <c r="AE495" s="559"/>
      <c r="AF495" s="559"/>
      <c r="AG495" s="559"/>
      <c r="AH495" s="559"/>
      <c r="AI495" s="559"/>
      <c r="AJ495" s="559"/>
      <c r="AK495" s="559"/>
      <c r="AL495" s="559"/>
      <c r="AM495" s="559"/>
      <c r="AN495" s="559"/>
    </row>
    <row r="496">
      <c r="A496" s="559"/>
      <c r="B496" s="559"/>
      <c r="C496" s="559"/>
      <c r="D496" s="559"/>
      <c r="E496" s="559"/>
      <c r="F496" s="559"/>
      <c r="G496" s="559"/>
      <c r="H496" s="559"/>
      <c r="I496" s="559"/>
      <c r="J496" s="559"/>
      <c r="K496" s="559"/>
      <c r="L496" s="559"/>
      <c r="M496" s="559"/>
      <c r="N496" s="559"/>
      <c r="O496" s="559"/>
      <c r="P496" s="559"/>
      <c r="Q496" s="559"/>
      <c r="R496" s="559"/>
      <c r="S496" s="559"/>
      <c r="T496" s="559"/>
      <c r="U496" s="559"/>
      <c r="V496" s="559"/>
      <c r="W496" s="559"/>
      <c r="X496" s="559"/>
      <c r="Y496" s="559"/>
      <c r="Z496" s="559"/>
      <c r="AA496" s="559"/>
      <c r="AB496" s="559"/>
      <c r="AC496" s="559"/>
      <c r="AD496" s="559"/>
      <c r="AE496" s="559"/>
      <c r="AF496" s="559"/>
      <c r="AG496" s="559"/>
      <c r="AH496" s="559"/>
      <c r="AI496" s="559"/>
      <c r="AJ496" s="559"/>
      <c r="AK496" s="559"/>
      <c r="AL496" s="559"/>
      <c r="AM496" s="559"/>
      <c r="AN496" s="559"/>
    </row>
    <row r="497">
      <c r="A497" s="559"/>
      <c r="B497" s="559"/>
      <c r="C497" s="559"/>
      <c r="D497" s="559"/>
      <c r="E497" s="559"/>
      <c r="F497" s="559"/>
      <c r="G497" s="559"/>
      <c r="H497" s="559"/>
      <c r="I497" s="559"/>
      <c r="J497" s="559"/>
      <c r="K497" s="559"/>
      <c r="L497" s="559"/>
      <c r="M497" s="559"/>
      <c r="N497" s="559"/>
      <c r="O497" s="559"/>
      <c r="P497" s="559"/>
      <c r="Q497" s="559"/>
      <c r="R497" s="559"/>
      <c r="S497" s="559"/>
      <c r="T497" s="559"/>
      <c r="U497" s="559"/>
      <c r="V497" s="559"/>
      <c r="W497" s="559"/>
      <c r="X497" s="559"/>
      <c r="Y497" s="559"/>
      <c r="Z497" s="559"/>
      <c r="AA497" s="559"/>
      <c r="AB497" s="559"/>
      <c r="AC497" s="559"/>
      <c r="AD497" s="559"/>
      <c r="AE497" s="559"/>
      <c r="AF497" s="559"/>
      <c r="AG497" s="559"/>
      <c r="AH497" s="559"/>
      <c r="AI497" s="559"/>
      <c r="AJ497" s="559"/>
      <c r="AK497" s="559"/>
      <c r="AL497" s="559"/>
      <c r="AM497" s="559"/>
      <c r="AN497" s="559"/>
    </row>
    <row r="498">
      <c r="A498" s="559"/>
      <c r="B498" s="559"/>
      <c r="C498" s="559"/>
      <c r="D498" s="559"/>
      <c r="E498" s="559"/>
      <c r="F498" s="559"/>
      <c r="G498" s="559"/>
      <c r="H498" s="559"/>
      <c r="I498" s="559"/>
      <c r="J498" s="559"/>
      <c r="K498" s="559"/>
      <c r="L498" s="559"/>
      <c r="M498" s="559"/>
      <c r="N498" s="559"/>
      <c r="O498" s="559"/>
      <c r="P498" s="559"/>
      <c r="Q498" s="559"/>
      <c r="R498" s="559"/>
      <c r="S498" s="559"/>
      <c r="T498" s="559"/>
      <c r="U498" s="559"/>
      <c r="V498" s="559"/>
      <c r="W498" s="559"/>
      <c r="X498" s="559"/>
      <c r="Y498" s="559"/>
      <c r="Z498" s="559"/>
      <c r="AA498" s="559"/>
      <c r="AB498" s="559"/>
      <c r="AC498" s="559"/>
      <c r="AD498" s="559"/>
      <c r="AE498" s="559"/>
      <c r="AF498" s="559"/>
      <c r="AG498" s="559"/>
      <c r="AH498" s="559"/>
      <c r="AI498" s="559"/>
      <c r="AJ498" s="559"/>
      <c r="AK498" s="559"/>
      <c r="AL498" s="559"/>
      <c r="AM498" s="559"/>
      <c r="AN498" s="559"/>
    </row>
    <row r="499">
      <c r="A499" s="559"/>
      <c r="B499" s="559"/>
      <c r="C499" s="559"/>
      <c r="D499" s="559"/>
      <c r="E499" s="559"/>
      <c r="F499" s="559"/>
      <c r="G499" s="559"/>
      <c r="H499" s="559"/>
      <c r="I499" s="559"/>
      <c r="J499" s="559"/>
      <c r="K499" s="559"/>
      <c r="L499" s="559"/>
      <c r="M499" s="559"/>
      <c r="N499" s="559"/>
      <c r="O499" s="559"/>
      <c r="P499" s="559"/>
      <c r="Q499" s="559"/>
      <c r="R499" s="559"/>
      <c r="S499" s="559"/>
      <c r="T499" s="559"/>
      <c r="U499" s="559"/>
      <c r="V499" s="559"/>
      <c r="W499" s="559"/>
      <c r="X499" s="559"/>
      <c r="Y499" s="559"/>
      <c r="Z499" s="559"/>
      <c r="AA499" s="559"/>
      <c r="AB499" s="559"/>
      <c r="AC499" s="559"/>
      <c r="AD499" s="559"/>
      <c r="AE499" s="559"/>
      <c r="AF499" s="559"/>
      <c r="AG499" s="559"/>
      <c r="AH499" s="559"/>
      <c r="AI499" s="559"/>
      <c r="AJ499" s="559"/>
      <c r="AK499" s="559"/>
      <c r="AL499" s="559"/>
      <c r="AM499" s="559"/>
      <c r="AN499" s="559"/>
    </row>
    <row r="500">
      <c r="A500" s="559"/>
      <c r="B500" s="559"/>
      <c r="C500" s="559"/>
      <c r="D500" s="559"/>
      <c r="E500" s="559"/>
      <c r="F500" s="559"/>
      <c r="G500" s="559"/>
      <c r="H500" s="559"/>
      <c r="I500" s="559"/>
      <c r="J500" s="559"/>
      <c r="K500" s="559"/>
      <c r="L500" s="559"/>
      <c r="M500" s="559"/>
      <c r="N500" s="559"/>
      <c r="O500" s="559"/>
      <c r="P500" s="559"/>
      <c r="Q500" s="559"/>
      <c r="R500" s="559"/>
      <c r="S500" s="559"/>
      <c r="T500" s="559"/>
      <c r="U500" s="559"/>
      <c r="V500" s="559"/>
      <c r="W500" s="559"/>
      <c r="X500" s="559"/>
      <c r="Y500" s="559"/>
      <c r="Z500" s="559"/>
      <c r="AA500" s="559"/>
      <c r="AB500" s="559"/>
      <c r="AC500" s="559"/>
      <c r="AD500" s="559"/>
      <c r="AE500" s="559"/>
      <c r="AF500" s="559"/>
      <c r="AG500" s="559"/>
      <c r="AH500" s="559"/>
      <c r="AI500" s="559"/>
      <c r="AJ500" s="559"/>
      <c r="AK500" s="559"/>
      <c r="AL500" s="559"/>
      <c r="AM500" s="559"/>
      <c r="AN500" s="559"/>
    </row>
    <row r="501">
      <c r="A501" s="559"/>
      <c r="B501" s="559"/>
      <c r="C501" s="559"/>
      <c r="D501" s="559"/>
      <c r="E501" s="559"/>
      <c r="F501" s="559"/>
      <c r="G501" s="559"/>
      <c r="H501" s="559"/>
      <c r="I501" s="559"/>
      <c r="J501" s="559"/>
      <c r="K501" s="559"/>
      <c r="L501" s="559"/>
      <c r="M501" s="559"/>
      <c r="N501" s="559"/>
      <c r="O501" s="559"/>
      <c r="P501" s="559"/>
      <c r="Q501" s="559"/>
      <c r="R501" s="559"/>
      <c r="S501" s="559"/>
      <c r="T501" s="559"/>
      <c r="U501" s="559"/>
      <c r="V501" s="559"/>
      <c r="W501" s="559"/>
      <c r="X501" s="559"/>
      <c r="Y501" s="559"/>
      <c r="Z501" s="559"/>
      <c r="AA501" s="559"/>
      <c r="AB501" s="559"/>
      <c r="AC501" s="559"/>
      <c r="AD501" s="559"/>
      <c r="AE501" s="559"/>
      <c r="AF501" s="559"/>
      <c r="AG501" s="559"/>
      <c r="AH501" s="559"/>
      <c r="AI501" s="559"/>
      <c r="AJ501" s="559"/>
      <c r="AK501" s="559"/>
      <c r="AL501" s="559"/>
      <c r="AM501" s="559"/>
      <c r="AN501" s="559"/>
    </row>
    <row r="502">
      <c r="A502" s="559"/>
      <c r="B502" s="559"/>
      <c r="C502" s="559"/>
      <c r="D502" s="559"/>
      <c r="E502" s="559"/>
      <c r="F502" s="559"/>
      <c r="G502" s="559"/>
      <c r="H502" s="559"/>
      <c r="I502" s="559"/>
      <c r="J502" s="559"/>
      <c r="K502" s="559"/>
      <c r="L502" s="559"/>
      <c r="M502" s="559"/>
      <c r="N502" s="559"/>
      <c r="O502" s="559"/>
      <c r="P502" s="559"/>
      <c r="Q502" s="559"/>
      <c r="R502" s="559"/>
      <c r="S502" s="559"/>
      <c r="T502" s="559"/>
      <c r="U502" s="559"/>
      <c r="V502" s="559"/>
      <c r="W502" s="559"/>
      <c r="X502" s="559"/>
      <c r="Y502" s="559"/>
      <c r="Z502" s="559"/>
      <c r="AA502" s="559"/>
      <c r="AB502" s="559"/>
      <c r="AC502" s="559"/>
      <c r="AD502" s="559"/>
      <c r="AE502" s="559"/>
      <c r="AF502" s="559"/>
      <c r="AG502" s="559"/>
      <c r="AH502" s="559"/>
      <c r="AI502" s="559"/>
      <c r="AJ502" s="559"/>
      <c r="AK502" s="559"/>
      <c r="AL502" s="559"/>
      <c r="AM502" s="559"/>
      <c r="AN502" s="559"/>
    </row>
    <row r="503">
      <c r="A503" s="559"/>
      <c r="B503" s="559"/>
      <c r="C503" s="559"/>
      <c r="D503" s="559"/>
      <c r="E503" s="559"/>
      <c r="F503" s="559"/>
      <c r="G503" s="559"/>
      <c r="H503" s="559"/>
      <c r="I503" s="559"/>
      <c r="J503" s="559"/>
      <c r="K503" s="559"/>
      <c r="L503" s="559"/>
      <c r="M503" s="559"/>
      <c r="N503" s="559"/>
      <c r="O503" s="559"/>
      <c r="P503" s="559"/>
      <c r="Q503" s="559"/>
      <c r="R503" s="559"/>
      <c r="S503" s="559"/>
      <c r="T503" s="559"/>
      <c r="U503" s="559"/>
      <c r="V503" s="559"/>
      <c r="W503" s="559"/>
      <c r="X503" s="559"/>
      <c r="Y503" s="559"/>
      <c r="Z503" s="559"/>
      <c r="AA503" s="559"/>
      <c r="AB503" s="559"/>
      <c r="AC503" s="559"/>
      <c r="AD503" s="559"/>
      <c r="AE503" s="559"/>
      <c r="AF503" s="559"/>
      <c r="AG503" s="559"/>
      <c r="AH503" s="559"/>
      <c r="AI503" s="559"/>
      <c r="AJ503" s="559"/>
      <c r="AK503" s="559"/>
      <c r="AL503" s="559"/>
      <c r="AM503" s="559"/>
      <c r="AN503" s="559"/>
    </row>
    <row r="504">
      <c r="A504" s="559"/>
      <c r="B504" s="559"/>
      <c r="C504" s="559"/>
      <c r="D504" s="559"/>
      <c r="E504" s="559"/>
      <c r="F504" s="559"/>
      <c r="G504" s="559"/>
      <c r="H504" s="559"/>
      <c r="I504" s="559"/>
      <c r="J504" s="559"/>
      <c r="K504" s="559"/>
      <c r="L504" s="559"/>
      <c r="M504" s="559"/>
      <c r="N504" s="559"/>
      <c r="O504" s="559"/>
      <c r="P504" s="559"/>
      <c r="Q504" s="559"/>
      <c r="R504" s="559"/>
      <c r="S504" s="559"/>
      <c r="T504" s="559"/>
      <c r="U504" s="559"/>
      <c r="V504" s="559"/>
      <c r="W504" s="559"/>
      <c r="X504" s="559"/>
      <c r="Y504" s="559"/>
      <c r="Z504" s="559"/>
      <c r="AA504" s="559"/>
      <c r="AB504" s="559"/>
      <c r="AC504" s="559"/>
      <c r="AD504" s="559"/>
      <c r="AE504" s="559"/>
      <c r="AF504" s="559"/>
      <c r="AG504" s="559"/>
      <c r="AH504" s="559"/>
      <c r="AI504" s="559"/>
      <c r="AJ504" s="559"/>
      <c r="AK504" s="559"/>
      <c r="AL504" s="559"/>
      <c r="AM504" s="559"/>
      <c r="AN504" s="559"/>
    </row>
    <row r="505">
      <c r="A505" s="559"/>
      <c r="B505" s="559"/>
      <c r="C505" s="559"/>
      <c r="D505" s="559"/>
      <c r="E505" s="559"/>
      <c r="F505" s="559"/>
      <c r="G505" s="559"/>
      <c r="H505" s="559"/>
      <c r="I505" s="559"/>
      <c r="J505" s="559"/>
      <c r="K505" s="559"/>
      <c r="L505" s="559"/>
      <c r="M505" s="559"/>
      <c r="N505" s="559"/>
      <c r="O505" s="559"/>
      <c r="P505" s="559"/>
      <c r="Q505" s="559"/>
      <c r="R505" s="559"/>
      <c r="S505" s="559"/>
      <c r="T505" s="559"/>
      <c r="U505" s="559"/>
      <c r="V505" s="559"/>
      <c r="W505" s="559"/>
      <c r="X505" s="559"/>
      <c r="Y505" s="559"/>
      <c r="Z505" s="559"/>
      <c r="AA505" s="559"/>
      <c r="AB505" s="559"/>
      <c r="AC505" s="559"/>
      <c r="AD505" s="559"/>
      <c r="AE505" s="559"/>
      <c r="AF505" s="559"/>
      <c r="AG505" s="559"/>
      <c r="AH505" s="559"/>
      <c r="AI505" s="559"/>
      <c r="AJ505" s="559"/>
      <c r="AK505" s="559"/>
      <c r="AL505" s="559"/>
      <c r="AM505" s="559"/>
      <c r="AN505" s="559"/>
    </row>
    <row r="506">
      <c r="A506" s="559"/>
      <c r="B506" s="559"/>
      <c r="C506" s="559"/>
      <c r="D506" s="559"/>
      <c r="E506" s="559"/>
      <c r="F506" s="559"/>
      <c r="G506" s="559"/>
      <c r="H506" s="559"/>
      <c r="I506" s="559"/>
      <c r="J506" s="559"/>
      <c r="K506" s="559"/>
      <c r="L506" s="559"/>
      <c r="M506" s="559"/>
      <c r="N506" s="559"/>
      <c r="O506" s="559"/>
      <c r="P506" s="559"/>
      <c r="Q506" s="559"/>
      <c r="R506" s="559"/>
      <c r="S506" s="559"/>
      <c r="T506" s="559"/>
      <c r="U506" s="559"/>
      <c r="V506" s="559"/>
      <c r="W506" s="559"/>
      <c r="X506" s="559"/>
      <c r="Y506" s="559"/>
      <c r="Z506" s="559"/>
      <c r="AA506" s="559"/>
      <c r="AB506" s="559"/>
      <c r="AC506" s="559"/>
      <c r="AD506" s="559"/>
      <c r="AE506" s="559"/>
      <c r="AF506" s="559"/>
      <c r="AG506" s="559"/>
      <c r="AH506" s="559"/>
      <c r="AI506" s="559"/>
      <c r="AJ506" s="559"/>
      <c r="AK506" s="559"/>
      <c r="AL506" s="559"/>
      <c r="AM506" s="559"/>
      <c r="AN506" s="559"/>
    </row>
    <row r="507">
      <c r="A507" s="559"/>
      <c r="B507" s="559"/>
      <c r="C507" s="559"/>
      <c r="D507" s="559"/>
      <c r="E507" s="559"/>
      <c r="F507" s="559"/>
      <c r="G507" s="559"/>
      <c r="H507" s="559"/>
      <c r="I507" s="559"/>
      <c r="J507" s="559"/>
      <c r="K507" s="559"/>
      <c r="L507" s="559"/>
      <c r="M507" s="559"/>
      <c r="N507" s="559"/>
      <c r="O507" s="559"/>
      <c r="P507" s="559"/>
      <c r="Q507" s="559"/>
      <c r="R507" s="559"/>
      <c r="S507" s="559"/>
      <c r="T507" s="559"/>
      <c r="U507" s="559"/>
      <c r="V507" s="559"/>
      <c r="W507" s="559"/>
      <c r="X507" s="559"/>
      <c r="Y507" s="559"/>
      <c r="Z507" s="559"/>
      <c r="AA507" s="559"/>
      <c r="AB507" s="559"/>
      <c r="AC507" s="559"/>
      <c r="AD507" s="559"/>
      <c r="AE507" s="559"/>
      <c r="AF507" s="559"/>
      <c r="AG507" s="559"/>
      <c r="AH507" s="559"/>
      <c r="AI507" s="559"/>
      <c r="AJ507" s="559"/>
      <c r="AK507" s="559"/>
      <c r="AL507" s="559"/>
      <c r="AM507" s="559"/>
      <c r="AN507" s="559"/>
    </row>
    <row r="508">
      <c r="A508" s="559"/>
      <c r="B508" s="559"/>
      <c r="C508" s="559"/>
      <c r="D508" s="559"/>
      <c r="E508" s="559"/>
      <c r="F508" s="559"/>
      <c r="G508" s="559"/>
      <c r="H508" s="559"/>
      <c r="I508" s="559"/>
      <c r="J508" s="559"/>
      <c r="K508" s="559"/>
      <c r="L508" s="559"/>
      <c r="M508" s="559"/>
      <c r="N508" s="559"/>
      <c r="O508" s="559"/>
      <c r="P508" s="559"/>
      <c r="Q508" s="559"/>
      <c r="R508" s="559"/>
      <c r="S508" s="559"/>
      <c r="T508" s="559"/>
      <c r="U508" s="559"/>
      <c r="V508" s="559"/>
      <c r="W508" s="559"/>
      <c r="X508" s="559"/>
      <c r="Y508" s="559"/>
      <c r="Z508" s="559"/>
      <c r="AA508" s="559"/>
      <c r="AB508" s="559"/>
      <c r="AC508" s="559"/>
      <c r="AD508" s="559"/>
      <c r="AE508" s="559"/>
      <c r="AF508" s="559"/>
      <c r="AG508" s="559"/>
      <c r="AH508" s="559"/>
      <c r="AI508" s="559"/>
      <c r="AJ508" s="559"/>
      <c r="AK508" s="559"/>
      <c r="AL508" s="559"/>
      <c r="AM508" s="559"/>
      <c r="AN508" s="559"/>
    </row>
    <row r="509">
      <c r="A509" s="559"/>
      <c r="B509" s="559"/>
      <c r="C509" s="559"/>
      <c r="D509" s="559"/>
      <c r="E509" s="559"/>
      <c r="F509" s="559"/>
      <c r="G509" s="559"/>
      <c r="H509" s="559"/>
      <c r="I509" s="559"/>
      <c r="J509" s="559"/>
      <c r="K509" s="559"/>
      <c r="L509" s="559"/>
      <c r="M509" s="559"/>
      <c r="N509" s="559"/>
      <c r="O509" s="559"/>
      <c r="P509" s="559"/>
      <c r="Q509" s="559"/>
      <c r="R509" s="559"/>
      <c r="S509" s="559"/>
      <c r="T509" s="559"/>
      <c r="U509" s="559"/>
      <c r="V509" s="559"/>
      <c r="W509" s="559"/>
      <c r="X509" s="559"/>
      <c r="Y509" s="559"/>
      <c r="Z509" s="559"/>
      <c r="AA509" s="559"/>
      <c r="AB509" s="559"/>
      <c r="AC509" s="559"/>
      <c r="AD509" s="559"/>
      <c r="AE509" s="559"/>
      <c r="AF509" s="559"/>
      <c r="AG509" s="559"/>
      <c r="AH509" s="559"/>
      <c r="AI509" s="559"/>
      <c r="AJ509" s="559"/>
      <c r="AK509" s="559"/>
      <c r="AL509" s="559"/>
      <c r="AM509" s="559"/>
      <c r="AN509" s="559"/>
    </row>
    <row r="510">
      <c r="A510" s="559"/>
      <c r="B510" s="559"/>
      <c r="C510" s="559"/>
      <c r="D510" s="559"/>
      <c r="E510" s="559"/>
      <c r="F510" s="559"/>
      <c r="G510" s="559"/>
      <c r="H510" s="559"/>
      <c r="I510" s="559"/>
      <c r="J510" s="559"/>
      <c r="K510" s="559"/>
      <c r="L510" s="559"/>
      <c r="M510" s="559"/>
      <c r="N510" s="559"/>
      <c r="O510" s="559"/>
      <c r="P510" s="559"/>
      <c r="Q510" s="559"/>
      <c r="R510" s="559"/>
      <c r="S510" s="559"/>
      <c r="T510" s="559"/>
      <c r="U510" s="559"/>
      <c r="V510" s="559"/>
      <c r="W510" s="559"/>
      <c r="X510" s="559"/>
      <c r="Y510" s="559"/>
      <c r="Z510" s="559"/>
      <c r="AA510" s="559"/>
      <c r="AB510" s="559"/>
      <c r="AC510" s="559"/>
      <c r="AD510" s="559"/>
      <c r="AE510" s="559"/>
      <c r="AF510" s="559"/>
      <c r="AG510" s="559"/>
      <c r="AH510" s="559"/>
      <c r="AI510" s="559"/>
      <c r="AJ510" s="559"/>
      <c r="AK510" s="559"/>
      <c r="AL510" s="559"/>
      <c r="AM510" s="559"/>
      <c r="AN510" s="559"/>
    </row>
    <row r="511">
      <c r="A511" s="559"/>
      <c r="B511" s="559"/>
      <c r="C511" s="559"/>
      <c r="D511" s="559"/>
      <c r="E511" s="559"/>
      <c r="F511" s="559"/>
      <c r="G511" s="559"/>
      <c r="H511" s="559"/>
      <c r="I511" s="559"/>
      <c r="J511" s="559"/>
      <c r="K511" s="559"/>
      <c r="L511" s="559"/>
      <c r="M511" s="559"/>
      <c r="N511" s="559"/>
      <c r="O511" s="559"/>
      <c r="P511" s="559"/>
      <c r="Q511" s="559"/>
      <c r="R511" s="559"/>
      <c r="S511" s="559"/>
      <c r="T511" s="559"/>
      <c r="U511" s="559"/>
      <c r="V511" s="559"/>
      <c r="W511" s="559"/>
      <c r="X511" s="559"/>
      <c r="Y511" s="559"/>
      <c r="Z511" s="559"/>
      <c r="AA511" s="559"/>
      <c r="AB511" s="559"/>
      <c r="AC511" s="559"/>
      <c r="AD511" s="559"/>
      <c r="AE511" s="559"/>
      <c r="AF511" s="559"/>
      <c r="AG511" s="559"/>
      <c r="AH511" s="559"/>
      <c r="AI511" s="559"/>
      <c r="AJ511" s="559"/>
      <c r="AK511" s="559"/>
      <c r="AL511" s="559"/>
      <c r="AM511" s="559"/>
      <c r="AN511" s="559"/>
    </row>
    <row r="512">
      <c r="A512" s="559"/>
      <c r="B512" s="559"/>
      <c r="C512" s="559"/>
      <c r="D512" s="559"/>
      <c r="E512" s="559"/>
      <c r="F512" s="559"/>
      <c r="G512" s="559"/>
      <c r="H512" s="559"/>
      <c r="I512" s="559"/>
      <c r="J512" s="559"/>
      <c r="K512" s="559"/>
      <c r="L512" s="559"/>
      <c r="M512" s="559"/>
      <c r="N512" s="559"/>
      <c r="O512" s="559"/>
      <c r="P512" s="559"/>
      <c r="Q512" s="559"/>
      <c r="R512" s="559"/>
      <c r="S512" s="559"/>
      <c r="T512" s="559"/>
      <c r="U512" s="559"/>
      <c r="V512" s="559"/>
      <c r="W512" s="559"/>
      <c r="X512" s="559"/>
      <c r="Y512" s="559"/>
      <c r="Z512" s="559"/>
      <c r="AA512" s="559"/>
      <c r="AB512" s="559"/>
      <c r="AC512" s="559"/>
      <c r="AD512" s="559"/>
      <c r="AE512" s="559"/>
      <c r="AF512" s="559"/>
      <c r="AG512" s="559"/>
      <c r="AH512" s="559"/>
      <c r="AI512" s="559"/>
      <c r="AJ512" s="559"/>
      <c r="AK512" s="559"/>
      <c r="AL512" s="559"/>
      <c r="AM512" s="559"/>
      <c r="AN512" s="559"/>
    </row>
    <row r="513">
      <c r="A513" s="559"/>
      <c r="B513" s="559"/>
      <c r="C513" s="559"/>
      <c r="D513" s="559"/>
      <c r="E513" s="559"/>
      <c r="F513" s="559"/>
      <c r="G513" s="559"/>
      <c r="H513" s="559"/>
      <c r="I513" s="559"/>
      <c r="J513" s="559"/>
      <c r="K513" s="559"/>
      <c r="L513" s="559"/>
      <c r="M513" s="559"/>
      <c r="N513" s="559"/>
      <c r="O513" s="559"/>
      <c r="P513" s="559"/>
      <c r="Q513" s="559"/>
      <c r="R513" s="559"/>
      <c r="S513" s="559"/>
      <c r="T513" s="559"/>
      <c r="U513" s="559"/>
      <c r="V513" s="559"/>
      <c r="W513" s="559"/>
      <c r="X513" s="559"/>
      <c r="Y513" s="559"/>
      <c r="Z513" s="559"/>
      <c r="AA513" s="559"/>
      <c r="AB513" s="559"/>
      <c r="AC513" s="559"/>
      <c r="AD513" s="559"/>
      <c r="AE513" s="559"/>
      <c r="AF513" s="559"/>
      <c r="AG513" s="559"/>
      <c r="AH513" s="559"/>
      <c r="AI513" s="559"/>
      <c r="AJ513" s="559"/>
      <c r="AK513" s="559"/>
      <c r="AL513" s="559"/>
      <c r="AM513" s="559"/>
      <c r="AN513" s="559"/>
    </row>
    <row r="514">
      <c r="A514" s="559"/>
      <c r="B514" s="559"/>
      <c r="C514" s="559"/>
      <c r="D514" s="559"/>
      <c r="E514" s="559"/>
      <c r="F514" s="559"/>
      <c r="G514" s="559"/>
      <c r="H514" s="559"/>
      <c r="I514" s="559"/>
      <c r="J514" s="559"/>
      <c r="K514" s="559"/>
      <c r="L514" s="559"/>
      <c r="M514" s="559"/>
      <c r="N514" s="559"/>
      <c r="O514" s="559"/>
      <c r="P514" s="559"/>
      <c r="Q514" s="559"/>
      <c r="R514" s="559"/>
      <c r="S514" s="559"/>
      <c r="T514" s="559"/>
      <c r="U514" s="559"/>
      <c r="V514" s="559"/>
      <c r="W514" s="559"/>
      <c r="X514" s="559"/>
      <c r="Y514" s="559"/>
      <c r="Z514" s="559"/>
      <c r="AA514" s="559"/>
      <c r="AB514" s="559"/>
      <c r="AC514" s="559"/>
      <c r="AD514" s="559"/>
      <c r="AE514" s="559"/>
      <c r="AF514" s="559"/>
      <c r="AG514" s="559"/>
      <c r="AH514" s="559"/>
      <c r="AI514" s="559"/>
      <c r="AJ514" s="559"/>
      <c r="AK514" s="559"/>
      <c r="AL514" s="559"/>
      <c r="AM514" s="559"/>
      <c r="AN514" s="559"/>
    </row>
    <row r="515">
      <c r="A515" s="559"/>
      <c r="B515" s="559"/>
      <c r="C515" s="559"/>
      <c r="D515" s="559"/>
      <c r="E515" s="559"/>
      <c r="F515" s="559"/>
      <c r="G515" s="559"/>
      <c r="H515" s="559"/>
      <c r="I515" s="559"/>
      <c r="J515" s="559"/>
      <c r="K515" s="559"/>
      <c r="L515" s="559"/>
      <c r="M515" s="559"/>
      <c r="N515" s="559"/>
      <c r="O515" s="559"/>
      <c r="P515" s="559"/>
      <c r="Q515" s="559"/>
      <c r="R515" s="559"/>
      <c r="S515" s="559"/>
      <c r="T515" s="559"/>
      <c r="U515" s="559"/>
      <c r="V515" s="559"/>
      <c r="W515" s="559"/>
      <c r="X515" s="559"/>
      <c r="Y515" s="559"/>
      <c r="Z515" s="559"/>
      <c r="AA515" s="559"/>
      <c r="AB515" s="559"/>
      <c r="AC515" s="559"/>
      <c r="AD515" s="559"/>
      <c r="AE515" s="559"/>
      <c r="AF515" s="559"/>
      <c r="AG515" s="559"/>
      <c r="AH515" s="559"/>
      <c r="AI515" s="559"/>
      <c r="AJ515" s="559"/>
      <c r="AK515" s="559"/>
      <c r="AL515" s="559"/>
      <c r="AM515" s="559"/>
      <c r="AN515" s="559"/>
    </row>
    <row r="516">
      <c r="A516" s="559"/>
      <c r="B516" s="559"/>
      <c r="C516" s="559"/>
      <c r="D516" s="559"/>
      <c r="E516" s="559"/>
      <c r="F516" s="559"/>
      <c r="G516" s="559"/>
      <c r="H516" s="559"/>
      <c r="I516" s="559"/>
      <c r="J516" s="559"/>
      <c r="K516" s="559"/>
      <c r="L516" s="559"/>
      <c r="M516" s="559"/>
      <c r="N516" s="559"/>
      <c r="O516" s="559"/>
      <c r="P516" s="559"/>
      <c r="Q516" s="559"/>
      <c r="R516" s="559"/>
      <c r="S516" s="559"/>
      <c r="T516" s="559"/>
      <c r="U516" s="559"/>
      <c r="V516" s="559"/>
      <c r="W516" s="559"/>
      <c r="X516" s="559"/>
      <c r="Y516" s="559"/>
      <c r="Z516" s="559"/>
      <c r="AA516" s="559"/>
      <c r="AB516" s="559"/>
      <c r="AC516" s="559"/>
      <c r="AD516" s="559"/>
      <c r="AE516" s="559"/>
      <c r="AF516" s="559"/>
      <c r="AG516" s="559"/>
      <c r="AH516" s="559"/>
      <c r="AI516" s="559"/>
      <c r="AJ516" s="559"/>
      <c r="AK516" s="559"/>
      <c r="AL516" s="559"/>
      <c r="AM516" s="559"/>
      <c r="AN516" s="559"/>
    </row>
    <row r="517">
      <c r="A517" s="559"/>
      <c r="B517" s="559"/>
      <c r="C517" s="559"/>
      <c r="D517" s="559"/>
      <c r="E517" s="559"/>
      <c r="F517" s="559"/>
      <c r="G517" s="559"/>
      <c r="H517" s="559"/>
      <c r="I517" s="559"/>
      <c r="J517" s="559"/>
      <c r="K517" s="559"/>
      <c r="L517" s="559"/>
      <c r="M517" s="559"/>
      <c r="N517" s="559"/>
      <c r="O517" s="559"/>
      <c r="P517" s="559"/>
      <c r="Q517" s="559"/>
      <c r="R517" s="559"/>
      <c r="S517" s="559"/>
      <c r="T517" s="559"/>
      <c r="U517" s="559"/>
      <c r="V517" s="559"/>
      <c r="W517" s="559"/>
      <c r="X517" s="559"/>
      <c r="Y517" s="559"/>
      <c r="Z517" s="559"/>
      <c r="AA517" s="559"/>
      <c r="AB517" s="559"/>
      <c r="AC517" s="559"/>
      <c r="AD517" s="559"/>
      <c r="AE517" s="559"/>
      <c r="AF517" s="559"/>
      <c r="AG517" s="559"/>
      <c r="AH517" s="559"/>
      <c r="AI517" s="559"/>
      <c r="AJ517" s="559"/>
      <c r="AK517" s="559"/>
      <c r="AL517" s="559"/>
      <c r="AM517" s="559"/>
      <c r="AN517" s="559"/>
    </row>
    <row r="518">
      <c r="A518" s="559"/>
      <c r="B518" s="559"/>
      <c r="C518" s="559"/>
      <c r="D518" s="559"/>
      <c r="E518" s="559"/>
      <c r="F518" s="559"/>
      <c r="G518" s="559"/>
      <c r="H518" s="559"/>
      <c r="I518" s="559"/>
      <c r="J518" s="559"/>
      <c r="K518" s="559"/>
      <c r="L518" s="559"/>
      <c r="M518" s="559"/>
      <c r="N518" s="559"/>
      <c r="O518" s="559"/>
      <c r="P518" s="559"/>
      <c r="Q518" s="559"/>
      <c r="R518" s="559"/>
      <c r="S518" s="559"/>
      <c r="T518" s="559"/>
      <c r="U518" s="559"/>
      <c r="V518" s="559"/>
      <c r="W518" s="559"/>
      <c r="X518" s="559"/>
      <c r="Y518" s="559"/>
      <c r="Z518" s="559"/>
      <c r="AA518" s="559"/>
      <c r="AB518" s="559"/>
      <c r="AC518" s="559"/>
      <c r="AD518" s="559"/>
      <c r="AE518" s="559"/>
      <c r="AF518" s="559"/>
      <c r="AG518" s="559"/>
      <c r="AH518" s="559"/>
      <c r="AI518" s="559"/>
      <c r="AJ518" s="559"/>
      <c r="AK518" s="559"/>
      <c r="AL518" s="559"/>
      <c r="AM518" s="559"/>
      <c r="AN518" s="559"/>
    </row>
    <row r="519">
      <c r="A519" s="559"/>
      <c r="B519" s="559"/>
      <c r="C519" s="559"/>
      <c r="D519" s="559"/>
      <c r="E519" s="559"/>
      <c r="F519" s="559"/>
      <c r="G519" s="559"/>
      <c r="H519" s="559"/>
      <c r="I519" s="559"/>
      <c r="J519" s="559"/>
      <c r="K519" s="559"/>
      <c r="L519" s="559"/>
      <c r="M519" s="559"/>
      <c r="N519" s="559"/>
      <c r="O519" s="559"/>
      <c r="P519" s="559"/>
      <c r="Q519" s="559"/>
      <c r="R519" s="559"/>
      <c r="S519" s="559"/>
      <c r="T519" s="559"/>
      <c r="U519" s="559"/>
      <c r="V519" s="559"/>
      <c r="W519" s="559"/>
      <c r="X519" s="559"/>
      <c r="Y519" s="559"/>
      <c r="Z519" s="559"/>
      <c r="AA519" s="559"/>
      <c r="AB519" s="559"/>
      <c r="AC519" s="559"/>
      <c r="AD519" s="559"/>
      <c r="AE519" s="559"/>
      <c r="AF519" s="559"/>
      <c r="AG519" s="559"/>
      <c r="AH519" s="559"/>
      <c r="AI519" s="559"/>
      <c r="AJ519" s="559"/>
      <c r="AK519" s="559"/>
      <c r="AL519" s="559"/>
      <c r="AM519" s="559"/>
      <c r="AN519" s="559"/>
    </row>
    <row r="520">
      <c r="A520" s="559"/>
      <c r="B520" s="559"/>
      <c r="C520" s="559"/>
      <c r="D520" s="559"/>
      <c r="E520" s="559"/>
      <c r="F520" s="559"/>
      <c r="G520" s="559"/>
      <c r="H520" s="559"/>
      <c r="I520" s="559"/>
      <c r="J520" s="559"/>
      <c r="K520" s="559"/>
      <c r="L520" s="559"/>
      <c r="M520" s="559"/>
      <c r="N520" s="559"/>
      <c r="O520" s="559"/>
      <c r="P520" s="559"/>
      <c r="Q520" s="559"/>
      <c r="R520" s="559"/>
      <c r="S520" s="559"/>
      <c r="T520" s="559"/>
      <c r="U520" s="559"/>
      <c r="V520" s="559"/>
      <c r="W520" s="559"/>
      <c r="X520" s="559"/>
      <c r="Y520" s="559"/>
      <c r="Z520" s="559"/>
      <c r="AA520" s="559"/>
      <c r="AB520" s="559"/>
      <c r="AC520" s="559"/>
      <c r="AD520" s="559"/>
      <c r="AE520" s="559"/>
      <c r="AF520" s="559"/>
      <c r="AG520" s="559"/>
      <c r="AH520" s="559"/>
      <c r="AI520" s="559"/>
      <c r="AJ520" s="559"/>
      <c r="AK520" s="559"/>
      <c r="AL520" s="559"/>
      <c r="AM520" s="559"/>
      <c r="AN520" s="559"/>
    </row>
    <row r="521">
      <c r="A521" s="559"/>
      <c r="B521" s="559"/>
      <c r="C521" s="559"/>
      <c r="D521" s="559"/>
      <c r="E521" s="559"/>
      <c r="F521" s="559"/>
      <c r="G521" s="559"/>
      <c r="H521" s="559"/>
      <c r="I521" s="559"/>
      <c r="J521" s="559"/>
      <c r="K521" s="559"/>
      <c r="L521" s="559"/>
      <c r="M521" s="559"/>
      <c r="N521" s="559"/>
      <c r="O521" s="559"/>
      <c r="P521" s="559"/>
      <c r="Q521" s="559"/>
      <c r="R521" s="559"/>
      <c r="S521" s="559"/>
      <c r="T521" s="559"/>
      <c r="U521" s="559"/>
      <c r="V521" s="559"/>
      <c r="W521" s="559"/>
      <c r="X521" s="559"/>
      <c r="Y521" s="559"/>
      <c r="Z521" s="559"/>
      <c r="AA521" s="559"/>
      <c r="AB521" s="559"/>
      <c r="AC521" s="559"/>
      <c r="AD521" s="559"/>
      <c r="AE521" s="559"/>
      <c r="AF521" s="559"/>
      <c r="AG521" s="559"/>
      <c r="AH521" s="559"/>
      <c r="AI521" s="559"/>
      <c r="AJ521" s="559"/>
      <c r="AK521" s="559"/>
      <c r="AL521" s="559"/>
      <c r="AM521" s="559"/>
      <c r="AN521" s="559"/>
    </row>
    <row r="522">
      <c r="A522" s="559"/>
      <c r="B522" s="559"/>
      <c r="C522" s="559"/>
      <c r="D522" s="559"/>
      <c r="E522" s="559"/>
      <c r="F522" s="559"/>
      <c r="G522" s="559"/>
      <c r="H522" s="559"/>
      <c r="I522" s="559"/>
      <c r="J522" s="559"/>
      <c r="K522" s="559"/>
      <c r="L522" s="559"/>
      <c r="M522" s="559"/>
      <c r="N522" s="559"/>
      <c r="O522" s="559"/>
      <c r="P522" s="559"/>
      <c r="Q522" s="559"/>
      <c r="R522" s="559"/>
      <c r="S522" s="559"/>
      <c r="T522" s="559"/>
      <c r="U522" s="559"/>
      <c r="V522" s="559"/>
      <c r="W522" s="559"/>
      <c r="X522" s="559"/>
      <c r="Y522" s="559"/>
      <c r="Z522" s="559"/>
      <c r="AA522" s="559"/>
      <c r="AB522" s="559"/>
      <c r="AC522" s="559"/>
      <c r="AD522" s="559"/>
      <c r="AE522" s="559"/>
      <c r="AF522" s="559"/>
      <c r="AG522" s="559"/>
      <c r="AH522" s="559"/>
      <c r="AI522" s="559"/>
      <c r="AJ522" s="559"/>
      <c r="AK522" s="559"/>
      <c r="AL522" s="559"/>
      <c r="AM522" s="559"/>
      <c r="AN522" s="559"/>
    </row>
    <row r="523">
      <c r="A523" s="559"/>
      <c r="B523" s="559"/>
      <c r="C523" s="559"/>
      <c r="D523" s="559"/>
      <c r="E523" s="559"/>
      <c r="F523" s="559"/>
      <c r="G523" s="559"/>
      <c r="H523" s="559"/>
      <c r="I523" s="559"/>
      <c r="J523" s="559"/>
      <c r="K523" s="559"/>
      <c r="L523" s="559"/>
      <c r="M523" s="559"/>
      <c r="N523" s="559"/>
      <c r="O523" s="559"/>
      <c r="P523" s="559"/>
      <c r="Q523" s="559"/>
      <c r="R523" s="559"/>
      <c r="S523" s="559"/>
      <c r="T523" s="559"/>
      <c r="U523" s="559"/>
      <c r="V523" s="559"/>
      <c r="W523" s="559"/>
      <c r="X523" s="559"/>
      <c r="Y523" s="559"/>
      <c r="Z523" s="559"/>
      <c r="AA523" s="559"/>
      <c r="AB523" s="559"/>
      <c r="AC523" s="559"/>
      <c r="AD523" s="559"/>
      <c r="AE523" s="559"/>
      <c r="AF523" s="559"/>
      <c r="AG523" s="559"/>
      <c r="AH523" s="559"/>
      <c r="AI523" s="559"/>
      <c r="AJ523" s="559"/>
      <c r="AK523" s="559"/>
      <c r="AL523" s="559"/>
      <c r="AM523" s="559"/>
      <c r="AN523" s="559"/>
    </row>
    <row r="524">
      <c r="A524" s="559"/>
      <c r="B524" s="559"/>
      <c r="C524" s="559"/>
      <c r="D524" s="559"/>
      <c r="E524" s="559"/>
      <c r="F524" s="559"/>
      <c r="G524" s="559"/>
      <c r="H524" s="559"/>
      <c r="I524" s="559"/>
      <c r="J524" s="559"/>
      <c r="K524" s="559"/>
      <c r="L524" s="559"/>
      <c r="M524" s="559"/>
      <c r="N524" s="559"/>
      <c r="O524" s="559"/>
      <c r="P524" s="559"/>
      <c r="Q524" s="559"/>
      <c r="R524" s="559"/>
      <c r="S524" s="559"/>
      <c r="T524" s="559"/>
      <c r="U524" s="559"/>
      <c r="V524" s="559"/>
      <c r="W524" s="559"/>
      <c r="X524" s="559"/>
      <c r="Y524" s="559"/>
      <c r="Z524" s="559"/>
      <c r="AA524" s="559"/>
      <c r="AB524" s="559"/>
      <c r="AC524" s="559"/>
      <c r="AD524" s="559"/>
      <c r="AE524" s="559"/>
      <c r="AF524" s="559"/>
      <c r="AG524" s="559"/>
      <c r="AH524" s="559"/>
      <c r="AI524" s="559"/>
      <c r="AJ524" s="559"/>
      <c r="AK524" s="559"/>
      <c r="AL524" s="559"/>
      <c r="AM524" s="559"/>
      <c r="AN524" s="559"/>
    </row>
    <row r="525">
      <c r="A525" s="559"/>
      <c r="B525" s="559"/>
      <c r="C525" s="559"/>
      <c r="D525" s="559"/>
      <c r="E525" s="559"/>
      <c r="F525" s="559"/>
      <c r="G525" s="559"/>
      <c r="H525" s="559"/>
      <c r="I525" s="559"/>
      <c r="J525" s="559"/>
      <c r="K525" s="559"/>
      <c r="L525" s="559"/>
      <c r="M525" s="559"/>
      <c r="N525" s="559"/>
      <c r="O525" s="559"/>
      <c r="P525" s="559"/>
      <c r="Q525" s="559"/>
      <c r="R525" s="559"/>
      <c r="S525" s="559"/>
      <c r="T525" s="559"/>
      <c r="U525" s="559"/>
      <c r="V525" s="559"/>
      <c r="W525" s="559"/>
      <c r="X525" s="559"/>
      <c r="Y525" s="559"/>
      <c r="Z525" s="559"/>
      <c r="AA525" s="559"/>
      <c r="AB525" s="559"/>
      <c r="AC525" s="559"/>
      <c r="AD525" s="559"/>
      <c r="AE525" s="559"/>
      <c r="AF525" s="559"/>
      <c r="AG525" s="559"/>
      <c r="AH525" s="559"/>
      <c r="AI525" s="559"/>
      <c r="AJ525" s="559"/>
      <c r="AK525" s="559"/>
      <c r="AL525" s="559"/>
      <c r="AM525" s="559"/>
      <c r="AN525" s="559"/>
    </row>
    <row r="526">
      <c r="A526" s="559"/>
      <c r="B526" s="559"/>
      <c r="C526" s="559"/>
      <c r="D526" s="559"/>
      <c r="E526" s="559"/>
      <c r="F526" s="559"/>
      <c r="G526" s="559"/>
      <c r="H526" s="559"/>
      <c r="I526" s="559"/>
      <c r="J526" s="559"/>
      <c r="K526" s="559"/>
      <c r="L526" s="559"/>
      <c r="M526" s="559"/>
      <c r="N526" s="559"/>
      <c r="O526" s="559"/>
      <c r="P526" s="559"/>
      <c r="Q526" s="559"/>
      <c r="R526" s="559"/>
      <c r="S526" s="559"/>
      <c r="T526" s="559"/>
      <c r="U526" s="559"/>
      <c r="V526" s="559"/>
      <c r="W526" s="559"/>
      <c r="X526" s="559"/>
      <c r="Y526" s="559"/>
      <c r="Z526" s="559"/>
      <c r="AA526" s="559"/>
      <c r="AB526" s="559"/>
      <c r="AC526" s="559"/>
      <c r="AD526" s="559"/>
      <c r="AE526" s="559"/>
      <c r="AF526" s="559"/>
      <c r="AG526" s="559"/>
      <c r="AH526" s="559"/>
      <c r="AI526" s="559"/>
      <c r="AJ526" s="559"/>
      <c r="AK526" s="559"/>
      <c r="AL526" s="559"/>
      <c r="AM526" s="559"/>
      <c r="AN526" s="559"/>
    </row>
    <row r="527">
      <c r="A527" s="559"/>
      <c r="B527" s="559"/>
      <c r="C527" s="559"/>
      <c r="D527" s="559"/>
      <c r="E527" s="559"/>
      <c r="F527" s="559"/>
      <c r="G527" s="559"/>
      <c r="H527" s="559"/>
      <c r="I527" s="559"/>
      <c r="J527" s="559"/>
      <c r="K527" s="559"/>
      <c r="L527" s="559"/>
      <c r="M527" s="559"/>
      <c r="N527" s="559"/>
      <c r="O527" s="559"/>
      <c r="P527" s="559"/>
      <c r="Q527" s="559"/>
      <c r="R527" s="559"/>
      <c r="S527" s="559"/>
      <c r="T527" s="559"/>
      <c r="U527" s="559"/>
      <c r="V527" s="559"/>
      <c r="W527" s="559"/>
      <c r="X527" s="559"/>
      <c r="Y527" s="559"/>
      <c r="Z527" s="559"/>
      <c r="AA527" s="559"/>
      <c r="AB527" s="559"/>
      <c r="AC527" s="559"/>
      <c r="AD527" s="559"/>
      <c r="AE527" s="559"/>
      <c r="AF527" s="559"/>
      <c r="AG527" s="559"/>
      <c r="AH527" s="559"/>
      <c r="AI527" s="559"/>
      <c r="AJ527" s="559"/>
      <c r="AK527" s="559"/>
      <c r="AL527" s="559"/>
      <c r="AM527" s="559"/>
      <c r="AN527" s="559"/>
    </row>
    <row r="528">
      <c r="A528" s="559"/>
      <c r="B528" s="559"/>
      <c r="C528" s="559"/>
      <c r="D528" s="559"/>
      <c r="E528" s="559"/>
      <c r="F528" s="559"/>
      <c r="G528" s="559"/>
      <c r="H528" s="559"/>
      <c r="I528" s="559"/>
      <c r="J528" s="559"/>
      <c r="K528" s="559"/>
      <c r="L528" s="559"/>
      <c r="M528" s="559"/>
      <c r="N528" s="559"/>
      <c r="O528" s="559"/>
      <c r="P528" s="559"/>
      <c r="Q528" s="559"/>
      <c r="R528" s="559"/>
      <c r="S528" s="559"/>
      <c r="T528" s="559"/>
      <c r="U528" s="559"/>
      <c r="V528" s="559"/>
      <c r="W528" s="559"/>
      <c r="X528" s="559"/>
      <c r="Y528" s="559"/>
      <c r="Z528" s="559"/>
      <c r="AA528" s="559"/>
      <c r="AB528" s="559"/>
      <c r="AC528" s="559"/>
      <c r="AD528" s="559"/>
      <c r="AE528" s="559"/>
      <c r="AF528" s="559"/>
      <c r="AG528" s="559"/>
      <c r="AH528" s="559"/>
      <c r="AI528" s="559"/>
      <c r="AJ528" s="559"/>
      <c r="AK528" s="559"/>
      <c r="AL528" s="559"/>
      <c r="AM528" s="559"/>
      <c r="AN528" s="559"/>
    </row>
    <row r="529">
      <c r="A529" s="559"/>
      <c r="B529" s="559"/>
      <c r="C529" s="559"/>
      <c r="D529" s="559"/>
      <c r="E529" s="559"/>
      <c r="F529" s="559"/>
      <c r="G529" s="559"/>
      <c r="H529" s="559"/>
      <c r="I529" s="559"/>
      <c r="J529" s="559"/>
      <c r="K529" s="559"/>
      <c r="L529" s="559"/>
      <c r="M529" s="559"/>
      <c r="N529" s="559"/>
      <c r="O529" s="559"/>
      <c r="P529" s="559"/>
      <c r="Q529" s="559"/>
      <c r="R529" s="559"/>
      <c r="S529" s="559"/>
      <c r="T529" s="559"/>
      <c r="U529" s="559"/>
      <c r="V529" s="559"/>
      <c r="W529" s="559"/>
      <c r="X529" s="559"/>
      <c r="Y529" s="559"/>
      <c r="Z529" s="559"/>
      <c r="AA529" s="559"/>
      <c r="AB529" s="559"/>
      <c r="AC529" s="559"/>
      <c r="AD529" s="559"/>
      <c r="AE529" s="559"/>
      <c r="AF529" s="559"/>
      <c r="AG529" s="559"/>
      <c r="AH529" s="559"/>
      <c r="AI529" s="559"/>
      <c r="AJ529" s="559"/>
      <c r="AK529" s="559"/>
      <c r="AL529" s="559"/>
      <c r="AM529" s="559"/>
      <c r="AN529" s="559"/>
    </row>
    <row r="530">
      <c r="A530" s="559"/>
      <c r="B530" s="559"/>
      <c r="C530" s="559"/>
      <c r="D530" s="559"/>
      <c r="E530" s="559"/>
      <c r="F530" s="559"/>
      <c r="G530" s="559"/>
      <c r="H530" s="559"/>
      <c r="I530" s="559"/>
      <c r="J530" s="559"/>
      <c r="K530" s="559"/>
      <c r="L530" s="559"/>
      <c r="M530" s="559"/>
      <c r="N530" s="559"/>
      <c r="O530" s="559"/>
      <c r="P530" s="559"/>
      <c r="Q530" s="559"/>
      <c r="R530" s="559"/>
      <c r="S530" s="559"/>
      <c r="T530" s="559"/>
      <c r="U530" s="559"/>
      <c r="V530" s="559"/>
      <c r="W530" s="559"/>
      <c r="X530" s="559"/>
      <c r="Y530" s="559"/>
      <c r="Z530" s="559"/>
      <c r="AA530" s="559"/>
      <c r="AB530" s="559"/>
      <c r="AC530" s="559"/>
      <c r="AD530" s="559"/>
      <c r="AE530" s="559"/>
      <c r="AF530" s="559"/>
      <c r="AG530" s="559"/>
      <c r="AH530" s="559"/>
      <c r="AI530" s="559"/>
      <c r="AJ530" s="559"/>
      <c r="AK530" s="559"/>
      <c r="AL530" s="559"/>
      <c r="AM530" s="559"/>
      <c r="AN530" s="559"/>
    </row>
    <row r="531">
      <c r="A531" s="559"/>
      <c r="B531" s="559"/>
      <c r="C531" s="559"/>
      <c r="D531" s="559"/>
      <c r="E531" s="559"/>
      <c r="F531" s="559"/>
      <c r="G531" s="559"/>
      <c r="H531" s="559"/>
      <c r="I531" s="559"/>
      <c r="J531" s="559"/>
      <c r="K531" s="559"/>
      <c r="L531" s="559"/>
      <c r="M531" s="559"/>
      <c r="N531" s="559"/>
      <c r="O531" s="559"/>
      <c r="P531" s="559"/>
      <c r="Q531" s="559"/>
      <c r="R531" s="559"/>
      <c r="S531" s="559"/>
      <c r="T531" s="559"/>
      <c r="U531" s="559"/>
      <c r="V531" s="559"/>
      <c r="W531" s="559"/>
      <c r="X531" s="559"/>
      <c r="Y531" s="559"/>
      <c r="Z531" s="559"/>
      <c r="AA531" s="559"/>
      <c r="AB531" s="559"/>
      <c r="AC531" s="559"/>
      <c r="AD531" s="559"/>
      <c r="AE531" s="559"/>
      <c r="AF531" s="559"/>
      <c r="AG531" s="559"/>
      <c r="AH531" s="559"/>
      <c r="AI531" s="559"/>
      <c r="AJ531" s="559"/>
      <c r="AK531" s="559"/>
      <c r="AL531" s="559"/>
      <c r="AM531" s="559"/>
      <c r="AN531" s="559"/>
    </row>
    <row r="532">
      <c r="A532" s="559"/>
      <c r="B532" s="559"/>
      <c r="C532" s="559"/>
      <c r="D532" s="559"/>
      <c r="E532" s="559"/>
      <c r="F532" s="559"/>
      <c r="G532" s="559"/>
      <c r="H532" s="559"/>
      <c r="I532" s="559"/>
      <c r="J532" s="559"/>
      <c r="K532" s="559"/>
      <c r="L532" s="559"/>
      <c r="M532" s="559"/>
      <c r="N532" s="559"/>
      <c r="O532" s="559"/>
      <c r="P532" s="559"/>
      <c r="Q532" s="559"/>
      <c r="R532" s="559"/>
      <c r="S532" s="559"/>
      <c r="T532" s="559"/>
      <c r="U532" s="559"/>
      <c r="V532" s="559"/>
      <c r="W532" s="559"/>
      <c r="X532" s="559"/>
      <c r="Y532" s="559"/>
      <c r="Z532" s="559"/>
      <c r="AA532" s="559"/>
      <c r="AB532" s="559"/>
      <c r="AC532" s="559"/>
      <c r="AD532" s="559"/>
      <c r="AE532" s="559"/>
      <c r="AF532" s="559"/>
      <c r="AG532" s="559"/>
      <c r="AH532" s="559"/>
      <c r="AI532" s="559"/>
      <c r="AJ532" s="559"/>
      <c r="AK532" s="559"/>
      <c r="AL532" s="559"/>
      <c r="AM532" s="559"/>
      <c r="AN532" s="559"/>
    </row>
    <row r="533">
      <c r="A533" s="559"/>
      <c r="B533" s="559"/>
      <c r="C533" s="559"/>
      <c r="D533" s="559"/>
      <c r="E533" s="559"/>
      <c r="F533" s="559"/>
      <c r="G533" s="559"/>
      <c r="H533" s="559"/>
      <c r="I533" s="559"/>
      <c r="J533" s="559"/>
      <c r="K533" s="559"/>
      <c r="L533" s="559"/>
      <c r="M533" s="559"/>
      <c r="N533" s="559"/>
      <c r="O533" s="559"/>
      <c r="P533" s="559"/>
      <c r="Q533" s="559"/>
      <c r="R533" s="559"/>
      <c r="S533" s="559"/>
      <c r="T533" s="559"/>
      <c r="U533" s="559"/>
      <c r="V533" s="559"/>
      <c r="W533" s="559"/>
      <c r="X533" s="559"/>
      <c r="Y533" s="559"/>
      <c r="Z533" s="559"/>
      <c r="AA533" s="559"/>
      <c r="AB533" s="559"/>
      <c r="AC533" s="559"/>
      <c r="AD533" s="559"/>
      <c r="AE533" s="559"/>
      <c r="AF533" s="559"/>
      <c r="AG533" s="559"/>
      <c r="AH533" s="559"/>
      <c r="AI533" s="559"/>
      <c r="AJ533" s="559"/>
      <c r="AK533" s="559"/>
      <c r="AL533" s="559"/>
      <c r="AM533" s="559"/>
      <c r="AN533" s="559"/>
    </row>
    <row r="534">
      <c r="A534" s="559"/>
      <c r="B534" s="559"/>
      <c r="C534" s="559"/>
      <c r="D534" s="559"/>
      <c r="E534" s="559"/>
      <c r="F534" s="559"/>
      <c r="G534" s="559"/>
      <c r="H534" s="559"/>
      <c r="I534" s="559"/>
      <c r="J534" s="559"/>
      <c r="K534" s="559"/>
      <c r="L534" s="559"/>
      <c r="M534" s="559"/>
      <c r="N534" s="559"/>
      <c r="O534" s="559"/>
      <c r="P534" s="559"/>
      <c r="Q534" s="559"/>
      <c r="R534" s="559"/>
      <c r="S534" s="559"/>
      <c r="T534" s="559"/>
      <c r="U534" s="559"/>
      <c r="V534" s="559"/>
      <c r="W534" s="559"/>
      <c r="X534" s="559"/>
      <c r="Y534" s="559"/>
      <c r="Z534" s="559"/>
      <c r="AA534" s="559"/>
      <c r="AB534" s="559"/>
      <c r="AC534" s="559"/>
      <c r="AD534" s="559"/>
      <c r="AE534" s="559"/>
      <c r="AF534" s="559"/>
      <c r="AG534" s="559"/>
      <c r="AH534" s="559"/>
      <c r="AI534" s="559"/>
      <c r="AJ534" s="559"/>
      <c r="AK534" s="559"/>
      <c r="AL534" s="559"/>
      <c r="AM534" s="559"/>
      <c r="AN534" s="559"/>
    </row>
    <row r="535">
      <c r="A535" s="559"/>
      <c r="B535" s="559"/>
      <c r="C535" s="559"/>
      <c r="D535" s="559"/>
      <c r="E535" s="559"/>
      <c r="F535" s="559"/>
      <c r="G535" s="559"/>
      <c r="H535" s="559"/>
      <c r="I535" s="559"/>
      <c r="J535" s="559"/>
      <c r="K535" s="559"/>
      <c r="L535" s="559"/>
      <c r="M535" s="559"/>
      <c r="N535" s="559"/>
      <c r="O535" s="559"/>
      <c r="P535" s="559"/>
      <c r="Q535" s="559"/>
      <c r="R535" s="559"/>
      <c r="S535" s="559"/>
      <c r="T535" s="559"/>
      <c r="U535" s="559"/>
      <c r="V535" s="559"/>
      <c r="W535" s="559"/>
      <c r="X535" s="559"/>
      <c r="Y535" s="559"/>
      <c r="Z535" s="559"/>
      <c r="AA535" s="559"/>
      <c r="AB535" s="559"/>
      <c r="AC535" s="559"/>
      <c r="AD535" s="559"/>
      <c r="AE535" s="559"/>
      <c r="AF535" s="559"/>
      <c r="AG535" s="559"/>
      <c r="AH535" s="559"/>
      <c r="AI535" s="559"/>
      <c r="AJ535" s="559"/>
      <c r="AK535" s="559"/>
      <c r="AL535" s="559"/>
      <c r="AM535" s="559"/>
      <c r="AN535" s="559"/>
    </row>
    <row r="536">
      <c r="A536" s="559"/>
      <c r="B536" s="559"/>
      <c r="C536" s="559"/>
      <c r="D536" s="559"/>
      <c r="E536" s="559"/>
      <c r="F536" s="559"/>
      <c r="G536" s="559"/>
      <c r="H536" s="559"/>
      <c r="I536" s="559"/>
      <c r="J536" s="559"/>
      <c r="K536" s="559"/>
      <c r="L536" s="559"/>
      <c r="M536" s="559"/>
      <c r="N536" s="559"/>
      <c r="O536" s="559"/>
      <c r="P536" s="559"/>
      <c r="Q536" s="559"/>
      <c r="R536" s="559"/>
      <c r="S536" s="559"/>
      <c r="T536" s="559"/>
      <c r="U536" s="559"/>
      <c r="V536" s="559"/>
      <c r="W536" s="559"/>
      <c r="X536" s="559"/>
      <c r="Y536" s="559"/>
      <c r="Z536" s="559"/>
      <c r="AA536" s="559"/>
      <c r="AB536" s="559"/>
      <c r="AC536" s="559"/>
      <c r="AD536" s="559"/>
      <c r="AE536" s="559"/>
      <c r="AF536" s="559"/>
      <c r="AG536" s="559"/>
      <c r="AH536" s="559"/>
      <c r="AI536" s="559"/>
      <c r="AJ536" s="559"/>
      <c r="AK536" s="559"/>
      <c r="AL536" s="559"/>
      <c r="AM536" s="559"/>
      <c r="AN536" s="559"/>
    </row>
    <row r="537">
      <c r="A537" s="559"/>
      <c r="B537" s="559"/>
      <c r="C537" s="559"/>
      <c r="D537" s="559"/>
      <c r="E537" s="559"/>
      <c r="F537" s="559"/>
      <c r="G537" s="559"/>
      <c r="H537" s="559"/>
      <c r="I537" s="559"/>
      <c r="J537" s="559"/>
      <c r="K537" s="559"/>
      <c r="L537" s="559"/>
      <c r="M537" s="559"/>
      <c r="N537" s="559"/>
      <c r="O537" s="559"/>
      <c r="P537" s="559"/>
      <c r="Q537" s="559"/>
      <c r="R537" s="559"/>
      <c r="S537" s="559"/>
      <c r="T537" s="559"/>
      <c r="U537" s="559"/>
      <c r="V537" s="559"/>
      <c r="W537" s="559"/>
      <c r="X537" s="559"/>
      <c r="Y537" s="559"/>
      <c r="Z537" s="559"/>
      <c r="AA537" s="559"/>
      <c r="AB537" s="559"/>
      <c r="AC537" s="559"/>
      <c r="AD537" s="559"/>
      <c r="AE537" s="559"/>
      <c r="AF537" s="559"/>
      <c r="AG537" s="559"/>
      <c r="AH537" s="559"/>
      <c r="AI537" s="559"/>
      <c r="AJ537" s="559"/>
      <c r="AK537" s="559"/>
      <c r="AL537" s="559"/>
      <c r="AM537" s="559"/>
      <c r="AN537" s="559"/>
    </row>
    <row r="538">
      <c r="A538" s="559"/>
      <c r="B538" s="559"/>
      <c r="C538" s="559"/>
      <c r="D538" s="559"/>
      <c r="E538" s="559"/>
      <c r="F538" s="559"/>
      <c r="G538" s="559"/>
      <c r="H538" s="559"/>
      <c r="I538" s="559"/>
      <c r="J538" s="559"/>
      <c r="K538" s="559"/>
      <c r="L538" s="559"/>
      <c r="M538" s="559"/>
      <c r="N538" s="559"/>
      <c r="O538" s="559"/>
      <c r="P538" s="559"/>
      <c r="Q538" s="559"/>
      <c r="R538" s="559"/>
      <c r="S538" s="559"/>
      <c r="T538" s="559"/>
      <c r="U538" s="559"/>
      <c r="V538" s="559"/>
      <c r="W538" s="559"/>
      <c r="X538" s="559"/>
      <c r="Y538" s="559"/>
      <c r="Z538" s="559"/>
      <c r="AA538" s="559"/>
      <c r="AB538" s="559"/>
      <c r="AC538" s="559"/>
      <c r="AD538" s="559"/>
      <c r="AE538" s="559"/>
      <c r="AF538" s="559"/>
      <c r="AG538" s="559"/>
      <c r="AH538" s="559"/>
      <c r="AI538" s="559"/>
      <c r="AJ538" s="559"/>
      <c r="AK538" s="559"/>
      <c r="AL538" s="559"/>
      <c r="AM538" s="559"/>
      <c r="AN538" s="559"/>
    </row>
    <row r="539">
      <c r="A539" s="559"/>
      <c r="B539" s="559"/>
      <c r="C539" s="559"/>
      <c r="D539" s="559"/>
      <c r="E539" s="559"/>
      <c r="F539" s="559"/>
      <c r="G539" s="559"/>
      <c r="H539" s="559"/>
      <c r="I539" s="559"/>
      <c r="J539" s="559"/>
      <c r="K539" s="559"/>
      <c r="L539" s="559"/>
      <c r="M539" s="559"/>
      <c r="N539" s="559"/>
      <c r="O539" s="559"/>
      <c r="P539" s="559"/>
      <c r="Q539" s="559"/>
      <c r="R539" s="559"/>
      <c r="S539" s="559"/>
      <c r="T539" s="559"/>
      <c r="U539" s="559"/>
      <c r="V539" s="559"/>
      <c r="W539" s="559"/>
      <c r="X539" s="559"/>
      <c r="Y539" s="559"/>
      <c r="Z539" s="559"/>
      <c r="AA539" s="559"/>
      <c r="AB539" s="559"/>
      <c r="AC539" s="559"/>
      <c r="AD539" s="559"/>
      <c r="AE539" s="559"/>
      <c r="AF539" s="559"/>
      <c r="AG539" s="559"/>
      <c r="AH539" s="559"/>
      <c r="AI539" s="559"/>
      <c r="AJ539" s="559"/>
      <c r="AK539" s="559"/>
      <c r="AL539" s="559"/>
      <c r="AM539" s="559"/>
      <c r="AN539" s="559"/>
    </row>
    <row r="540">
      <c r="A540" s="559"/>
      <c r="B540" s="559"/>
      <c r="C540" s="559"/>
      <c r="D540" s="559"/>
      <c r="E540" s="559"/>
      <c r="F540" s="559"/>
      <c r="G540" s="559"/>
      <c r="H540" s="559"/>
      <c r="I540" s="559"/>
      <c r="J540" s="559"/>
      <c r="K540" s="559"/>
      <c r="L540" s="559"/>
      <c r="M540" s="559"/>
      <c r="N540" s="559"/>
      <c r="O540" s="559"/>
      <c r="P540" s="559"/>
      <c r="Q540" s="559"/>
      <c r="R540" s="559"/>
      <c r="S540" s="559"/>
      <c r="T540" s="559"/>
      <c r="U540" s="559"/>
      <c r="V540" s="559"/>
      <c r="W540" s="559"/>
      <c r="X540" s="559"/>
      <c r="Y540" s="559"/>
      <c r="Z540" s="559"/>
      <c r="AA540" s="559"/>
      <c r="AB540" s="559"/>
      <c r="AC540" s="559"/>
      <c r="AD540" s="559"/>
      <c r="AE540" s="559"/>
      <c r="AF540" s="559"/>
      <c r="AG540" s="559"/>
      <c r="AH540" s="559"/>
      <c r="AI540" s="559"/>
      <c r="AJ540" s="559"/>
      <c r="AK540" s="559"/>
      <c r="AL540" s="559"/>
      <c r="AM540" s="559"/>
      <c r="AN540" s="559"/>
    </row>
    <row r="541">
      <c r="A541" s="559"/>
      <c r="B541" s="559"/>
      <c r="C541" s="559"/>
      <c r="D541" s="559"/>
      <c r="E541" s="559"/>
      <c r="F541" s="559"/>
      <c r="G541" s="559"/>
      <c r="H541" s="559"/>
      <c r="I541" s="559"/>
      <c r="J541" s="559"/>
      <c r="K541" s="559"/>
      <c r="L541" s="559"/>
      <c r="M541" s="559"/>
      <c r="N541" s="559"/>
      <c r="O541" s="559"/>
      <c r="P541" s="559"/>
      <c r="Q541" s="559"/>
      <c r="R541" s="559"/>
      <c r="S541" s="559"/>
      <c r="T541" s="559"/>
      <c r="U541" s="559"/>
      <c r="V541" s="559"/>
      <c r="W541" s="559"/>
      <c r="X541" s="559"/>
      <c r="Y541" s="559"/>
      <c r="Z541" s="559"/>
      <c r="AA541" s="559"/>
      <c r="AB541" s="559"/>
      <c r="AC541" s="559"/>
      <c r="AD541" s="559"/>
      <c r="AE541" s="559"/>
      <c r="AF541" s="559"/>
      <c r="AG541" s="559"/>
      <c r="AH541" s="559"/>
      <c r="AI541" s="559"/>
      <c r="AJ541" s="559"/>
      <c r="AK541" s="559"/>
      <c r="AL541" s="559"/>
      <c r="AM541" s="559"/>
      <c r="AN541" s="559"/>
    </row>
    <row r="542">
      <c r="A542" s="559"/>
      <c r="B542" s="559"/>
      <c r="C542" s="559"/>
      <c r="D542" s="559"/>
      <c r="E542" s="559"/>
      <c r="F542" s="559"/>
      <c r="G542" s="559"/>
      <c r="H542" s="559"/>
      <c r="I542" s="559"/>
      <c r="J542" s="559"/>
      <c r="K542" s="559"/>
      <c r="L542" s="559"/>
      <c r="M542" s="559"/>
      <c r="N542" s="559"/>
      <c r="O542" s="559"/>
      <c r="P542" s="559"/>
      <c r="Q542" s="559"/>
      <c r="R542" s="559"/>
      <c r="S542" s="559"/>
      <c r="T542" s="559"/>
      <c r="U542" s="559"/>
      <c r="V542" s="559"/>
      <c r="W542" s="559"/>
      <c r="X542" s="559"/>
      <c r="Y542" s="559"/>
      <c r="Z542" s="559"/>
      <c r="AA542" s="559"/>
      <c r="AB542" s="559"/>
      <c r="AC542" s="559"/>
      <c r="AD542" s="559"/>
      <c r="AE542" s="559"/>
      <c r="AF542" s="559"/>
      <c r="AG542" s="559"/>
      <c r="AH542" s="559"/>
      <c r="AI542" s="559"/>
      <c r="AJ542" s="559"/>
      <c r="AK542" s="559"/>
      <c r="AL542" s="559"/>
      <c r="AM542" s="559"/>
      <c r="AN542" s="559"/>
    </row>
    <row r="543">
      <c r="A543" s="559"/>
      <c r="B543" s="559"/>
      <c r="C543" s="559"/>
      <c r="D543" s="559"/>
      <c r="E543" s="559"/>
      <c r="F543" s="559"/>
      <c r="G543" s="559"/>
      <c r="H543" s="559"/>
      <c r="I543" s="559"/>
      <c r="J543" s="559"/>
      <c r="K543" s="559"/>
      <c r="L543" s="559"/>
      <c r="M543" s="559"/>
      <c r="N543" s="559"/>
      <c r="O543" s="559"/>
      <c r="P543" s="559"/>
      <c r="Q543" s="559"/>
      <c r="R543" s="559"/>
      <c r="S543" s="559"/>
      <c r="T543" s="559"/>
      <c r="U543" s="559"/>
      <c r="V543" s="559"/>
      <c r="W543" s="559"/>
      <c r="X543" s="559"/>
      <c r="Y543" s="559"/>
      <c r="Z543" s="559"/>
      <c r="AA543" s="559"/>
      <c r="AB543" s="559"/>
      <c r="AC543" s="559"/>
      <c r="AD543" s="559"/>
      <c r="AE543" s="559"/>
      <c r="AF543" s="559"/>
      <c r="AG543" s="559"/>
      <c r="AH543" s="559"/>
      <c r="AI543" s="559"/>
      <c r="AJ543" s="559"/>
      <c r="AK543" s="559"/>
      <c r="AL543" s="559"/>
      <c r="AM543" s="559"/>
      <c r="AN543" s="559"/>
    </row>
    <row r="544">
      <c r="A544" s="559"/>
      <c r="B544" s="559"/>
      <c r="C544" s="559"/>
      <c r="D544" s="559"/>
      <c r="E544" s="559"/>
      <c r="F544" s="559"/>
      <c r="G544" s="559"/>
      <c r="H544" s="559"/>
      <c r="I544" s="559"/>
      <c r="J544" s="559"/>
      <c r="K544" s="559"/>
      <c r="L544" s="559"/>
      <c r="M544" s="559"/>
      <c r="N544" s="559"/>
      <c r="O544" s="559"/>
      <c r="P544" s="559"/>
      <c r="Q544" s="559"/>
      <c r="R544" s="559"/>
      <c r="S544" s="559"/>
      <c r="T544" s="559"/>
      <c r="U544" s="559"/>
      <c r="V544" s="559"/>
      <c r="W544" s="559"/>
      <c r="X544" s="559"/>
      <c r="Y544" s="559"/>
      <c r="Z544" s="559"/>
      <c r="AA544" s="559"/>
      <c r="AB544" s="559"/>
      <c r="AC544" s="559"/>
      <c r="AD544" s="559"/>
      <c r="AE544" s="559"/>
      <c r="AF544" s="559"/>
      <c r="AG544" s="559"/>
      <c r="AH544" s="559"/>
      <c r="AI544" s="559"/>
      <c r="AJ544" s="559"/>
      <c r="AK544" s="559"/>
      <c r="AL544" s="559"/>
      <c r="AM544" s="559"/>
      <c r="AN544" s="559"/>
    </row>
    <row r="545">
      <c r="A545" s="559"/>
      <c r="B545" s="559"/>
      <c r="C545" s="559"/>
      <c r="D545" s="559"/>
      <c r="E545" s="559"/>
      <c r="F545" s="559"/>
      <c r="G545" s="559"/>
      <c r="H545" s="559"/>
      <c r="I545" s="559"/>
      <c r="J545" s="559"/>
      <c r="K545" s="559"/>
      <c r="L545" s="559"/>
      <c r="M545" s="559"/>
      <c r="N545" s="559"/>
      <c r="O545" s="559"/>
      <c r="P545" s="559"/>
      <c r="Q545" s="559"/>
      <c r="R545" s="559"/>
      <c r="S545" s="559"/>
      <c r="T545" s="559"/>
      <c r="U545" s="559"/>
      <c r="V545" s="559"/>
      <c r="W545" s="559"/>
      <c r="X545" s="559"/>
      <c r="Y545" s="559"/>
      <c r="Z545" s="559"/>
      <c r="AA545" s="559"/>
      <c r="AB545" s="559"/>
      <c r="AC545" s="559"/>
      <c r="AD545" s="559"/>
      <c r="AE545" s="559"/>
      <c r="AF545" s="559"/>
      <c r="AG545" s="559"/>
      <c r="AH545" s="559"/>
      <c r="AI545" s="559"/>
      <c r="AJ545" s="559"/>
      <c r="AK545" s="559"/>
      <c r="AL545" s="559"/>
      <c r="AM545" s="559"/>
      <c r="AN545" s="559"/>
    </row>
    <row r="546">
      <c r="A546" s="559"/>
      <c r="B546" s="559"/>
      <c r="C546" s="559"/>
      <c r="D546" s="559"/>
      <c r="E546" s="559"/>
      <c r="F546" s="559"/>
      <c r="G546" s="559"/>
      <c r="H546" s="559"/>
      <c r="I546" s="559"/>
      <c r="J546" s="559"/>
      <c r="K546" s="559"/>
      <c r="L546" s="559"/>
      <c r="M546" s="559"/>
      <c r="N546" s="559"/>
      <c r="O546" s="559"/>
      <c r="P546" s="559"/>
      <c r="Q546" s="559"/>
      <c r="R546" s="559"/>
      <c r="S546" s="559"/>
      <c r="T546" s="559"/>
      <c r="U546" s="559"/>
      <c r="V546" s="559"/>
      <c r="W546" s="559"/>
      <c r="X546" s="559"/>
      <c r="Y546" s="559"/>
      <c r="Z546" s="559"/>
      <c r="AA546" s="559"/>
      <c r="AB546" s="559"/>
      <c r="AC546" s="559"/>
      <c r="AD546" s="559"/>
      <c r="AE546" s="559"/>
      <c r="AF546" s="559"/>
      <c r="AG546" s="559"/>
      <c r="AH546" s="559"/>
      <c r="AI546" s="559"/>
      <c r="AJ546" s="559"/>
      <c r="AK546" s="559"/>
      <c r="AL546" s="559"/>
      <c r="AM546" s="559"/>
      <c r="AN546" s="559"/>
    </row>
    <row r="547">
      <c r="A547" s="559"/>
      <c r="B547" s="559"/>
      <c r="C547" s="559"/>
      <c r="D547" s="559"/>
      <c r="E547" s="559"/>
      <c r="F547" s="559"/>
      <c r="G547" s="559"/>
      <c r="H547" s="559"/>
      <c r="I547" s="559"/>
      <c r="J547" s="559"/>
      <c r="K547" s="559"/>
      <c r="L547" s="559"/>
      <c r="M547" s="559"/>
      <c r="N547" s="559"/>
      <c r="O547" s="559"/>
      <c r="P547" s="559"/>
      <c r="Q547" s="559"/>
      <c r="R547" s="559"/>
      <c r="S547" s="559"/>
      <c r="T547" s="559"/>
      <c r="U547" s="559"/>
      <c r="V547" s="559"/>
      <c r="W547" s="559"/>
      <c r="X547" s="559"/>
      <c r="Y547" s="559"/>
      <c r="Z547" s="559"/>
      <c r="AA547" s="559"/>
      <c r="AB547" s="559"/>
      <c r="AC547" s="559"/>
      <c r="AD547" s="559"/>
      <c r="AE547" s="559"/>
      <c r="AF547" s="559"/>
      <c r="AG547" s="559"/>
      <c r="AH547" s="559"/>
      <c r="AI547" s="559"/>
      <c r="AJ547" s="559"/>
      <c r="AK547" s="559"/>
      <c r="AL547" s="559"/>
      <c r="AM547" s="559"/>
      <c r="AN547" s="559"/>
    </row>
    <row r="548">
      <c r="A548" s="559"/>
      <c r="B548" s="559"/>
      <c r="C548" s="559"/>
      <c r="D548" s="559"/>
      <c r="E548" s="559"/>
      <c r="F548" s="559"/>
      <c r="G548" s="559"/>
      <c r="H548" s="559"/>
      <c r="I548" s="559"/>
      <c r="J548" s="559"/>
      <c r="K548" s="559"/>
      <c r="L548" s="559"/>
      <c r="M548" s="559"/>
      <c r="N548" s="559"/>
      <c r="O548" s="559"/>
      <c r="P548" s="559"/>
      <c r="Q548" s="559"/>
      <c r="R548" s="559"/>
      <c r="S548" s="559"/>
      <c r="T548" s="559"/>
      <c r="U548" s="559"/>
      <c r="V548" s="559"/>
      <c r="W548" s="559"/>
      <c r="X548" s="559"/>
      <c r="Y548" s="559"/>
      <c r="Z548" s="559"/>
      <c r="AA548" s="559"/>
      <c r="AB548" s="559"/>
      <c r="AC548" s="559"/>
      <c r="AD548" s="559"/>
      <c r="AE548" s="559"/>
      <c r="AF548" s="559"/>
      <c r="AG548" s="559"/>
      <c r="AH548" s="559"/>
      <c r="AI548" s="559"/>
      <c r="AJ548" s="559"/>
      <c r="AK548" s="559"/>
      <c r="AL548" s="559"/>
      <c r="AM548" s="559"/>
      <c r="AN548" s="559"/>
    </row>
    <row r="549">
      <c r="A549" s="559"/>
      <c r="B549" s="559"/>
      <c r="C549" s="559"/>
      <c r="D549" s="559"/>
      <c r="E549" s="559"/>
      <c r="F549" s="559"/>
      <c r="G549" s="559"/>
      <c r="H549" s="559"/>
      <c r="I549" s="559"/>
      <c r="J549" s="559"/>
      <c r="K549" s="559"/>
      <c r="L549" s="559"/>
      <c r="M549" s="559"/>
      <c r="N549" s="559"/>
      <c r="O549" s="559"/>
      <c r="P549" s="559"/>
      <c r="Q549" s="559"/>
      <c r="R549" s="559"/>
      <c r="S549" s="559"/>
      <c r="T549" s="559"/>
      <c r="U549" s="559"/>
      <c r="V549" s="559"/>
      <c r="W549" s="559"/>
      <c r="X549" s="559"/>
      <c r="Y549" s="559"/>
      <c r="Z549" s="559"/>
      <c r="AA549" s="559"/>
      <c r="AB549" s="559"/>
      <c r="AC549" s="559"/>
      <c r="AD549" s="559"/>
      <c r="AE549" s="559"/>
      <c r="AF549" s="559"/>
      <c r="AG549" s="559"/>
      <c r="AH549" s="559"/>
      <c r="AI549" s="559"/>
      <c r="AJ549" s="559"/>
      <c r="AK549" s="559"/>
      <c r="AL549" s="559"/>
      <c r="AM549" s="559"/>
      <c r="AN549" s="559"/>
    </row>
    <row r="550">
      <c r="A550" s="559"/>
      <c r="B550" s="559"/>
      <c r="C550" s="559"/>
      <c r="D550" s="559"/>
      <c r="E550" s="559"/>
      <c r="F550" s="559"/>
      <c r="G550" s="559"/>
      <c r="H550" s="559"/>
      <c r="I550" s="559"/>
      <c r="J550" s="559"/>
      <c r="K550" s="559"/>
      <c r="L550" s="559"/>
      <c r="M550" s="559"/>
      <c r="N550" s="559"/>
      <c r="O550" s="559"/>
      <c r="P550" s="559"/>
      <c r="Q550" s="559"/>
      <c r="R550" s="559"/>
      <c r="S550" s="559"/>
      <c r="T550" s="559"/>
      <c r="U550" s="559"/>
      <c r="V550" s="559"/>
      <c r="W550" s="559"/>
      <c r="X550" s="559"/>
      <c r="Y550" s="559"/>
      <c r="Z550" s="559"/>
      <c r="AA550" s="559"/>
      <c r="AB550" s="559"/>
      <c r="AC550" s="559"/>
      <c r="AD550" s="559"/>
      <c r="AE550" s="559"/>
      <c r="AF550" s="559"/>
      <c r="AG550" s="559"/>
      <c r="AH550" s="559"/>
      <c r="AI550" s="559"/>
      <c r="AJ550" s="559"/>
      <c r="AK550" s="559"/>
      <c r="AL550" s="559"/>
      <c r="AM550" s="559"/>
      <c r="AN550" s="559"/>
    </row>
    <row r="551">
      <c r="A551" s="559"/>
      <c r="B551" s="559"/>
      <c r="C551" s="559"/>
      <c r="D551" s="559"/>
      <c r="E551" s="559"/>
      <c r="F551" s="559"/>
      <c r="G551" s="559"/>
      <c r="H551" s="559"/>
      <c r="I551" s="559"/>
      <c r="J551" s="559"/>
      <c r="K551" s="559"/>
      <c r="L551" s="559"/>
      <c r="M551" s="559"/>
      <c r="N551" s="559"/>
      <c r="O551" s="559"/>
      <c r="P551" s="559"/>
      <c r="Q551" s="559"/>
      <c r="R551" s="559"/>
      <c r="S551" s="559"/>
      <c r="T551" s="559"/>
      <c r="U551" s="559"/>
      <c r="V551" s="559"/>
      <c r="W551" s="559"/>
      <c r="X551" s="559"/>
      <c r="Y551" s="559"/>
      <c r="Z551" s="559"/>
      <c r="AA551" s="559"/>
      <c r="AB551" s="559"/>
      <c r="AC551" s="559"/>
      <c r="AD551" s="559"/>
      <c r="AE551" s="559"/>
      <c r="AF551" s="559"/>
      <c r="AG551" s="559"/>
      <c r="AH551" s="559"/>
      <c r="AI551" s="559"/>
      <c r="AJ551" s="559"/>
      <c r="AK551" s="559"/>
      <c r="AL551" s="559"/>
      <c r="AM551" s="559"/>
      <c r="AN551" s="559"/>
    </row>
    <row r="552">
      <c r="A552" s="559"/>
      <c r="B552" s="559"/>
      <c r="C552" s="559"/>
      <c r="D552" s="559"/>
      <c r="E552" s="559"/>
      <c r="F552" s="559"/>
      <c r="G552" s="559"/>
      <c r="H552" s="559"/>
      <c r="I552" s="559"/>
      <c r="J552" s="559"/>
      <c r="K552" s="559"/>
      <c r="L552" s="559"/>
      <c r="M552" s="559"/>
      <c r="N552" s="559"/>
      <c r="O552" s="559"/>
      <c r="P552" s="559"/>
      <c r="Q552" s="559"/>
      <c r="R552" s="559"/>
      <c r="S552" s="559"/>
      <c r="T552" s="559"/>
      <c r="U552" s="559"/>
      <c r="V552" s="559"/>
      <c r="W552" s="559"/>
      <c r="X552" s="559"/>
      <c r="Y552" s="559"/>
      <c r="Z552" s="559"/>
      <c r="AA552" s="559"/>
      <c r="AB552" s="559"/>
      <c r="AC552" s="559"/>
      <c r="AD552" s="559"/>
      <c r="AE552" s="559"/>
      <c r="AF552" s="559"/>
      <c r="AG552" s="559"/>
      <c r="AH552" s="559"/>
      <c r="AI552" s="559"/>
      <c r="AJ552" s="559"/>
      <c r="AK552" s="559"/>
      <c r="AL552" s="559"/>
      <c r="AM552" s="559"/>
      <c r="AN552" s="559"/>
    </row>
    <row r="553">
      <c r="A553" s="559"/>
      <c r="B553" s="559"/>
      <c r="C553" s="559"/>
      <c r="D553" s="559"/>
      <c r="E553" s="559"/>
      <c r="F553" s="559"/>
      <c r="G553" s="559"/>
      <c r="H553" s="559"/>
      <c r="I553" s="559"/>
      <c r="J553" s="559"/>
      <c r="K553" s="559"/>
      <c r="L553" s="559"/>
      <c r="M553" s="559"/>
      <c r="N553" s="559"/>
      <c r="O553" s="559"/>
      <c r="P553" s="559"/>
      <c r="Q553" s="559"/>
      <c r="R553" s="559"/>
      <c r="S553" s="559"/>
      <c r="T553" s="559"/>
      <c r="U553" s="559"/>
      <c r="V553" s="559"/>
      <c r="W553" s="559"/>
      <c r="X553" s="559"/>
      <c r="Y553" s="559"/>
      <c r="Z553" s="559"/>
      <c r="AA553" s="559"/>
      <c r="AB553" s="559"/>
      <c r="AC553" s="559"/>
      <c r="AD553" s="559"/>
      <c r="AE553" s="559"/>
      <c r="AF553" s="559"/>
      <c r="AG553" s="559"/>
      <c r="AH553" s="559"/>
      <c r="AI553" s="559"/>
      <c r="AJ553" s="559"/>
      <c r="AK553" s="559"/>
      <c r="AL553" s="559"/>
      <c r="AM553" s="559"/>
      <c r="AN553" s="559"/>
    </row>
    <row r="554">
      <c r="A554" s="559"/>
      <c r="B554" s="559"/>
      <c r="C554" s="559"/>
      <c r="D554" s="559"/>
      <c r="E554" s="559"/>
      <c r="F554" s="559"/>
      <c r="G554" s="559"/>
      <c r="H554" s="559"/>
      <c r="I554" s="559"/>
      <c r="J554" s="559"/>
      <c r="K554" s="559"/>
      <c r="L554" s="559"/>
      <c r="M554" s="559"/>
      <c r="N554" s="559"/>
      <c r="O554" s="559"/>
      <c r="P554" s="559"/>
      <c r="Q554" s="559"/>
      <c r="R554" s="559"/>
      <c r="S554" s="559"/>
      <c r="T554" s="559"/>
      <c r="U554" s="559"/>
      <c r="V554" s="559"/>
      <c r="W554" s="559"/>
      <c r="X554" s="559"/>
      <c r="Y554" s="559"/>
      <c r="Z554" s="559"/>
      <c r="AA554" s="559"/>
      <c r="AB554" s="559"/>
      <c r="AC554" s="559"/>
      <c r="AD554" s="559"/>
      <c r="AE554" s="559"/>
      <c r="AF554" s="559"/>
      <c r="AG554" s="559"/>
      <c r="AH554" s="559"/>
      <c r="AI554" s="559"/>
      <c r="AJ554" s="559"/>
      <c r="AK554" s="559"/>
      <c r="AL554" s="559"/>
      <c r="AM554" s="559"/>
      <c r="AN554" s="559"/>
    </row>
    <row r="555">
      <c r="A555" s="559"/>
      <c r="B555" s="559"/>
      <c r="C555" s="559"/>
      <c r="D555" s="559"/>
      <c r="E555" s="559"/>
      <c r="F555" s="559"/>
      <c r="G555" s="559"/>
      <c r="H555" s="559"/>
      <c r="I555" s="559"/>
      <c r="J555" s="559"/>
      <c r="K555" s="559"/>
      <c r="L555" s="559"/>
      <c r="M555" s="559"/>
      <c r="N555" s="559"/>
      <c r="O555" s="559"/>
      <c r="P555" s="559"/>
      <c r="Q555" s="559"/>
      <c r="R555" s="559"/>
      <c r="S555" s="559"/>
      <c r="T555" s="559"/>
      <c r="U555" s="559"/>
      <c r="V555" s="559"/>
      <c r="W555" s="559"/>
      <c r="X555" s="559"/>
      <c r="Y555" s="559"/>
      <c r="Z555" s="559"/>
      <c r="AA555" s="559"/>
      <c r="AB555" s="559"/>
      <c r="AC555" s="559"/>
      <c r="AD555" s="559"/>
      <c r="AE555" s="559"/>
      <c r="AF555" s="559"/>
      <c r="AG555" s="559"/>
      <c r="AH555" s="559"/>
      <c r="AI555" s="559"/>
      <c r="AJ555" s="559"/>
      <c r="AK555" s="559"/>
      <c r="AL555" s="559"/>
      <c r="AM555" s="559"/>
      <c r="AN555" s="559"/>
    </row>
    <row r="556">
      <c r="A556" s="559"/>
      <c r="B556" s="559"/>
      <c r="C556" s="559"/>
      <c r="D556" s="559"/>
      <c r="E556" s="559"/>
      <c r="F556" s="559"/>
      <c r="G556" s="559"/>
      <c r="H556" s="559"/>
      <c r="I556" s="559"/>
      <c r="J556" s="559"/>
      <c r="K556" s="559"/>
      <c r="L556" s="559"/>
      <c r="M556" s="559"/>
      <c r="N556" s="559"/>
      <c r="O556" s="559"/>
      <c r="P556" s="559"/>
      <c r="Q556" s="559"/>
      <c r="R556" s="559"/>
      <c r="S556" s="559"/>
      <c r="T556" s="559"/>
      <c r="U556" s="559"/>
      <c r="V556" s="559"/>
      <c r="W556" s="559"/>
      <c r="X556" s="559"/>
      <c r="Y556" s="559"/>
      <c r="Z556" s="559"/>
      <c r="AA556" s="559"/>
      <c r="AB556" s="559"/>
      <c r="AC556" s="559"/>
      <c r="AD556" s="559"/>
      <c r="AE556" s="559"/>
      <c r="AF556" s="559"/>
      <c r="AG556" s="559"/>
      <c r="AH556" s="559"/>
      <c r="AI556" s="559"/>
      <c r="AJ556" s="559"/>
      <c r="AK556" s="559"/>
      <c r="AL556" s="559"/>
      <c r="AM556" s="559"/>
      <c r="AN556" s="559"/>
    </row>
    <row r="557">
      <c r="A557" s="559"/>
      <c r="B557" s="559"/>
      <c r="C557" s="559"/>
      <c r="D557" s="559"/>
      <c r="E557" s="559"/>
      <c r="F557" s="559"/>
      <c r="G557" s="559"/>
      <c r="H557" s="559"/>
      <c r="I557" s="559"/>
      <c r="J557" s="559"/>
      <c r="K557" s="559"/>
      <c r="L557" s="559"/>
      <c r="M557" s="559"/>
      <c r="N557" s="559"/>
      <c r="O557" s="559"/>
      <c r="P557" s="559"/>
      <c r="Q557" s="559"/>
      <c r="R557" s="559"/>
      <c r="S557" s="559"/>
      <c r="T557" s="559"/>
      <c r="U557" s="559"/>
      <c r="V557" s="559"/>
      <c r="W557" s="559"/>
      <c r="X557" s="559"/>
      <c r="Y557" s="559"/>
      <c r="Z557" s="559"/>
      <c r="AA557" s="559"/>
      <c r="AB557" s="559"/>
      <c r="AC557" s="559"/>
      <c r="AD557" s="559"/>
      <c r="AE557" s="559"/>
      <c r="AF557" s="559"/>
      <c r="AG557" s="559"/>
      <c r="AH557" s="559"/>
      <c r="AI557" s="559"/>
      <c r="AJ557" s="559"/>
      <c r="AK557" s="559"/>
      <c r="AL557" s="559"/>
      <c r="AM557" s="559"/>
      <c r="AN557" s="559"/>
    </row>
    <row r="558">
      <c r="A558" s="559"/>
      <c r="B558" s="559"/>
      <c r="C558" s="559"/>
      <c r="D558" s="559"/>
      <c r="E558" s="559"/>
      <c r="F558" s="559"/>
      <c r="G558" s="559"/>
      <c r="H558" s="559"/>
      <c r="I558" s="559"/>
      <c r="J558" s="559"/>
      <c r="K558" s="559"/>
      <c r="L558" s="559"/>
      <c r="M558" s="559"/>
      <c r="N558" s="559"/>
      <c r="O558" s="559"/>
      <c r="P558" s="559"/>
      <c r="Q558" s="559"/>
      <c r="R558" s="559"/>
      <c r="S558" s="559"/>
      <c r="T558" s="559"/>
      <c r="U558" s="559"/>
      <c r="V558" s="559"/>
      <c r="W558" s="559"/>
      <c r="X558" s="559"/>
      <c r="Y558" s="559"/>
      <c r="Z558" s="559"/>
      <c r="AA558" s="559"/>
      <c r="AB558" s="559"/>
      <c r="AC558" s="559"/>
      <c r="AD558" s="559"/>
      <c r="AE558" s="559"/>
      <c r="AF558" s="559"/>
      <c r="AG558" s="559"/>
      <c r="AH558" s="559"/>
      <c r="AI558" s="559"/>
      <c r="AJ558" s="559"/>
      <c r="AK558" s="559"/>
      <c r="AL558" s="559"/>
      <c r="AM558" s="559"/>
      <c r="AN558" s="559"/>
    </row>
    <row r="559">
      <c r="A559" s="559"/>
      <c r="B559" s="559"/>
      <c r="C559" s="559"/>
      <c r="D559" s="559"/>
      <c r="E559" s="559"/>
      <c r="F559" s="559"/>
      <c r="G559" s="559"/>
      <c r="H559" s="559"/>
      <c r="I559" s="559"/>
      <c r="J559" s="559"/>
      <c r="K559" s="559"/>
      <c r="L559" s="559"/>
      <c r="M559" s="559"/>
      <c r="N559" s="559"/>
      <c r="O559" s="559"/>
      <c r="P559" s="559"/>
      <c r="Q559" s="559"/>
      <c r="R559" s="559"/>
      <c r="S559" s="559"/>
      <c r="T559" s="559"/>
      <c r="U559" s="559"/>
      <c r="V559" s="559"/>
      <c r="W559" s="559"/>
      <c r="X559" s="559"/>
      <c r="Y559" s="559"/>
      <c r="Z559" s="559"/>
      <c r="AA559" s="559"/>
      <c r="AB559" s="559"/>
      <c r="AC559" s="559"/>
      <c r="AD559" s="559"/>
      <c r="AE559" s="559"/>
      <c r="AF559" s="559"/>
      <c r="AG559" s="559"/>
      <c r="AH559" s="559"/>
      <c r="AI559" s="559"/>
      <c r="AJ559" s="559"/>
      <c r="AK559" s="559"/>
      <c r="AL559" s="559"/>
      <c r="AM559" s="559"/>
      <c r="AN559" s="559"/>
    </row>
    <row r="560">
      <c r="A560" s="559"/>
      <c r="B560" s="559"/>
      <c r="C560" s="559"/>
      <c r="D560" s="559"/>
      <c r="E560" s="559"/>
      <c r="F560" s="559"/>
      <c r="G560" s="559"/>
      <c r="H560" s="559"/>
      <c r="I560" s="559"/>
      <c r="J560" s="559"/>
      <c r="K560" s="559"/>
      <c r="L560" s="559"/>
      <c r="M560" s="559"/>
      <c r="N560" s="559"/>
      <c r="O560" s="559"/>
      <c r="P560" s="559"/>
      <c r="Q560" s="559"/>
      <c r="R560" s="559"/>
      <c r="S560" s="559"/>
      <c r="T560" s="559"/>
      <c r="U560" s="559"/>
      <c r="V560" s="559"/>
      <c r="W560" s="559"/>
      <c r="X560" s="559"/>
      <c r="Y560" s="559"/>
      <c r="Z560" s="559"/>
      <c r="AA560" s="559"/>
      <c r="AB560" s="559"/>
      <c r="AC560" s="559"/>
      <c r="AD560" s="559"/>
      <c r="AE560" s="559"/>
      <c r="AF560" s="559"/>
      <c r="AG560" s="559"/>
      <c r="AH560" s="559"/>
      <c r="AI560" s="559"/>
      <c r="AJ560" s="559"/>
      <c r="AK560" s="559"/>
      <c r="AL560" s="559"/>
      <c r="AM560" s="559"/>
      <c r="AN560" s="559"/>
    </row>
    <row r="561">
      <c r="A561" s="559"/>
      <c r="B561" s="559"/>
      <c r="C561" s="559"/>
      <c r="D561" s="559"/>
      <c r="E561" s="559"/>
      <c r="F561" s="559"/>
      <c r="G561" s="559"/>
      <c r="H561" s="559"/>
      <c r="I561" s="559"/>
      <c r="J561" s="559"/>
      <c r="K561" s="559"/>
      <c r="L561" s="559"/>
      <c r="M561" s="559"/>
      <c r="N561" s="559"/>
      <c r="O561" s="559"/>
      <c r="P561" s="559"/>
      <c r="Q561" s="559"/>
      <c r="R561" s="559"/>
      <c r="S561" s="559"/>
      <c r="T561" s="559"/>
      <c r="U561" s="559"/>
      <c r="V561" s="559"/>
      <c r="W561" s="559"/>
      <c r="X561" s="559"/>
      <c r="Y561" s="559"/>
      <c r="Z561" s="559"/>
      <c r="AA561" s="559"/>
      <c r="AB561" s="559"/>
      <c r="AC561" s="559"/>
      <c r="AD561" s="559"/>
      <c r="AE561" s="559"/>
      <c r="AF561" s="559"/>
      <c r="AG561" s="559"/>
      <c r="AH561" s="559"/>
      <c r="AI561" s="559"/>
      <c r="AJ561" s="559"/>
      <c r="AK561" s="559"/>
      <c r="AL561" s="559"/>
      <c r="AM561" s="559"/>
      <c r="AN561" s="559"/>
    </row>
    <row r="562">
      <c r="A562" s="559"/>
      <c r="B562" s="559"/>
      <c r="C562" s="559"/>
      <c r="D562" s="559"/>
      <c r="E562" s="559"/>
      <c r="F562" s="559"/>
      <c r="G562" s="559"/>
      <c r="H562" s="559"/>
      <c r="I562" s="559"/>
      <c r="J562" s="559"/>
      <c r="K562" s="559"/>
      <c r="L562" s="559"/>
      <c r="M562" s="559"/>
      <c r="N562" s="559"/>
      <c r="O562" s="559"/>
      <c r="P562" s="559"/>
      <c r="Q562" s="559"/>
      <c r="R562" s="559"/>
      <c r="S562" s="559"/>
      <c r="T562" s="559"/>
      <c r="U562" s="559"/>
      <c r="V562" s="559"/>
      <c r="W562" s="559"/>
      <c r="X562" s="559"/>
      <c r="Y562" s="559"/>
      <c r="Z562" s="559"/>
      <c r="AA562" s="559"/>
      <c r="AB562" s="559"/>
      <c r="AC562" s="559"/>
      <c r="AD562" s="559"/>
      <c r="AE562" s="559"/>
      <c r="AF562" s="559"/>
      <c r="AG562" s="559"/>
      <c r="AH562" s="559"/>
      <c r="AI562" s="559"/>
      <c r="AJ562" s="559"/>
      <c r="AK562" s="559"/>
      <c r="AL562" s="559"/>
      <c r="AM562" s="559"/>
      <c r="AN562" s="559"/>
    </row>
    <row r="563">
      <c r="A563" s="559"/>
      <c r="B563" s="559"/>
      <c r="C563" s="559"/>
      <c r="D563" s="559"/>
      <c r="E563" s="559"/>
      <c r="F563" s="559"/>
      <c r="G563" s="559"/>
      <c r="H563" s="559"/>
      <c r="I563" s="559"/>
      <c r="J563" s="559"/>
      <c r="K563" s="559"/>
      <c r="L563" s="559"/>
      <c r="M563" s="559"/>
      <c r="N563" s="559"/>
      <c r="O563" s="559"/>
      <c r="P563" s="559"/>
      <c r="Q563" s="559"/>
      <c r="R563" s="559"/>
      <c r="S563" s="559"/>
      <c r="T563" s="559"/>
      <c r="U563" s="559"/>
      <c r="V563" s="559"/>
      <c r="W563" s="559"/>
      <c r="X563" s="559"/>
      <c r="Y563" s="559"/>
      <c r="Z563" s="559"/>
      <c r="AA563" s="559"/>
      <c r="AB563" s="559"/>
      <c r="AC563" s="559"/>
      <c r="AD563" s="559"/>
      <c r="AE563" s="559"/>
      <c r="AF563" s="559"/>
      <c r="AG563" s="559"/>
      <c r="AH563" s="559"/>
      <c r="AI563" s="559"/>
      <c r="AJ563" s="559"/>
      <c r="AK563" s="559"/>
      <c r="AL563" s="559"/>
      <c r="AM563" s="559"/>
      <c r="AN563" s="559"/>
    </row>
    <row r="564">
      <c r="A564" s="559"/>
      <c r="B564" s="559"/>
      <c r="C564" s="559"/>
      <c r="D564" s="559"/>
      <c r="E564" s="559"/>
      <c r="F564" s="559"/>
      <c r="G564" s="559"/>
      <c r="H564" s="559"/>
      <c r="I564" s="559"/>
      <c r="J564" s="559"/>
      <c r="K564" s="559"/>
      <c r="L564" s="559"/>
      <c r="M564" s="559"/>
      <c r="N564" s="559"/>
      <c r="O564" s="559"/>
      <c r="P564" s="559"/>
      <c r="Q564" s="559"/>
      <c r="R564" s="559"/>
      <c r="S564" s="559"/>
      <c r="T564" s="559"/>
      <c r="U564" s="559"/>
      <c r="V564" s="559"/>
      <c r="W564" s="559"/>
      <c r="X564" s="559"/>
      <c r="Y564" s="559"/>
      <c r="Z564" s="559"/>
      <c r="AA564" s="559"/>
      <c r="AB564" s="559"/>
      <c r="AC564" s="559"/>
      <c r="AD564" s="559"/>
      <c r="AE564" s="559"/>
      <c r="AF564" s="559"/>
      <c r="AG564" s="559"/>
      <c r="AH564" s="559"/>
      <c r="AI564" s="559"/>
      <c r="AJ564" s="559"/>
      <c r="AK564" s="559"/>
      <c r="AL564" s="559"/>
      <c r="AM564" s="559"/>
      <c r="AN564" s="559"/>
    </row>
    <row r="565">
      <c r="A565" s="559"/>
      <c r="B565" s="559"/>
      <c r="C565" s="559"/>
      <c r="D565" s="559"/>
      <c r="E565" s="559"/>
      <c r="F565" s="559"/>
      <c r="G565" s="559"/>
      <c r="H565" s="559"/>
      <c r="I565" s="559"/>
      <c r="J565" s="559"/>
      <c r="K565" s="559"/>
      <c r="L565" s="559"/>
      <c r="M565" s="559"/>
      <c r="N565" s="559"/>
      <c r="O565" s="559"/>
      <c r="P565" s="559"/>
      <c r="Q565" s="559"/>
      <c r="R565" s="559"/>
      <c r="S565" s="559"/>
      <c r="T565" s="559"/>
      <c r="U565" s="559"/>
      <c r="V565" s="559"/>
      <c r="W565" s="559"/>
      <c r="X565" s="559"/>
      <c r="Y565" s="559"/>
      <c r="Z565" s="559"/>
      <c r="AA565" s="559"/>
      <c r="AB565" s="559"/>
      <c r="AC565" s="559"/>
      <c r="AD565" s="559"/>
      <c r="AE565" s="559"/>
      <c r="AF565" s="559"/>
      <c r="AG565" s="559"/>
      <c r="AH565" s="559"/>
      <c r="AI565" s="559"/>
      <c r="AJ565" s="559"/>
      <c r="AK565" s="559"/>
      <c r="AL565" s="559"/>
      <c r="AM565" s="559"/>
      <c r="AN565" s="559"/>
    </row>
    <row r="566">
      <c r="A566" s="559"/>
      <c r="B566" s="559"/>
      <c r="C566" s="559"/>
      <c r="D566" s="559"/>
      <c r="E566" s="559"/>
      <c r="F566" s="559"/>
      <c r="G566" s="559"/>
      <c r="H566" s="559"/>
      <c r="I566" s="559"/>
      <c r="J566" s="559"/>
      <c r="K566" s="559"/>
      <c r="L566" s="559"/>
      <c r="M566" s="559"/>
      <c r="N566" s="559"/>
      <c r="O566" s="559"/>
      <c r="P566" s="559"/>
      <c r="Q566" s="559"/>
      <c r="R566" s="559"/>
      <c r="S566" s="559"/>
      <c r="T566" s="559"/>
      <c r="U566" s="559"/>
      <c r="V566" s="559"/>
      <c r="W566" s="559"/>
      <c r="X566" s="559"/>
      <c r="Y566" s="559"/>
      <c r="Z566" s="559"/>
      <c r="AA566" s="559"/>
      <c r="AB566" s="559"/>
      <c r="AC566" s="559"/>
      <c r="AD566" s="559"/>
      <c r="AE566" s="559"/>
      <c r="AF566" s="559"/>
      <c r="AG566" s="559"/>
      <c r="AH566" s="559"/>
      <c r="AI566" s="559"/>
      <c r="AJ566" s="559"/>
      <c r="AK566" s="559"/>
      <c r="AL566" s="559"/>
      <c r="AM566" s="559"/>
      <c r="AN566" s="559"/>
    </row>
    <row r="567">
      <c r="A567" s="559"/>
      <c r="B567" s="559"/>
      <c r="C567" s="559"/>
      <c r="D567" s="559"/>
      <c r="E567" s="559"/>
      <c r="F567" s="559"/>
      <c r="G567" s="559"/>
      <c r="H567" s="559"/>
      <c r="I567" s="559"/>
      <c r="J567" s="559"/>
      <c r="K567" s="559"/>
      <c r="L567" s="559"/>
      <c r="M567" s="559"/>
      <c r="N567" s="559"/>
      <c r="O567" s="559"/>
      <c r="P567" s="559"/>
      <c r="Q567" s="559"/>
      <c r="R567" s="559"/>
      <c r="S567" s="559"/>
      <c r="T567" s="559"/>
      <c r="U567" s="559"/>
      <c r="V567" s="559"/>
      <c r="W567" s="559"/>
      <c r="X567" s="559"/>
      <c r="Y567" s="559"/>
      <c r="Z567" s="559"/>
      <c r="AA567" s="559"/>
      <c r="AB567" s="559"/>
      <c r="AC567" s="559"/>
      <c r="AD567" s="559"/>
      <c r="AE567" s="559"/>
      <c r="AF567" s="559"/>
      <c r="AG567" s="559"/>
      <c r="AH567" s="559"/>
      <c r="AI567" s="559"/>
      <c r="AJ567" s="559"/>
      <c r="AK567" s="559"/>
      <c r="AL567" s="559"/>
      <c r="AM567" s="559"/>
      <c r="AN567" s="559"/>
    </row>
    <row r="568">
      <c r="A568" s="559"/>
      <c r="B568" s="559"/>
      <c r="C568" s="559"/>
      <c r="D568" s="559"/>
      <c r="E568" s="559"/>
      <c r="F568" s="559"/>
      <c r="G568" s="559"/>
      <c r="H568" s="559"/>
      <c r="I568" s="559"/>
      <c r="J568" s="559"/>
      <c r="K568" s="559"/>
      <c r="L568" s="559"/>
      <c r="M568" s="559"/>
      <c r="N568" s="559"/>
      <c r="O568" s="559"/>
      <c r="P568" s="559"/>
      <c r="Q568" s="559"/>
      <c r="R568" s="559"/>
      <c r="S568" s="559"/>
      <c r="T568" s="559"/>
      <c r="U568" s="559"/>
      <c r="V568" s="559"/>
      <c r="W568" s="559"/>
      <c r="X568" s="559"/>
      <c r="Y568" s="559"/>
      <c r="Z568" s="559"/>
      <c r="AA568" s="559"/>
      <c r="AB568" s="559"/>
      <c r="AC568" s="559"/>
      <c r="AD568" s="559"/>
      <c r="AE568" s="559"/>
      <c r="AF568" s="559"/>
      <c r="AG568" s="559"/>
      <c r="AH568" s="559"/>
      <c r="AI568" s="559"/>
      <c r="AJ568" s="559"/>
      <c r="AK568" s="559"/>
      <c r="AL568" s="559"/>
      <c r="AM568" s="559"/>
      <c r="AN568" s="559"/>
    </row>
    <row r="569">
      <c r="A569" s="559"/>
      <c r="B569" s="559"/>
      <c r="C569" s="559"/>
      <c r="D569" s="559"/>
      <c r="E569" s="559"/>
      <c r="F569" s="559"/>
      <c r="G569" s="559"/>
      <c r="H569" s="559"/>
      <c r="I569" s="559"/>
      <c r="J569" s="559"/>
      <c r="K569" s="559"/>
      <c r="L569" s="559"/>
      <c r="M569" s="559"/>
      <c r="N569" s="559"/>
      <c r="O569" s="559"/>
      <c r="P569" s="559"/>
      <c r="Q569" s="559"/>
      <c r="R569" s="559"/>
      <c r="S569" s="559"/>
      <c r="T569" s="559"/>
      <c r="U569" s="559"/>
      <c r="V569" s="559"/>
      <c r="W569" s="559"/>
      <c r="X569" s="559"/>
      <c r="Y569" s="559"/>
      <c r="Z569" s="559"/>
      <c r="AA569" s="559"/>
      <c r="AB569" s="559"/>
      <c r="AC569" s="559"/>
      <c r="AD569" s="559"/>
      <c r="AE569" s="559"/>
      <c r="AF569" s="559"/>
      <c r="AG569" s="559"/>
      <c r="AH569" s="559"/>
      <c r="AI569" s="559"/>
      <c r="AJ569" s="559"/>
      <c r="AK569" s="559"/>
      <c r="AL569" s="559"/>
      <c r="AM569" s="559"/>
      <c r="AN569" s="559"/>
    </row>
    <row r="570">
      <c r="A570" s="559"/>
      <c r="B570" s="559"/>
      <c r="C570" s="559"/>
      <c r="D570" s="559"/>
      <c r="E570" s="559"/>
      <c r="F570" s="559"/>
      <c r="G570" s="559"/>
      <c r="H570" s="559"/>
      <c r="I570" s="559"/>
      <c r="J570" s="559"/>
      <c r="K570" s="559"/>
      <c r="L570" s="559"/>
      <c r="M570" s="559"/>
      <c r="N570" s="559"/>
      <c r="O570" s="559"/>
      <c r="P570" s="559"/>
      <c r="Q570" s="559"/>
      <c r="R570" s="559"/>
      <c r="S570" s="559"/>
      <c r="T570" s="559"/>
      <c r="U570" s="559"/>
      <c r="V570" s="559"/>
      <c r="W570" s="559"/>
      <c r="X570" s="559"/>
      <c r="Y570" s="559"/>
      <c r="Z570" s="559"/>
      <c r="AA570" s="559"/>
      <c r="AB570" s="559"/>
      <c r="AC570" s="559"/>
      <c r="AD570" s="559"/>
      <c r="AE570" s="559"/>
      <c r="AF570" s="559"/>
      <c r="AG570" s="559"/>
      <c r="AH570" s="559"/>
      <c r="AI570" s="559"/>
      <c r="AJ570" s="559"/>
      <c r="AK570" s="559"/>
      <c r="AL570" s="559"/>
      <c r="AM570" s="559"/>
      <c r="AN570" s="559"/>
    </row>
    <row r="571">
      <c r="A571" s="559"/>
      <c r="B571" s="559"/>
      <c r="C571" s="559"/>
      <c r="D571" s="559"/>
      <c r="E571" s="559"/>
      <c r="F571" s="559"/>
      <c r="G571" s="559"/>
      <c r="H571" s="559"/>
      <c r="I571" s="559"/>
      <c r="J571" s="559"/>
      <c r="K571" s="559"/>
      <c r="L571" s="559"/>
      <c r="M571" s="559"/>
      <c r="N571" s="559"/>
      <c r="O571" s="559"/>
      <c r="P571" s="559"/>
      <c r="Q571" s="559"/>
      <c r="R571" s="559"/>
      <c r="S571" s="559"/>
      <c r="T571" s="559"/>
      <c r="U571" s="559"/>
      <c r="V571" s="559"/>
      <c r="W571" s="559"/>
      <c r="X571" s="559"/>
      <c r="Y571" s="559"/>
      <c r="Z571" s="559"/>
      <c r="AA571" s="559"/>
      <c r="AB571" s="559"/>
      <c r="AC571" s="559"/>
      <c r="AD571" s="559"/>
      <c r="AE571" s="559"/>
      <c r="AF571" s="559"/>
      <c r="AG571" s="559"/>
      <c r="AH571" s="559"/>
      <c r="AI571" s="559"/>
      <c r="AJ571" s="559"/>
      <c r="AK571" s="559"/>
      <c r="AL571" s="559"/>
      <c r="AM571" s="559"/>
      <c r="AN571" s="559"/>
    </row>
    <row r="572">
      <c r="A572" s="559"/>
      <c r="B572" s="559"/>
      <c r="C572" s="559"/>
      <c r="D572" s="559"/>
      <c r="E572" s="559"/>
      <c r="F572" s="559"/>
      <c r="G572" s="559"/>
      <c r="H572" s="559"/>
      <c r="I572" s="559"/>
      <c r="J572" s="559"/>
      <c r="K572" s="559"/>
      <c r="L572" s="559"/>
      <c r="M572" s="559"/>
      <c r="N572" s="559"/>
      <c r="O572" s="559"/>
      <c r="P572" s="559"/>
      <c r="Q572" s="559"/>
      <c r="R572" s="559"/>
      <c r="S572" s="559"/>
      <c r="T572" s="559"/>
      <c r="U572" s="559"/>
      <c r="V572" s="559"/>
      <c r="W572" s="559"/>
      <c r="X572" s="559"/>
      <c r="Y572" s="559"/>
      <c r="Z572" s="559"/>
      <c r="AA572" s="559"/>
      <c r="AB572" s="559"/>
      <c r="AC572" s="559"/>
      <c r="AD572" s="559"/>
      <c r="AE572" s="559"/>
      <c r="AF572" s="559"/>
      <c r="AG572" s="559"/>
      <c r="AH572" s="559"/>
      <c r="AI572" s="559"/>
      <c r="AJ572" s="559"/>
      <c r="AK572" s="559"/>
      <c r="AL572" s="559"/>
      <c r="AM572" s="559"/>
      <c r="AN572" s="559"/>
    </row>
    <row r="573">
      <c r="A573" s="559"/>
      <c r="B573" s="559"/>
      <c r="C573" s="559"/>
      <c r="D573" s="559"/>
      <c r="E573" s="559"/>
      <c r="F573" s="559"/>
      <c r="G573" s="559"/>
      <c r="H573" s="559"/>
      <c r="I573" s="559"/>
      <c r="J573" s="559"/>
      <c r="K573" s="559"/>
      <c r="L573" s="559"/>
      <c r="M573" s="559"/>
      <c r="N573" s="559"/>
      <c r="O573" s="559"/>
      <c r="P573" s="559"/>
      <c r="Q573" s="559"/>
      <c r="R573" s="559"/>
      <c r="S573" s="559"/>
      <c r="T573" s="559"/>
      <c r="U573" s="559"/>
      <c r="V573" s="559"/>
      <c r="W573" s="559"/>
      <c r="X573" s="559"/>
      <c r="Y573" s="559"/>
      <c r="Z573" s="559"/>
      <c r="AA573" s="559"/>
      <c r="AB573" s="559"/>
      <c r="AC573" s="559"/>
      <c r="AD573" s="559"/>
      <c r="AE573" s="559"/>
      <c r="AF573" s="559"/>
      <c r="AG573" s="559"/>
      <c r="AH573" s="559"/>
      <c r="AI573" s="559"/>
      <c r="AJ573" s="559"/>
      <c r="AK573" s="559"/>
      <c r="AL573" s="559"/>
      <c r="AM573" s="559"/>
      <c r="AN573" s="559"/>
    </row>
    <row r="574">
      <c r="A574" s="559"/>
      <c r="B574" s="559"/>
      <c r="C574" s="559"/>
      <c r="D574" s="559"/>
      <c r="E574" s="559"/>
      <c r="F574" s="559"/>
      <c r="G574" s="559"/>
      <c r="H574" s="559"/>
      <c r="I574" s="559"/>
      <c r="J574" s="559"/>
      <c r="K574" s="559"/>
      <c r="L574" s="559"/>
      <c r="M574" s="559"/>
      <c r="N574" s="559"/>
      <c r="O574" s="559"/>
      <c r="P574" s="559"/>
      <c r="Q574" s="559"/>
      <c r="R574" s="559"/>
      <c r="S574" s="559"/>
      <c r="T574" s="559"/>
      <c r="U574" s="559"/>
      <c r="V574" s="559"/>
      <c r="W574" s="559"/>
      <c r="X574" s="559"/>
      <c r="Y574" s="559"/>
      <c r="Z574" s="559"/>
      <c r="AA574" s="559"/>
      <c r="AB574" s="559"/>
      <c r="AC574" s="559"/>
      <c r="AD574" s="559"/>
      <c r="AE574" s="559"/>
      <c r="AF574" s="559"/>
      <c r="AG574" s="559"/>
      <c r="AH574" s="559"/>
      <c r="AI574" s="559"/>
      <c r="AJ574" s="559"/>
      <c r="AK574" s="559"/>
      <c r="AL574" s="559"/>
      <c r="AM574" s="559"/>
      <c r="AN574" s="559"/>
    </row>
    <row r="575">
      <c r="A575" s="559"/>
      <c r="B575" s="559"/>
      <c r="C575" s="559"/>
      <c r="D575" s="559"/>
      <c r="E575" s="559"/>
      <c r="F575" s="559"/>
      <c r="G575" s="559"/>
      <c r="H575" s="559"/>
      <c r="I575" s="559"/>
      <c r="J575" s="559"/>
      <c r="K575" s="559"/>
      <c r="L575" s="559"/>
      <c r="M575" s="559"/>
      <c r="N575" s="559"/>
      <c r="O575" s="559"/>
      <c r="P575" s="559"/>
      <c r="Q575" s="559"/>
      <c r="R575" s="559"/>
      <c r="S575" s="559"/>
      <c r="T575" s="559"/>
      <c r="U575" s="559"/>
      <c r="V575" s="559"/>
      <c r="W575" s="559"/>
      <c r="X575" s="559"/>
      <c r="Y575" s="559"/>
      <c r="Z575" s="559"/>
      <c r="AA575" s="559"/>
      <c r="AB575" s="559"/>
      <c r="AC575" s="559"/>
      <c r="AD575" s="559"/>
      <c r="AE575" s="559"/>
      <c r="AF575" s="559"/>
      <c r="AG575" s="559"/>
      <c r="AH575" s="559"/>
      <c r="AI575" s="559"/>
      <c r="AJ575" s="559"/>
      <c r="AK575" s="559"/>
      <c r="AL575" s="559"/>
      <c r="AM575" s="559"/>
      <c r="AN575" s="559"/>
    </row>
    <row r="576">
      <c r="A576" s="559"/>
      <c r="B576" s="559"/>
      <c r="C576" s="559"/>
      <c r="D576" s="559"/>
      <c r="E576" s="559"/>
      <c r="F576" s="559"/>
      <c r="G576" s="559"/>
      <c r="H576" s="559"/>
      <c r="I576" s="559"/>
      <c r="J576" s="559"/>
      <c r="K576" s="559"/>
      <c r="L576" s="559"/>
      <c r="M576" s="559"/>
      <c r="N576" s="559"/>
      <c r="O576" s="559"/>
      <c r="P576" s="559"/>
      <c r="Q576" s="559"/>
      <c r="R576" s="559"/>
      <c r="S576" s="559"/>
      <c r="T576" s="559"/>
      <c r="U576" s="559"/>
      <c r="V576" s="559"/>
      <c r="W576" s="559"/>
      <c r="X576" s="559"/>
      <c r="Y576" s="559"/>
      <c r="Z576" s="559"/>
      <c r="AA576" s="559"/>
      <c r="AB576" s="559"/>
      <c r="AC576" s="559"/>
      <c r="AD576" s="559"/>
      <c r="AE576" s="559"/>
      <c r="AF576" s="559"/>
      <c r="AG576" s="559"/>
      <c r="AH576" s="559"/>
      <c r="AI576" s="559"/>
      <c r="AJ576" s="559"/>
      <c r="AK576" s="559"/>
      <c r="AL576" s="559"/>
      <c r="AM576" s="559"/>
      <c r="AN576" s="559"/>
    </row>
    <row r="577">
      <c r="A577" s="559"/>
      <c r="B577" s="559"/>
      <c r="C577" s="559"/>
      <c r="D577" s="559"/>
      <c r="E577" s="559"/>
      <c r="F577" s="559"/>
      <c r="G577" s="559"/>
      <c r="H577" s="559"/>
      <c r="I577" s="559"/>
      <c r="J577" s="559"/>
      <c r="K577" s="559"/>
      <c r="L577" s="559"/>
      <c r="M577" s="559"/>
      <c r="N577" s="559"/>
      <c r="O577" s="559"/>
      <c r="P577" s="559"/>
      <c r="Q577" s="559"/>
      <c r="R577" s="559"/>
      <c r="S577" s="559"/>
      <c r="T577" s="559"/>
      <c r="U577" s="559"/>
      <c r="V577" s="559"/>
      <c r="W577" s="559"/>
      <c r="X577" s="559"/>
      <c r="Y577" s="559"/>
      <c r="Z577" s="559"/>
      <c r="AA577" s="559"/>
      <c r="AB577" s="559"/>
      <c r="AC577" s="559"/>
      <c r="AD577" s="559"/>
      <c r="AE577" s="559"/>
      <c r="AF577" s="559"/>
      <c r="AG577" s="559"/>
      <c r="AH577" s="559"/>
      <c r="AI577" s="559"/>
      <c r="AJ577" s="559"/>
      <c r="AK577" s="559"/>
      <c r="AL577" s="559"/>
      <c r="AM577" s="559"/>
      <c r="AN577" s="559"/>
    </row>
    <row r="578">
      <c r="A578" s="559"/>
      <c r="B578" s="559"/>
      <c r="C578" s="559"/>
      <c r="D578" s="559"/>
      <c r="E578" s="559"/>
      <c r="F578" s="559"/>
      <c r="G578" s="559"/>
      <c r="H578" s="559"/>
      <c r="I578" s="559"/>
      <c r="J578" s="559"/>
      <c r="K578" s="559"/>
      <c r="L578" s="559"/>
      <c r="M578" s="559"/>
      <c r="N578" s="559"/>
      <c r="O578" s="559"/>
      <c r="P578" s="559"/>
      <c r="Q578" s="559"/>
      <c r="R578" s="559"/>
      <c r="S578" s="559"/>
      <c r="T578" s="559"/>
      <c r="U578" s="559"/>
      <c r="V578" s="559"/>
      <c r="W578" s="559"/>
      <c r="X578" s="559"/>
      <c r="Y578" s="559"/>
      <c r="Z578" s="559"/>
      <c r="AA578" s="559"/>
      <c r="AB578" s="559"/>
      <c r="AC578" s="559"/>
      <c r="AD578" s="559"/>
      <c r="AE578" s="559"/>
      <c r="AF578" s="559"/>
      <c r="AG578" s="559"/>
      <c r="AH578" s="559"/>
      <c r="AI578" s="559"/>
      <c r="AJ578" s="559"/>
      <c r="AK578" s="559"/>
      <c r="AL578" s="559"/>
      <c r="AM578" s="559"/>
      <c r="AN578" s="559"/>
    </row>
    <row r="579">
      <c r="A579" s="559"/>
      <c r="B579" s="559"/>
      <c r="C579" s="559"/>
      <c r="D579" s="559"/>
      <c r="E579" s="559"/>
      <c r="F579" s="559"/>
      <c r="G579" s="559"/>
      <c r="H579" s="559"/>
      <c r="I579" s="559"/>
      <c r="J579" s="559"/>
      <c r="K579" s="559"/>
      <c r="L579" s="559"/>
      <c r="M579" s="559"/>
      <c r="N579" s="559"/>
      <c r="O579" s="559"/>
      <c r="P579" s="559"/>
      <c r="Q579" s="559"/>
      <c r="R579" s="559"/>
      <c r="S579" s="559"/>
      <c r="T579" s="559"/>
      <c r="U579" s="559"/>
      <c r="V579" s="559"/>
      <c r="W579" s="559"/>
      <c r="X579" s="559"/>
      <c r="Y579" s="559"/>
      <c r="Z579" s="559"/>
      <c r="AA579" s="559"/>
      <c r="AB579" s="559"/>
      <c r="AC579" s="559"/>
      <c r="AD579" s="559"/>
      <c r="AE579" s="559"/>
      <c r="AF579" s="559"/>
      <c r="AG579" s="559"/>
      <c r="AH579" s="559"/>
      <c r="AI579" s="559"/>
      <c r="AJ579" s="559"/>
      <c r="AK579" s="559"/>
      <c r="AL579" s="559"/>
      <c r="AM579" s="559"/>
      <c r="AN579" s="559"/>
    </row>
    <row r="580">
      <c r="A580" s="559"/>
      <c r="B580" s="559"/>
      <c r="C580" s="559"/>
      <c r="D580" s="559"/>
      <c r="E580" s="559"/>
      <c r="F580" s="559"/>
      <c r="G580" s="559"/>
      <c r="H580" s="559"/>
      <c r="I580" s="559"/>
      <c r="J580" s="559"/>
      <c r="K580" s="559"/>
      <c r="L580" s="559"/>
      <c r="M580" s="559"/>
      <c r="N580" s="559"/>
      <c r="O580" s="559"/>
      <c r="P580" s="559"/>
      <c r="Q580" s="559"/>
      <c r="R580" s="559"/>
      <c r="S580" s="559"/>
      <c r="T580" s="559"/>
      <c r="U580" s="559"/>
      <c r="V580" s="559"/>
      <c r="W580" s="559"/>
      <c r="X580" s="559"/>
      <c r="Y580" s="559"/>
      <c r="Z580" s="559"/>
      <c r="AA580" s="559"/>
      <c r="AB580" s="559"/>
      <c r="AC580" s="559"/>
      <c r="AD580" s="559"/>
      <c r="AE580" s="559"/>
      <c r="AF580" s="559"/>
      <c r="AG580" s="559"/>
      <c r="AH580" s="559"/>
      <c r="AI580" s="559"/>
      <c r="AJ580" s="559"/>
      <c r="AK580" s="559"/>
      <c r="AL580" s="559"/>
      <c r="AM580" s="559"/>
      <c r="AN580" s="559"/>
    </row>
    <row r="581">
      <c r="A581" s="559"/>
      <c r="B581" s="559"/>
      <c r="C581" s="559"/>
      <c r="D581" s="559"/>
      <c r="E581" s="559"/>
      <c r="F581" s="559"/>
      <c r="G581" s="559"/>
      <c r="H581" s="559"/>
      <c r="I581" s="559"/>
      <c r="J581" s="559"/>
      <c r="K581" s="559"/>
      <c r="L581" s="559"/>
      <c r="M581" s="559"/>
      <c r="N581" s="559"/>
      <c r="O581" s="559"/>
      <c r="P581" s="559"/>
      <c r="Q581" s="559"/>
      <c r="R581" s="559"/>
      <c r="S581" s="559"/>
      <c r="T581" s="559"/>
      <c r="U581" s="559"/>
      <c r="V581" s="559"/>
      <c r="W581" s="559"/>
      <c r="X581" s="559"/>
      <c r="Y581" s="559"/>
      <c r="Z581" s="559"/>
      <c r="AA581" s="559"/>
      <c r="AB581" s="559"/>
      <c r="AC581" s="559"/>
      <c r="AD581" s="559"/>
      <c r="AE581" s="559"/>
      <c r="AF581" s="559"/>
      <c r="AG581" s="559"/>
      <c r="AH581" s="559"/>
      <c r="AI581" s="559"/>
      <c r="AJ581" s="559"/>
      <c r="AK581" s="559"/>
      <c r="AL581" s="559"/>
      <c r="AM581" s="559"/>
      <c r="AN581" s="559"/>
    </row>
    <row r="582">
      <c r="A582" s="559"/>
      <c r="B582" s="559"/>
      <c r="C582" s="559"/>
      <c r="D582" s="559"/>
      <c r="E582" s="559"/>
      <c r="F582" s="559"/>
      <c r="G582" s="559"/>
      <c r="H582" s="559"/>
      <c r="I582" s="559"/>
      <c r="J582" s="559"/>
      <c r="K582" s="559"/>
      <c r="L582" s="559"/>
      <c r="M582" s="559"/>
      <c r="N582" s="559"/>
      <c r="O582" s="559"/>
      <c r="P582" s="559"/>
      <c r="Q582" s="559"/>
      <c r="R582" s="559"/>
      <c r="S582" s="559"/>
      <c r="T582" s="559"/>
      <c r="U582" s="559"/>
      <c r="V582" s="559"/>
      <c r="W582" s="559"/>
      <c r="X582" s="559"/>
      <c r="Y582" s="559"/>
      <c r="Z582" s="559"/>
      <c r="AA582" s="559"/>
      <c r="AB582" s="559"/>
      <c r="AC582" s="559"/>
      <c r="AD582" s="559"/>
      <c r="AE582" s="559"/>
      <c r="AF582" s="559"/>
      <c r="AG582" s="559"/>
      <c r="AH582" s="559"/>
      <c r="AI582" s="559"/>
      <c r="AJ582" s="559"/>
      <c r="AK582" s="559"/>
      <c r="AL582" s="559"/>
      <c r="AM582" s="559"/>
      <c r="AN582" s="559"/>
    </row>
    <row r="583">
      <c r="A583" s="559"/>
      <c r="B583" s="559"/>
      <c r="C583" s="559"/>
      <c r="D583" s="559"/>
      <c r="E583" s="559"/>
      <c r="F583" s="559"/>
      <c r="G583" s="559"/>
      <c r="H583" s="559"/>
      <c r="I583" s="559"/>
      <c r="J583" s="559"/>
      <c r="K583" s="559"/>
      <c r="L583" s="559"/>
      <c r="M583" s="559"/>
      <c r="N583" s="559"/>
      <c r="O583" s="559"/>
      <c r="P583" s="559"/>
      <c r="Q583" s="559"/>
      <c r="R583" s="559"/>
      <c r="S583" s="559"/>
      <c r="T583" s="559"/>
      <c r="U583" s="559"/>
      <c r="V583" s="559"/>
      <c r="W583" s="559"/>
      <c r="X583" s="559"/>
      <c r="Y583" s="559"/>
      <c r="Z583" s="559"/>
      <c r="AA583" s="559"/>
      <c r="AB583" s="559"/>
      <c r="AC583" s="559"/>
      <c r="AD583" s="559"/>
      <c r="AE583" s="559"/>
      <c r="AF583" s="559"/>
      <c r="AG583" s="559"/>
      <c r="AH583" s="559"/>
      <c r="AI583" s="559"/>
      <c r="AJ583" s="559"/>
      <c r="AK583" s="559"/>
      <c r="AL583" s="559"/>
      <c r="AM583" s="559"/>
      <c r="AN583" s="559"/>
    </row>
    <row r="584">
      <c r="A584" s="559"/>
      <c r="B584" s="559"/>
      <c r="C584" s="559"/>
      <c r="D584" s="559"/>
      <c r="E584" s="559"/>
      <c r="F584" s="559"/>
      <c r="G584" s="559"/>
      <c r="H584" s="559"/>
      <c r="I584" s="559"/>
      <c r="J584" s="559"/>
      <c r="K584" s="559"/>
      <c r="L584" s="559"/>
      <c r="M584" s="559"/>
      <c r="N584" s="559"/>
      <c r="O584" s="559"/>
      <c r="P584" s="559"/>
      <c r="Q584" s="559"/>
      <c r="R584" s="559"/>
      <c r="S584" s="559"/>
      <c r="T584" s="559"/>
      <c r="U584" s="559"/>
      <c r="V584" s="559"/>
      <c r="W584" s="559"/>
      <c r="X584" s="559"/>
      <c r="Y584" s="559"/>
      <c r="Z584" s="559"/>
      <c r="AA584" s="559"/>
      <c r="AB584" s="559"/>
      <c r="AC584" s="559"/>
      <c r="AD584" s="559"/>
      <c r="AE584" s="559"/>
      <c r="AF584" s="559"/>
      <c r="AG584" s="559"/>
      <c r="AH584" s="559"/>
      <c r="AI584" s="559"/>
      <c r="AJ584" s="559"/>
      <c r="AK584" s="559"/>
      <c r="AL584" s="559"/>
      <c r="AM584" s="559"/>
      <c r="AN584" s="559"/>
    </row>
    <row r="585">
      <c r="A585" s="559"/>
      <c r="B585" s="559"/>
      <c r="C585" s="559"/>
      <c r="D585" s="559"/>
      <c r="E585" s="559"/>
      <c r="F585" s="559"/>
      <c r="G585" s="559"/>
      <c r="H585" s="559"/>
      <c r="I585" s="559"/>
      <c r="J585" s="559"/>
      <c r="K585" s="559"/>
      <c r="L585" s="559"/>
      <c r="M585" s="559"/>
      <c r="N585" s="559"/>
      <c r="O585" s="559"/>
      <c r="P585" s="559"/>
      <c r="Q585" s="559"/>
      <c r="R585" s="559"/>
      <c r="S585" s="559"/>
      <c r="T585" s="559"/>
      <c r="U585" s="559"/>
      <c r="V585" s="559"/>
      <c r="W585" s="559"/>
      <c r="X585" s="559"/>
      <c r="Y585" s="559"/>
      <c r="Z585" s="559"/>
      <c r="AA585" s="559"/>
      <c r="AB585" s="559"/>
      <c r="AC585" s="559"/>
      <c r="AD585" s="559"/>
      <c r="AE585" s="559"/>
      <c r="AF585" s="559"/>
      <c r="AG585" s="559"/>
      <c r="AH585" s="559"/>
      <c r="AI585" s="559"/>
      <c r="AJ585" s="559"/>
      <c r="AK585" s="559"/>
      <c r="AL585" s="559"/>
      <c r="AM585" s="559"/>
      <c r="AN585" s="559"/>
    </row>
    <row r="586">
      <c r="A586" s="559"/>
      <c r="B586" s="559"/>
      <c r="C586" s="559"/>
      <c r="D586" s="559"/>
      <c r="E586" s="559"/>
      <c r="F586" s="559"/>
      <c r="G586" s="559"/>
      <c r="H586" s="559"/>
      <c r="I586" s="559"/>
      <c r="J586" s="559"/>
      <c r="K586" s="559"/>
      <c r="L586" s="559"/>
      <c r="M586" s="559"/>
      <c r="N586" s="559"/>
      <c r="O586" s="559"/>
      <c r="P586" s="559"/>
      <c r="Q586" s="559"/>
      <c r="R586" s="559"/>
      <c r="S586" s="559"/>
      <c r="T586" s="559"/>
      <c r="U586" s="559"/>
      <c r="V586" s="559"/>
      <c r="W586" s="559"/>
      <c r="X586" s="559"/>
      <c r="Y586" s="559"/>
      <c r="Z586" s="559"/>
      <c r="AA586" s="559"/>
      <c r="AB586" s="559"/>
      <c r="AC586" s="559"/>
      <c r="AD586" s="559"/>
      <c r="AE586" s="559"/>
      <c r="AF586" s="559"/>
      <c r="AG586" s="559"/>
      <c r="AH586" s="559"/>
      <c r="AI586" s="559"/>
      <c r="AJ586" s="559"/>
      <c r="AK586" s="559"/>
      <c r="AL586" s="559"/>
      <c r="AM586" s="559"/>
      <c r="AN586" s="559"/>
    </row>
    <row r="587">
      <c r="A587" s="559"/>
      <c r="B587" s="559"/>
      <c r="C587" s="559"/>
      <c r="D587" s="559"/>
      <c r="E587" s="559"/>
      <c r="F587" s="559"/>
      <c r="G587" s="559"/>
      <c r="H587" s="559"/>
      <c r="I587" s="559"/>
      <c r="J587" s="559"/>
      <c r="K587" s="559"/>
      <c r="L587" s="559"/>
      <c r="M587" s="559"/>
      <c r="N587" s="559"/>
      <c r="O587" s="559"/>
      <c r="P587" s="559"/>
      <c r="Q587" s="559"/>
      <c r="R587" s="559"/>
      <c r="S587" s="559"/>
      <c r="T587" s="559"/>
      <c r="U587" s="559"/>
      <c r="V587" s="559"/>
      <c r="W587" s="559"/>
      <c r="X587" s="559"/>
      <c r="Y587" s="559"/>
      <c r="Z587" s="559"/>
      <c r="AA587" s="559"/>
      <c r="AB587" s="559"/>
      <c r="AC587" s="559"/>
      <c r="AD587" s="559"/>
      <c r="AE587" s="559"/>
      <c r="AF587" s="559"/>
      <c r="AG587" s="559"/>
      <c r="AH587" s="559"/>
      <c r="AI587" s="559"/>
      <c r="AJ587" s="559"/>
      <c r="AK587" s="559"/>
      <c r="AL587" s="559"/>
      <c r="AM587" s="559"/>
      <c r="AN587" s="559"/>
    </row>
    <row r="588">
      <c r="A588" s="559"/>
      <c r="B588" s="559"/>
      <c r="C588" s="559"/>
      <c r="D588" s="559"/>
      <c r="E588" s="559"/>
      <c r="F588" s="559"/>
      <c r="G588" s="559"/>
      <c r="H588" s="559"/>
      <c r="I588" s="559"/>
      <c r="J588" s="559"/>
      <c r="K588" s="559"/>
      <c r="L588" s="559"/>
      <c r="M588" s="559"/>
      <c r="N588" s="559"/>
      <c r="O588" s="559"/>
      <c r="P588" s="559"/>
      <c r="Q588" s="559"/>
      <c r="R588" s="559"/>
      <c r="S588" s="559"/>
      <c r="T588" s="559"/>
      <c r="U588" s="559"/>
      <c r="V588" s="559"/>
      <c r="W588" s="559"/>
      <c r="X588" s="559"/>
      <c r="Y588" s="559"/>
      <c r="Z588" s="559"/>
      <c r="AA588" s="559"/>
      <c r="AB588" s="559"/>
      <c r="AC588" s="559"/>
      <c r="AD588" s="559"/>
      <c r="AE588" s="559"/>
      <c r="AF588" s="559"/>
      <c r="AG588" s="559"/>
      <c r="AH588" s="559"/>
      <c r="AI588" s="559"/>
      <c r="AJ588" s="559"/>
      <c r="AK588" s="559"/>
      <c r="AL588" s="559"/>
      <c r="AM588" s="559"/>
      <c r="AN588" s="559"/>
    </row>
    <row r="589">
      <c r="A589" s="559"/>
      <c r="B589" s="559"/>
      <c r="C589" s="559"/>
      <c r="D589" s="559"/>
      <c r="E589" s="559"/>
      <c r="F589" s="559"/>
      <c r="G589" s="559"/>
      <c r="H589" s="559"/>
      <c r="I589" s="559"/>
      <c r="J589" s="559"/>
      <c r="K589" s="559"/>
      <c r="L589" s="559"/>
      <c r="M589" s="559"/>
      <c r="N589" s="559"/>
      <c r="O589" s="559"/>
      <c r="P589" s="559"/>
      <c r="Q589" s="559"/>
      <c r="R589" s="559"/>
      <c r="S589" s="559"/>
      <c r="T589" s="559"/>
      <c r="U589" s="559"/>
      <c r="V589" s="559"/>
      <c r="W589" s="559"/>
      <c r="X589" s="559"/>
      <c r="Y589" s="559"/>
      <c r="Z589" s="559"/>
      <c r="AA589" s="559"/>
      <c r="AB589" s="559"/>
      <c r="AC589" s="559"/>
      <c r="AD589" s="559"/>
      <c r="AE589" s="559"/>
      <c r="AF589" s="559"/>
      <c r="AG589" s="559"/>
      <c r="AH589" s="559"/>
      <c r="AI589" s="559"/>
      <c r="AJ589" s="559"/>
      <c r="AK589" s="559"/>
      <c r="AL589" s="559"/>
      <c r="AM589" s="559"/>
      <c r="AN589" s="559"/>
    </row>
    <row r="590">
      <c r="A590" s="559"/>
      <c r="B590" s="559"/>
      <c r="C590" s="559"/>
      <c r="D590" s="559"/>
      <c r="E590" s="559"/>
      <c r="F590" s="559"/>
      <c r="G590" s="559"/>
      <c r="H590" s="559"/>
      <c r="I590" s="559"/>
      <c r="J590" s="559"/>
      <c r="K590" s="559"/>
      <c r="L590" s="559"/>
      <c r="M590" s="559"/>
      <c r="N590" s="559"/>
      <c r="O590" s="559"/>
      <c r="P590" s="559"/>
      <c r="Q590" s="559"/>
      <c r="R590" s="559"/>
      <c r="S590" s="559"/>
      <c r="T590" s="559"/>
      <c r="U590" s="559"/>
      <c r="V590" s="559"/>
      <c r="W590" s="559"/>
      <c r="X590" s="559"/>
      <c r="Y590" s="559"/>
      <c r="Z590" s="559"/>
      <c r="AA590" s="559"/>
      <c r="AB590" s="559"/>
      <c r="AC590" s="559"/>
      <c r="AD590" s="559"/>
      <c r="AE590" s="559"/>
      <c r="AF590" s="559"/>
      <c r="AG590" s="559"/>
      <c r="AH590" s="559"/>
      <c r="AI590" s="559"/>
      <c r="AJ590" s="559"/>
      <c r="AK590" s="559"/>
      <c r="AL590" s="559"/>
      <c r="AM590" s="559"/>
      <c r="AN590" s="559"/>
    </row>
    <row r="591">
      <c r="A591" s="559"/>
      <c r="B591" s="559"/>
      <c r="C591" s="559"/>
      <c r="D591" s="559"/>
      <c r="E591" s="559"/>
      <c r="F591" s="559"/>
      <c r="G591" s="559"/>
      <c r="H591" s="559"/>
      <c r="I591" s="559"/>
      <c r="J591" s="559"/>
      <c r="K591" s="559"/>
      <c r="L591" s="559"/>
      <c r="M591" s="559"/>
      <c r="N591" s="559"/>
      <c r="O591" s="559"/>
      <c r="P591" s="559"/>
      <c r="Q591" s="559"/>
      <c r="R591" s="559"/>
      <c r="S591" s="559"/>
      <c r="T591" s="559"/>
      <c r="U591" s="559"/>
      <c r="V591" s="559"/>
      <c r="W591" s="559"/>
      <c r="X591" s="559"/>
      <c r="Y591" s="559"/>
      <c r="Z591" s="559"/>
      <c r="AA591" s="559"/>
      <c r="AB591" s="559"/>
      <c r="AC591" s="559"/>
      <c r="AD591" s="559"/>
      <c r="AE591" s="559"/>
      <c r="AF591" s="559"/>
      <c r="AG591" s="559"/>
      <c r="AH591" s="559"/>
      <c r="AI591" s="559"/>
      <c r="AJ591" s="559"/>
      <c r="AK591" s="559"/>
      <c r="AL591" s="559"/>
      <c r="AM591" s="559"/>
      <c r="AN591" s="559"/>
    </row>
    <row r="592">
      <c r="A592" s="559"/>
      <c r="B592" s="559"/>
      <c r="C592" s="559"/>
      <c r="D592" s="559"/>
      <c r="E592" s="559"/>
      <c r="F592" s="559"/>
      <c r="G592" s="559"/>
      <c r="H592" s="559"/>
      <c r="I592" s="559"/>
      <c r="J592" s="559"/>
      <c r="K592" s="559"/>
      <c r="L592" s="559"/>
      <c r="M592" s="559"/>
      <c r="N592" s="559"/>
      <c r="O592" s="559"/>
      <c r="P592" s="559"/>
      <c r="Q592" s="559"/>
      <c r="R592" s="559"/>
      <c r="S592" s="559"/>
      <c r="T592" s="559"/>
      <c r="U592" s="559"/>
      <c r="V592" s="559"/>
      <c r="W592" s="559"/>
      <c r="X592" s="559"/>
      <c r="Y592" s="559"/>
      <c r="Z592" s="559"/>
      <c r="AA592" s="559"/>
      <c r="AB592" s="559"/>
      <c r="AC592" s="559"/>
      <c r="AD592" s="559"/>
      <c r="AE592" s="559"/>
      <c r="AF592" s="559"/>
      <c r="AG592" s="559"/>
      <c r="AH592" s="559"/>
      <c r="AI592" s="559"/>
      <c r="AJ592" s="559"/>
      <c r="AK592" s="559"/>
      <c r="AL592" s="559"/>
      <c r="AM592" s="559"/>
      <c r="AN592" s="559"/>
    </row>
    <row r="593">
      <c r="A593" s="559"/>
      <c r="B593" s="559"/>
      <c r="C593" s="559"/>
      <c r="D593" s="559"/>
      <c r="E593" s="559"/>
      <c r="F593" s="559"/>
      <c r="G593" s="559"/>
      <c r="H593" s="559"/>
      <c r="I593" s="559"/>
      <c r="J593" s="559"/>
      <c r="K593" s="559"/>
      <c r="L593" s="559"/>
      <c r="M593" s="559"/>
      <c r="N593" s="559"/>
      <c r="O593" s="559"/>
      <c r="P593" s="559"/>
      <c r="Q593" s="559"/>
      <c r="R593" s="559"/>
      <c r="S593" s="559"/>
      <c r="T593" s="559"/>
      <c r="U593" s="559"/>
      <c r="V593" s="559"/>
      <c r="W593" s="559"/>
      <c r="X593" s="559"/>
      <c r="Y593" s="559"/>
      <c r="Z593" s="559"/>
      <c r="AA593" s="559"/>
      <c r="AB593" s="559"/>
      <c r="AC593" s="559"/>
      <c r="AD593" s="559"/>
      <c r="AE593" s="559"/>
      <c r="AF593" s="559"/>
      <c r="AG593" s="559"/>
      <c r="AH593" s="559"/>
      <c r="AI593" s="559"/>
      <c r="AJ593" s="559"/>
      <c r="AK593" s="559"/>
      <c r="AL593" s="559"/>
      <c r="AM593" s="559"/>
      <c r="AN593" s="559"/>
    </row>
    <row r="594">
      <c r="A594" s="559"/>
      <c r="B594" s="559"/>
      <c r="C594" s="559"/>
      <c r="D594" s="559"/>
      <c r="E594" s="559"/>
      <c r="F594" s="559"/>
      <c r="G594" s="559"/>
      <c r="H594" s="559"/>
      <c r="I594" s="559"/>
      <c r="J594" s="559"/>
      <c r="K594" s="559"/>
      <c r="L594" s="559"/>
      <c r="M594" s="559"/>
      <c r="N594" s="559"/>
      <c r="O594" s="559"/>
      <c r="P594" s="559"/>
      <c r="Q594" s="559"/>
      <c r="R594" s="559"/>
      <c r="S594" s="559"/>
      <c r="T594" s="559"/>
      <c r="U594" s="559"/>
      <c r="V594" s="559"/>
      <c r="W594" s="559"/>
      <c r="X594" s="559"/>
      <c r="Y594" s="559"/>
      <c r="Z594" s="559"/>
      <c r="AA594" s="559"/>
      <c r="AB594" s="559"/>
      <c r="AC594" s="559"/>
      <c r="AD594" s="559"/>
      <c r="AE594" s="559"/>
      <c r="AF594" s="559"/>
      <c r="AG594" s="559"/>
      <c r="AH594" s="559"/>
      <c r="AI594" s="559"/>
      <c r="AJ594" s="559"/>
      <c r="AK594" s="559"/>
      <c r="AL594" s="559"/>
      <c r="AM594" s="559"/>
      <c r="AN594" s="559"/>
    </row>
    <row r="595">
      <c r="A595" s="559"/>
      <c r="B595" s="559"/>
      <c r="C595" s="559"/>
      <c r="D595" s="559"/>
      <c r="E595" s="559"/>
      <c r="F595" s="559"/>
      <c r="G595" s="559"/>
      <c r="H595" s="559"/>
      <c r="I595" s="559"/>
      <c r="J595" s="559"/>
      <c r="K595" s="559"/>
      <c r="L595" s="559"/>
      <c r="M595" s="559"/>
      <c r="N595" s="559"/>
      <c r="O595" s="559"/>
      <c r="P595" s="559"/>
      <c r="Q595" s="559"/>
      <c r="R595" s="559"/>
      <c r="S595" s="559"/>
      <c r="T595" s="559"/>
      <c r="U595" s="559"/>
      <c r="V595" s="559"/>
      <c r="W595" s="559"/>
      <c r="X595" s="559"/>
      <c r="Y595" s="559"/>
      <c r="Z595" s="559"/>
      <c r="AA595" s="559"/>
      <c r="AB595" s="559"/>
      <c r="AC595" s="559"/>
      <c r="AD595" s="559"/>
      <c r="AE595" s="559"/>
      <c r="AF595" s="559"/>
      <c r="AG595" s="559"/>
      <c r="AH595" s="559"/>
      <c r="AI595" s="559"/>
      <c r="AJ595" s="559"/>
      <c r="AK595" s="559"/>
      <c r="AL595" s="559"/>
      <c r="AM595" s="559"/>
      <c r="AN595" s="559"/>
    </row>
    <row r="596">
      <c r="A596" s="559"/>
      <c r="B596" s="559"/>
      <c r="C596" s="559"/>
      <c r="D596" s="559"/>
      <c r="E596" s="559"/>
      <c r="F596" s="559"/>
      <c r="G596" s="559"/>
      <c r="H596" s="559"/>
      <c r="I596" s="559"/>
      <c r="J596" s="559"/>
      <c r="K596" s="559"/>
      <c r="L596" s="559"/>
      <c r="M596" s="559"/>
      <c r="N596" s="559"/>
      <c r="O596" s="559"/>
      <c r="P596" s="559"/>
      <c r="Q596" s="559"/>
      <c r="R596" s="559"/>
      <c r="S596" s="559"/>
      <c r="T596" s="559"/>
      <c r="U596" s="559"/>
      <c r="V596" s="559"/>
      <c r="W596" s="559"/>
      <c r="X596" s="559"/>
      <c r="Y596" s="559"/>
      <c r="Z596" s="559"/>
      <c r="AA596" s="559"/>
      <c r="AB596" s="559"/>
      <c r="AC596" s="559"/>
      <c r="AD596" s="559"/>
      <c r="AE596" s="559"/>
      <c r="AF596" s="559"/>
      <c r="AG596" s="559"/>
      <c r="AH596" s="559"/>
      <c r="AI596" s="559"/>
      <c r="AJ596" s="559"/>
      <c r="AK596" s="559"/>
      <c r="AL596" s="559"/>
      <c r="AM596" s="559"/>
      <c r="AN596" s="559"/>
    </row>
    <row r="597">
      <c r="A597" s="559"/>
      <c r="B597" s="559"/>
      <c r="C597" s="559"/>
      <c r="D597" s="559"/>
      <c r="E597" s="559"/>
      <c r="F597" s="559"/>
      <c r="G597" s="559"/>
      <c r="H597" s="559"/>
      <c r="I597" s="559"/>
      <c r="J597" s="559"/>
      <c r="K597" s="559"/>
      <c r="L597" s="559"/>
      <c r="M597" s="559"/>
      <c r="N597" s="559"/>
      <c r="O597" s="559"/>
      <c r="P597" s="559"/>
      <c r="Q597" s="559"/>
      <c r="R597" s="559"/>
      <c r="S597" s="559"/>
      <c r="T597" s="559"/>
      <c r="U597" s="559"/>
      <c r="V597" s="559"/>
      <c r="W597" s="559"/>
      <c r="X597" s="559"/>
      <c r="Y597" s="559"/>
      <c r="Z597" s="559"/>
      <c r="AA597" s="559"/>
      <c r="AB597" s="559"/>
      <c r="AC597" s="559"/>
      <c r="AD597" s="559"/>
      <c r="AE597" s="559"/>
      <c r="AF597" s="559"/>
      <c r="AG597" s="559"/>
      <c r="AH597" s="559"/>
      <c r="AI597" s="559"/>
      <c r="AJ597" s="559"/>
      <c r="AK597" s="559"/>
      <c r="AL597" s="559"/>
      <c r="AM597" s="559"/>
      <c r="AN597" s="559"/>
    </row>
    <row r="598">
      <c r="A598" s="559"/>
      <c r="B598" s="559"/>
      <c r="C598" s="559"/>
      <c r="D598" s="559"/>
      <c r="E598" s="559"/>
      <c r="F598" s="559"/>
      <c r="G598" s="559"/>
      <c r="H598" s="559"/>
      <c r="I598" s="559"/>
      <c r="J598" s="559"/>
      <c r="K598" s="559"/>
      <c r="L598" s="559"/>
      <c r="M598" s="559"/>
      <c r="N598" s="559"/>
      <c r="O598" s="559"/>
      <c r="P598" s="559"/>
      <c r="Q598" s="559"/>
      <c r="R598" s="559"/>
      <c r="S598" s="559"/>
      <c r="T598" s="559"/>
      <c r="U598" s="559"/>
      <c r="V598" s="559"/>
      <c r="W598" s="559"/>
      <c r="X598" s="559"/>
      <c r="Y598" s="559"/>
      <c r="Z598" s="559"/>
      <c r="AA598" s="559"/>
      <c r="AB598" s="559"/>
      <c r="AC598" s="559"/>
      <c r="AD598" s="559"/>
      <c r="AE598" s="559"/>
      <c r="AF598" s="559"/>
      <c r="AG598" s="559"/>
      <c r="AH598" s="559"/>
      <c r="AI598" s="559"/>
      <c r="AJ598" s="559"/>
      <c r="AK598" s="559"/>
      <c r="AL598" s="559"/>
      <c r="AM598" s="559"/>
      <c r="AN598" s="559"/>
    </row>
    <row r="599">
      <c r="A599" s="559"/>
      <c r="B599" s="559"/>
      <c r="C599" s="559"/>
      <c r="D599" s="559"/>
      <c r="E599" s="559"/>
      <c r="F599" s="559"/>
      <c r="G599" s="559"/>
      <c r="H599" s="559"/>
      <c r="I599" s="559"/>
      <c r="J599" s="559"/>
      <c r="K599" s="559"/>
      <c r="L599" s="559"/>
      <c r="M599" s="559"/>
      <c r="N599" s="559"/>
      <c r="O599" s="559"/>
      <c r="P599" s="559"/>
      <c r="Q599" s="559"/>
      <c r="R599" s="559"/>
      <c r="S599" s="559"/>
      <c r="T599" s="559"/>
      <c r="U599" s="559"/>
      <c r="V599" s="559"/>
      <c r="W599" s="559"/>
      <c r="X599" s="559"/>
      <c r="Y599" s="559"/>
      <c r="Z599" s="559"/>
      <c r="AA599" s="559"/>
      <c r="AB599" s="559"/>
      <c r="AC599" s="559"/>
      <c r="AD599" s="559"/>
      <c r="AE599" s="559"/>
      <c r="AF599" s="559"/>
      <c r="AG599" s="559"/>
      <c r="AH599" s="559"/>
      <c r="AI599" s="559"/>
      <c r="AJ599" s="559"/>
      <c r="AK599" s="559"/>
      <c r="AL599" s="559"/>
      <c r="AM599" s="559"/>
      <c r="AN599" s="559"/>
    </row>
    <row r="600">
      <c r="A600" s="559"/>
      <c r="B600" s="559"/>
      <c r="C600" s="559"/>
      <c r="D600" s="559"/>
      <c r="E600" s="559"/>
      <c r="F600" s="559"/>
      <c r="G600" s="559"/>
      <c r="H600" s="559"/>
      <c r="I600" s="559"/>
      <c r="J600" s="559"/>
      <c r="K600" s="559"/>
      <c r="L600" s="559"/>
      <c r="M600" s="559"/>
      <c r="N600" s="559"/>
      <c r="O600" s="559"/>
      <c r="P600" s="559"/>
      <c r="Q600" s="559"/>
      <c r="R600" s="559"/>
      <c r="S600" s="559"/>
      <c r="T600" s="559"/>
      <c r="U600" s="559"/>
      <c r="V600" s="559"/>
      <c r="W600" s="559"/>
      <c r="X600" s="559"/>
      <c r="Y600" s="559"/>
      <c r="Z600" s="559"/>
      <c r="AA600" s="559"/>
      <c r="AB600" s="559"/>
      <c r="AC600" s="559"/>
      <c r="AD600" s="559"/>
      <c r="AE600" s="559"/>
      <c r="AF600" s="559"/>
      <c r="AG600" s="559"/>
      <c r="AH600" s="559"/>
      <c r="AI600" s="559"/>
      <c r="AJ600" s="559"/>
      <c r="AK600" s="559"/>
      <c r="AL600" s="559"/>
      <c r="AM600" s="559"/>
      <c r="AN600" s="559"/>
    </row>
    <row r="601">
      <c r="A601" s="559"/>
      <c r="B601" s="559"/>
      <c r="C601" s="559"/>
      <c r="D601" s="559"/>
      <c r="E601" s="559"/>
      <c r="F601" s="559"/>
      <c r="G601" s="559"/>
      <c r="H601" s="559"/>
      <c r="I601" s="559"/>
      <c r="J601" s="559"/>
      <c r="K601" s="559"/>
      <c r="L601" s="559"/>
      <c r="M601" s="559"/>
      <c r="N601" s="559"/>
      <c r="O601" s="559"/>
      <c r="P601" s="559"/>
      <c r="Q601" s="559"/>
      <c r="R601" s="559"/>
      <c r="S601" s="559"/>
      <c r="T601" s="559"/>
      <c r="U601" s="559"/>
      <c r="V601" s="559"/>
      <c r="W601" s="559"/>
      <c r="X601" s="559"/>
      <c r="Y601" s="559"/>
      <c r="Z601" s="559"/>
      <c r="AA601" s="559"/>
      <c r="AB601" s="559"/>
      <c r="AC601" s="559"/>
      <c r="AD601" s="559"/>
      <c r="AE601" s="559"/>
      <c r="AF601" s="559"/>
      <c r="AG601" s="559"/>
      <c r="AH601" s="559"/>
      <c r="AI601" s="559"/>
      <c r="AJ601" s="559"/>
      <c r="AK601" s="559"/>
      <c r="AL601" s="559"/>
      <c r="AM601" s="559"/>
      <c r="AN601" s="559"/>
    </row>
    <row r="602">
      <c r="A602" s="559"/>
      <c r="B602" s="559"/>
      <c r="C602" s="559"/>
      <c r="D602" s="559"/>
      <c r="E602" s="559"/>
      <c r="F602" s="559"/>
      <c r="G602" s="559"/>
      <c r="H602" s="559"/>
      <c r="I602" s="559"/>
      <c r="J602" s="559"/>
      <c r="K602" s="559"/>
      <c r="L602" s="559"/>
      <c r="M602" s="559"/>
      <c r="N602" s="559"/>
      <c r="O602" s="559"/>
      <c r="P602" s="559"/>
      <c r="Q602" s="559"/>
      <c r="R602" s="559"/>
      <c r="S602" s="559"/>
      <c r="T602" s="559"/>
      <c r="U602" s="559"/>
      <c r="V602" s="559"/>
      <c r="W602" s="559"/>
      <c r="X602" s="559"/>
      <c r="Y602" s="559"/>
      <c r="Z602" s="559"/>
      <c r="AA602" s="559"/>
      <c r="AB602" s="559"/>
      <c r="AC602" s="559"/>
      <c r="AD602" s="559"/>
      <c r="AE602" s="559"/>
      <c r="AF602" s="559"/>
      <c r="AG602" s="559"/>
      <c r="AH602" s="559"/>
      <c r="AI602" s="559"/>
      <c r="AJ602" s="559"/>
      <c r="AK602" s="559"/>
      <c r="AL602" s="559"/>
      <c r="AM602" s="559"/>
      <c r="AN602" s="559"/>
    </row>
    <row r="603">
      <c r="A603" s="559"/>
      <c r="B603" s="559"/>
      <c r="C603" s="559"/>
      <c r="D603" s="559"/>
      <c r="E603" s="559"/>
      <c r="F603" s="559"/>
      <c r="G603" s="559"/>
      <c r="H603" s="559"/>
      <c r="I603" s="559"/>
      <c r="J603" s="559"/>
      <c r="K603" s="559"/>
      <c r="L603" s="559"/>
      <c r="M603" s="559"/>
      <c r="N603" s="559"/>
      <c r="O603" s="559"/>
      <c r="P603" s="559"/>
      <c r="Q603" s="559"/>
      <c r="R603" s="559"/>
      <c r="S603" s="559"/>
      <c r="T603" s="559"/>
      <c r="U603" s="559"/>
      <c r="V603" s="559"/>
      <c r="W603" s="559"/>
      <c r="X603" s="559"/>
      <c r="Y603" s="559"/>
      <c r="Z603" s="559"/>
      <c r="AA603" s="559"/>
      <c r="AB603" s="559"/>
      <c r="AC603" s="559"/>
      <c r="AD603" s="559"/>
      <c r="AE603" s="559"/>
      <c r="AF603" s="559"/>
      <c r="AG603" s="559"/>
      <c r="AH603" s="559"/>
      <c r="AI603" s="559"/>
      <c r="AJ603" s="559"/>
      <c r="AK603" s="559"/>
      <c r="AL603" s="559"/>
      <c r="AM603" s="559"/>
      <c r="AN603" s="559"/>
    </row>
    <row r="604">
      <c r="A604" s="559"/>
      <c r="B604" s="559"/>
      <c r="C604" s="559"/>
      <c r="D604" s="559"/>
      <c r="E604" s="559"/>
      <c r="F604" s="559"/>
      <c r="G604" s="559"/>
      <c r="H604" s="559"/>
      <c r="I604" s="559"/>
      <c r="J604" s="559"/>
      <c r="K604" s="559"/>
      <c r="L604" s="559"/>
      <c r="M604" s="559"/>
      <c r="N604" s="559"/>
      <c r="O604" s="559"/>
      <c r="P604" s="559"/>
      <c r="Q604" s="559"/>
      <c r="R604" s="559"/>
      <c r="S604" s="559"/>
      <c r="T604" s="559"/>
      <c r="U604" s="559"/>
      <c r="V604" s="559"/>
      <c r="W604" s="559"/>
      <c r="X604" s="559"/>
      <c r="Y604" s="559"/>
      <c r="Z604" s="559"/>
      <c r="AA604" s="559"/>
      <c r="AB604" s="559"/>
      <c r="AC604" s="559"/>
      <c r="AD604" s="559"/>
      <c r="AE604" s="559"/>
      <c r="AF604" s="559"/>
      <c r="AG604" s="559"/>
      <c r="AH604" s="559"/>
      <c r="AI604" s="559"/>
      <c r="AJ604" s="559"/>
      <c r="AK604" s="559"/>
      <c r="AL604" s="559"/>
      <c r="AM604" s="559"/>
      <c r="AN604" s="559"/>
    </row>
    <row r="605">
      <c r="A605" s="559"/>
      <c r="B605" s="559"/>
      <c r="C605" s="559"/>
      <c r="D605" s="559"/>
      <c r="E605" s="559"/>
      <c r="F605" s="559"/>
      <c r="G605" s="559"/>
      <c r="H605" s="559"/>
      <c r="I605" s="559"/>
      <c r="J605" s="559"/>
      <c r="K605" s="559"/>
      <c r="L605" s="559"/>
      <c r="M605" s="559"/>
      <c r="N605" s="559"/>
      <c r="O605" s="559"/>
      <c r="P605" s="559"/>
      <c r="Q605" s="559"/>
      <c r="R605" s="559"/>
      <c r="S605" s="559"/>
      <c r="T605" s="559"/>
      <c r="U605" s="559"/>
      <c r="V605" s="559"/>
      <c r="W605" s="559"/>
      <c r="X605" s="559"/>
      <c r="Y605" s="559"/>
      <c r="Z605" s="559"/>
      <c r="AA605" s="559"/>
      <c r="AB605" s="559"/>
      <c r="AC605" s="559"/>
      <c r="AD605" s="559"/>
      <c r="AE605" s="559"/>
      <c r="AF605" s="559"/>
      <c r="AG605" s="559"/>
      <c r="AH605" s="559"/>
      <c r="AI605" s="559"/>
      <c r="AJ605" s="559"/>
      <c r="AK605" s="559"/>
      <c r="AL605" s="559"/>
      <c r="AM605" s="559"/>
      <c r="AN605" s="559"/>
    </row>
    <row r="606">
      <c r="A606" s="559"/>
      <c r="B606" s="559"/>
      <c r="C606" s="559"/>
      <c r="D606" s="559"/>
      <c r="E606" s="559"/>
      <c r="F606" s="559"/>
      <c r="G606" s="559"/>
      <c r="H606" s="559"/>
      <c r="I606" s="559"/>
      <c r="J606" s="559"/>
      <c r="K606" s="559"/>
      <c r="L606" s="559"/>
      <c r="M606" s="559"/>
      <c r="N606" s="559"/>
      <c r="O606" s="559"/>
      <c r="P606" s="559"/>
      <c r="Q606" s="559"/>
      <c r="R606" s="559"/>
      <c r="S606" s="559"/>
      <c r="T606" s="559"/>
      <c r="U606" s="559"/>
      <c r="V606" s="559"/>
      <c r="W606" s="559"/>
      <c r="X606" s="559"/>
      <c r="Y606" s="559"/>
      <c r="Z606" s="559"/>
      <c r="AA606" s="559"/>
      <c r="AB606" s="559"/>
      <c r="AC606" s="559"/>
      <c r="AD606" s="559"/>
      <c r="AE606" s="559"/>
      <c r="AF606" s="559"/>
      <c r="AG606" s="559"/>
      <c r="AH606" s="559"/>
      <c r="AI606" s="559"/>
      <c r="AJ606" s="559"/>
      <c r="AK606" s="559"/>
      <c r="AL606" s="559"/>
      <c r="AM606" s="559"/>
      <c r="AN606" s="559"/>
    </row>
    <row r="607">
      <c r="A607" s="559"/>
      <c r="B607" s="559"/>
      <c r="C607" s="559"/>
      <c r="D607" s="559"/>
      <c r="E607" s="559"/>
      <c r="F607" s="559"/>
      <c r="G607" s="559"/>
      <c r="H607" s="559"/>
      <c r="I607" s="559"/>
      <c r="J607" s="559"/>
      <c r="K607" s="559"/>
      <c r="L607" s="559"/>
      <c r="M607" s="559"/>
      <c r="N607" s="559"/>
      <c r="O607" s="559"/>
      <c r="P607" s="559"/>
      <c r="Q607" s="559"/>
      <c r="R607" s="559"/>
      <c r="S607" s="559"/>
      <c r="T607" s="559"/>
      <c r="U607" s="559"/>
      <c r="V607" s="559"/>
      <c r="W607" s="559"/>
      <c r="X607" s="559"/>
      <c r="Y607" s="559"/>
      <c r="Z607" s="559"/>
      <c r="AA607" s="559"/>
      <c r="AB607" s="559"/>
      <c r="AC607" s="559"/>
      <c r="AD607" s="559"/>
      <c r="AE607" s="559"/>
      <c r="AF607" s="559"/>
      <c r="AG607" s="559"/>
      <c r="AH607" s="559"/>
      <c r="AI607" s="559"/>
      <c r="AJ607" s="559"/>
      <c r="AK607" s="559"/>
      <c r="AL607" s="559"/>
      <c r="AM607" s="559"/>
      <c r="AN607" s="559"/>
    </row>
    <row r="608">
      <c r="A608" s="559"/>
      <c r="B608" s="559"/>
      <c r="C608" s="559"/>
      <c r="D608" s="559"/>
      <c r="E608" s="559"/>
      <c r="F608" s="559"/>
      <c r="G608" s="559"/>
      <c r="H608" s="559"/>
      <c r="I608" s="559"/>
      <c r="J608" s="559"/>
      <c r="K608" s="559"/>
      <c r="L608" s="559"/>
      <c r="M608" s="559"/>
      <c r="N608" s="559"/>
      <c r="O608" s="559"/>
      <c r="P608" s="559"/>
      <c r="Q608" s="559"/>
      <c r="R608" s="559"/>
      <c r="S608" s="559"/>
      <c r="T608" s="559"/>
      <c r="U608" s="559"/>
      <c r="V608" s="559"/>
      <c r="W608" s="559"/>
      <c r="X608" s="559"/>
      <c r="Y608" s="559"/>
      <c r="Z608" s="559"/>
      <c r="AA608" s="559"/>
      <c r="AB608" s="559"/>
      <c r="AC608" s="559"/>
      <c r="AD608" s="559"/>
      <c r="AE608" s="559"/>
      <c r="AF608" s="559"/>
      <c r="AG608" s="559"/>
      <c r="AH608" s="559"/>
      <c r="AI608" s="559"/>
      <c r="AJ608" s="559"/>
      <c r="AK608" s="559"/>
      <c r="AL608" s="559"/>
      <c r="AM608" s="559"/>
      <c r="AN608" s="559"/>
    </row>
    <row r="609">
      <c r="A609" s="559"/>
      <c r="B609" s="559"/>
      <c r="C609" s="559"/>
      <c r="D609" s="559"/>
      <c r="E609" s="559"/>
      <c r="F609" s="559"/>
      <c r="G609" s="559"/>
      <c r="H609" s="559"/>
      <c r="I609" s="559"/>
      <c r="J609" s="559"/>
      <c r="K609" s="559"/>
      <c r="L609" s="559"/>
      <c r="M609" s="559"/>
      <c r="N609" s="559"/>
      <c r="O609" s="559"/>
      <c r="P609" s="559"/>
      <c r="Q609" s="559"/>
      <c r="R609" s="559"/>
      <c r="S609" s="559"/>
      <c r="T609" s="559"/>
      <c r="U609" s="559"/>
      <c r="V609" s="559"/>
      <c r="W609" s="559"/>
      <c r="X609" s="559"/>
      <c r="Y609" s="559"/>
      <c r="Z609" s="559"/>
      <c r="AA609" s="559"/>
      <c r="AB609" s="559"/>
      <c r="AC609" s="559"/>
      <c r="AD609" s="559"/>
      <c r="AE609" s="559"/>
      <c r="AF609" s="559"/>
      <c r="AG609" s="559"/>
      <c r="AH609" s="559"/>
      <c r="AI609" s="559"/>
      <c r="AJ609" s="559"/>
      <c r="AK609" s="559"/>
      <c r="AL609" s="559"/>
      <c r="AM609" s="559"/>
      <c r="AN609" s="559"/>
    </row>
    <row r="610">
      <c r="A610" s="559"/>
      <c r="B610" s="559"/>
      <c r="C610" s="559"/>
      <c r="D610" s="559"/>
      <c r="E610" s="559"/>
      <c r="F610" s="559"/>
      <c r="G610" s="559"/>
      <c r="H610" s="559"/>
      <c r="I610" s="559"/>
      <c r="J610" s="559"/>
      <c r="K610" s="559"/>
      <c r="L610" s="559"/>
      <c r="M610" s="559"/>
      <c r="N610" s="559"/>
      <c r="O610" s="559"/>
      <c r="P610" s="559"/>
      <c r="Q610" s="559"/>
      <c r="R610" s="559"/>
      <c r="S610" s="559"/>
      <c r="T610" s="559"/>
      <c r="U610" s="559"/>
      <c r="V610" s="559"/>
      <c r="W610" s="559"/>
      <c r="X610" s="559"/>
      <c r="Y610" s="559"/>
      <c r="Z610" s="559"/>
      <c r="AA610" s="559"/>
      <c r="AB610" s="559"/>
      <c r="AC610" s="559"/>
      <c r="AD610" s="559"/>
      <c r="AE610" s="559"/>
      <c r="AF610" s="559"/>
      <c r="AG610" s="559"/>
      <c r="AH610" s="559"/>
      <c r="AI610" s="559"/>
      <c r="AJ610" s="559"/>
      <c r="AK610" s="559"/>
      <c r="AL610" s="559"/>
      <c r="AM610" s="559"/>
      <c r="AN610" s="559"/>
    </row>
    <row r="611">
      <c r="A611" s="559"/>
      <c r="B611" s="559"/>
      <c r="C611" s="559"/>
      <c r="D611" s="559"/>
      <c r="E611" s="559"/>
      <c r="F611" s="559"/>
      <c r="G611" s="559"/>
      <c r="H611" s="559"/>
      <c r="I611" s="559"/>
      <c r="J611" s="559"/>
      <c r="K611" s="559"/>
      <c r="L611" s="559"/>
      <c r="M611" s="559"/>
      <c r="N611" s="559"/>
      <c r="O611" s="559"/>
      <c r="P611" s="559"/>
      <c r="Q611" s="559"/>
      <c r="R611" s="559"/>
      <c r="S611" s="559"/>
      <c r="T611" s="559"/>
      <c r="U611" s="559"/>
      <c r="V611" s="559"/>
      <c r="W611" s="559"/>
      <c r="X611" s="559"/>
      <c r="Y611" s="559"/>
      <c r="Z611" s="559"/>
      <c r="AA611" s="559"/>
      <c r="AB611" s="559"/>
      <c r="AC611" s="559"/>
      <c r="AD611" s="559"/>
      <c r="AE611" s="559"/>
      <c r="AF611" s="559"/>
      <c r="AG611" s="559"/>
      <c r="AH611" s="559"/>
      <c r="AI611" s="559"/>
      <c r="AJ611" s="559"/>
      <c r="AK611" s="559"/>
      <c r="AL611" s="559"/>
      <c r="AM611" s="559"/>
      <c r="AN611" s="559"/>
    </row>
    <row r="612">
      <c r="A612" s="559"/>
      <c r="B612" s="559"/>
      <c r="C612" s="559"/>
      <c r="D612" s="559"/>
      <c r="E612" s="559"/>
      <c r="F612" s="559"/>
      <c r="G612" s="559"/>
      <c r="H612" s="559"/>
      <c r="I612" s="559"/>
      <c r="J612" s="559"/>
      <c r="K612" s="559"/>
      <c r="L612" s="559"/>
      <c r="M612" s="559"/>
      <c r="N612" s="559"/>
      <c r="O612" s="559"/>
      <c r="P612" s="559"/>
      <c r="Q612" s="559"/>
      <c r="R612" s="559"/>
      <c r="S612" s="559"/>
      <c r="T612" s="559"/>
      <c r="U612" s="559"/>
      <c r="V612" s="559"/>
      <c r="W612" s="559"/>
      <c r="X612" s="559"/>
      <c r="Y612" s="559"/>
      <c r="Z612" s="559"/>
      <c r="AA612" s="559"/>
      <c r="AB612" s="559"/>
      <c r="AC612" s="559"/>
      <c r="AD612" s="559"/>
      <c r="AE612" s="559"/>
      <c r="AF612" s="559"/>
      <c r="AG612" s="559"/>
      <c r="AH612" s="559"/>
      <c r="AI612" s="559"/>
      <c r="AJ612" s="559"/>
      <c r="AK612" s="559"/>
      <c r="AL612" s="559"/>
      <c r="AM612" s="559"/>
      <c r="AN612" s="559"/>
    </row>
    <row r="613">
      <c r="A613" s="559"/>
      <c r="B613" s="559"/>
      <c r="C613" s="559"/>
      <c r="D613" s="559"/>
      <c r="E613" s="559"/>
      <c r="F613" s="559"/>
      <c r="G613" s="559"/>
      <c r="H613" s="559"/>
      <c r="I613" s="559"/>
      <c r="J613" s="559"/>
      <c r="K613" s="559"/>
      <c r="L613" s="559"/>
      <c r="M613" s="559"/>
      <c r="N613" s="559"/>
      <c r="O613" s="559"/>
      <c r="P613" s="559"/>
      <c r="Q613" s="559"/>
      <c r="R613" s="559"/>
      <c r="S613" s="559"/>
      <c r="T613" s="559"/>
      <c r="U613" s="559"/>
      <c r="V613" s="559"/>
      <c r="W613" s="559"/>
      <c r="X613" s="559"/>
      <c r="Y613" s="559"/>
      <c r="Z613" s="559"/>
      <c r="AA613" s="559"/>
      <c r="AB613" s="559"/>
      <c r="AC613" s="559"/>
      <c r="AD613" s="559"/>
      <c r="AE613" s="559"/>
      <c r="AF613" s="559"/>
      <c r="AG613" s="559"/>
      <c r="AH613" s="559"/>
      <c r="AI613" s="559"/>
      <c r="AJ613" s="559"/>
      <c r="AK613" s="559"/>
      <c r="AL613" s="559"/>
      <c r="AM613" s="559"/>
      <c r="AN613" s="559"/>
    </row>
    <row r="614">
      <c r="A614" s="559"/>
      <c r="B614" s="559"/>
      <c r="C614" s="559"/>
      <c r="D614" s="559"/>
      <c r="E614" s="559"/>
      <c r="F614" s="559"/>
      <c r="G614" s="559"/>
      <c r="H614" s="559"/>
      <c r="I614" s="559"/>
      <c r="J614" s="559"/>
      <c r="K614" s="559"/>
      <c r="L614" s="559"/>
      <c r="M614" s="559"/>
      <c r="N614" s="559"/>
      <c r="O614" s="559"/>
      <c r="P614" s="559"/>
      <c r="Q614" s="559"/>
      <c r="R614" s="559"/>
      <c r="S614" s="559"/>
      <c r="T614" s="559"/>
      <c r="U614" s="559"/>
      <c r="V614" s="559"/>
      <c r="W614" s="559"/>
      <c r="X614" s="559"/>
      <c r="Y614" s="559"/>
      <c r="Z614" s="559"/>
      <c r="AA614" s="559"/>
      <c r="AB614" s="559"/>
      <c r="AC614" s="559"/>
      <c r="AD614" s="559"/>
      <c r="AE614" s="559"/>
      <c r="AF614" s="559"/>
      <c r="AG614" s="559"/>
      <c r="AH614" s="559"/>
      <c r="AI614" s="559"/>
      <c r="AJ614" s="559"/>
      <c r="AK614" s="559"/>
      <c r="AL614" s="559"/>
      <c r="AM614" s="559"/>
      <c r="AN614" s="559"/>
    </row>
    <row r="615">
      <c r="A615" s="559"/>
      <c r="B615" s="559"/>
      <c r="C615" s="559"/>
      <c r="D615" s="559"/>
      <c r="E615" s="559"/>
      <c r="F615" s="559"/>
      <c r="G615" s="559"/>
      <c r="H615" s="559"/>
      <c r="I615" s="559"/>
      <c r="J615" s="559"/>
      <c r="K615" s="559"/>
      <c r="L615" s="559"/>
      <c r="M615" s="559"/>
      <c r="N615" s="559"/>
      <c r="O615" s="559"/>
      <c r="P615" s="559"/>
      <c r="Q615" s="559"/>
      <c r="R615" s="559"/>
      <c r="S615" s="559"/>
      <c r="T615" s="559"/>
      <c r="U615" s="559"/>
      <c r="V615" s="559"/>
      <c r="W615" s="559"/>
      <c r="X615" s="559"/>
      <c r="Y615" s="559"/>
      <c r="Z615" s="559"/>
      <c r="AA615" s="559"/>
      <c r="AB615" s="559"/>
      <c r="AC615" s="559"/>
      <c r="AD615" s="559"/>
      <c r="AE615" s="559"/>
      <c r="AF615" s="559"/>
      <c r="AG615" s="559"/>
      <c r="AH615" s="559"/>
      <c r="AI615" s="559"/>
      <c r="AJ615" s="559"/>
      <c r="AK615" s="559"/>
      <c r="AL615" s="559"/>
      <c r="AM615" s="559"/>
      <c r="AN615" s="559"/>
    </row>
    <row r="616">
      <c r="A616" s="559"/>
      <c r="B616" s="559"/>
      <c r="C616" s="559"/>
      <c r="D616" s="559"/>
      <c r="E616" s="559"/>
      <c r="F616" s="559"/>
      <c r="G616" s="559"/>
      <c r="H616" s="559"/>
      <c r="I616" s="559"/>
      <c r="J616" s="559"/>
      <c r="K616" s="559"/>
      <c r="L616" s="559"/>
      <c r="M616" s="559"/>
      <c r="N616" s="559"/>
      <c r="O616" s="559"/>
      <c r="P616" s="559"/>
      <c r="Q616" s="559"/>
      <c r="R616" s="559"/>
      <c r="S616" s="559"/>
      <c r="T616" s="559"/>
      <c r="U616" s="559"/>
      <c r="V616" s="559"/>
      <c r="W616" s="559"/>
      <c r="X616" s="559"/>
      <c r="Y616" s="559"/>
      <c r="Z616" s="559"/>
      <c r="AA616" s="559"/>
      <c r="AB616" s="559"/>
      <c r="AC616" s="559"/>
      <c r="AD616" s="559"/>
      <c r="AE616" s="559"/>
      <c r="AF616" s="559"/>
      <c r="AG616" s="559"/>
      <c r="AH616" s="559"/>
      <c r="AI616" s="559"/>
      <c r="AJ616" s="559"/>
      <c r="AK616" s="559"/>
      <c r="AL616" s="559"/>
      <c r="AM616" s="559"/>
      <c r="AN616" s="559"/>
    </row>
    <row r="617">
      <c r="A617" s="559"/>
      <c r="B617" s="559"/>
      <c r="C617" s="559"/>
      <c r="D617" s="559"/>
      <c r="E617" s="559"/>
      <c r="F617" s="559"/>
      <c r="G617" s="559"/>
      <c r="H617" s="559"/>
      <c r="I617" s="559"/>
      <c r="J617" s="559"/>
      <c r="K617" s="559"/>
      <c r="L617" s="559"/>
      <c r="M617" s="559"/>
      <c r="N617" s="559"/>
      <c r="O617" s="559"/>
      <c r="P617" s="559"/>
      <c r="Q617" s="559"/>
      <c r="R617" s="559"/>
      <c r="S617" s="559"/>
      <c r="T617" s="559"/>
      <c r="U617" s="559"/>
      <c r="V617" s="559"/>
      <c r="W617" s="559"/>
      <c r="X617" s="559"/>
      <c r="Y617" s="559"/>
      <c r="Z617" s="559"/>
      <c r="AA617" s="559"/>
      <c r="AB617" s="559"/>
      <c r="AC617" s="559"/>
      <c r="AD617" s="559"/>
      <c r="AE617" s="559"/>
      <c r="AF617" s="559"/>
      <c r="AG617" s="559"/>
      <c r="AH617" s="559"/>
      <c r="AI617" s="559"/>
      <c r="AJ617" s="559"/>
      <c r="AK617" s="559"/>
      <c r="AL617" s="559"/>
      <c r="AM617" s="559"/>
      <c r="AN617" s="559"/>
    </row>
    <row r="618">
      <c r="A618" s="559"/>
      <c r="B618" s="559"/>
      <c r="C618" s="559"/>
      <c r="D618" s="559"/>
      <c r="E618" s="559"/>
      <c r="F618" s="559"/>
      <c r="G618" s="559"/>
      <c r="H618" s="559"/>
      <c r="I618" s="559"/>
      <c r="J618" s="559"/>
      <c r="K618" s="559"/>
      <c r="L618" s="559"/>
      <c r="M618" s="559"/>
      <c r="N618" s="559"/>
      <c r="O618" s="559"/>
      <c r="P618" s="559"/>
      <c r="Q618" s="559"/>
      <c r="R618" s="559"/>
      <c r="S618" s="559"/>
      <c r="T618" s="559"/>
      <c r="U618" s="559"/>
      <c r="V618" s="559"/>
      <c r="W618" s="559"/>
      <c r="X618" s="559"/>
      <c r="Y618" s="559"/>
      <c r="Z618" s="559"/>
      <c r="AA618" s="559"/>
      <c r="AB618" s="559"/>
      <c r="AC618" s="559"/>
      <c r="AD618" s="559"/>
      <c r="AE618" s="559"/>
      <c r="AF618" s="559"/>
      <c r="AG618" s="559"/>
      <c r="AH618" s="559"/>
      <c r="AI618" s="559"/>
      <c r="AJ618" s="559"/>
      <c r="AK618" s="559"/>
      <c r="AL618" s="559"/>
      <c r="AM618" s="559"/>
      <c r="AN618" s="559"/>
    </row>
    <row r="619">
      <c r="A619" s="559"/>
      <c r="B619" s="559"/>
      <c r="C619" s="559"/>
      <c r="D619" s="559"/>
      <c r="E619" s="559"/>
      <c r="F619" s="559"/>
      <c r="G619" s="559"/>
      <c r="H619" s="559"/>
      <c r="I619" s="559"/>
      <c r="J619" s="559"/>
      <c r="K619" s="559"/>
      <c r="L619" s="559"/>
      <c r="M619" s="559"/>
      <c r="N619" s="559"/>
      <c r="O619" s="559"/>
      <c r="P619" s="559"/>
      <c r="Q619" s="559"/>
      <c r="R619" s="559"/>
      <c r="S619" s="559"/>
      <c r="T619" s="559"/>
      <c r="U619" s="559"/>
      <c r="V619" s="559"/>
      <c r="W619" s="559"/>
      <c r="X619" s="559"/>
      <c r="Y619" s="559"/>
      <c r="Z619" s="559"/>
      <c r="AA619" s="559"/>
      <c r="AB619" s="559"/>
      <c r="AC619" s="559"/>
      <c r="AD619" s="559"/>
      <c r="AE619" s="559"/>
      <c r="AF619" s="559"/>
      <c r="AG619" s="559"/>
      <c r="AH619" s="559"/>
      <c r="AI619" s="559"/>
      <c r="AJ619" s="559"/>
      <c r="AK619" s="559"/>
      <c r="AL619" s="559"/>
      <c r="AM619" s="559"/>
      <c r="AN619" s="559"/>
    </row>
    <row r="620">
      <c r="A620" s="559"/>
      <c r="B620" s="559"/>
      <c r="C620" s="559"/>
      <c r="D620" s="559"/>
      <c r="E620" s="559"/>
      <c r="F620" s="559"/>
      <c r="G620" s="559"/>
      <c r="H620" s="559"/>
      <c r="I620" s="559"/>
      <c r="J620" s="559"/>
      <c r="K620" s="559"/>
      <c r="L620" s="559"/>
      <c r="M620" s="559"/>
      <c r="N620" s="559"/>
      <c r="O620" s="559"/>
      <c r="P620" s="559"/>
      <c r="Q620" s="559"/>
      <c r="R620" s="559"/>
      <c r="S620" s="559"/>
      <c r="T620" s="559"/>
      <c r="U620" s="559"/>
      <c r="V620" s="559"/>
      <c r="W620" s="559"/>
      <c r="X620" s="559"/>
      <c r="Y620" s="559"/>
      <c r="Z620" s="559"/>
      <c r="AA620" s="559"/>
      <c r="AB620" s="559"/>
      <c r="AC620" s="559"/>
      <c r="AD620" s="559"/>
      <c r="AE620" s="559"/>
      <c r="AF620" s="559"/>
      <c r="AG620" s="559"/>
      <c r="AH620" s="559"/>
      <c r="AI620" s="559"/>
      <c r="AJ620" s="559"/>
      <c r="AK620" s="559"/>
      <c r="AL620" s="559"/>
      <c r="AM620" s="559"/>
      <c r="AN620" s="559"/>
    </row>
    <row r="621">
      <c r="A621" s="559"/>
      <c r="B621" s="559"/>
      <c r="C621" s="559"/>
      <c r="D621" s="559"/>
      <c r="E621" s="559"/>
      <c r="F621" s="559"/>
      <c r="G621" s="559"/>
      <c r="H621" s="559"/>
      <c r="I621" s="559"/>
      <c r="J621" s="559"/>
      <c r="K621" s="559"/>
      <c r="L621" s="559"/>
      <c r="M621" s="559"/>
      <c r="N621" s="559"/>
      <c r="O621" s="559"/>
      <c r="P621" s="559"/>
      <c r="Q621" s="559"/>
      <c r="R621" s="559"/>
      <c r="S621" s="559"/>
      <c r="T621" s="559"/>
      <c r="U621" s="559"/>
      <c r="V621" s="559"/>
      <c r="W621" s="559"/>
      <c r="X621" s="559"/>
      <c r="Y621" s="559"/>
      <c r="Z621" s="559"/>
      <c r="AA621" s="559"/>
      <c r="AB621" s="559"/>
      <c r="AC621" s="559"/>
      <c r="AD621" s="559"/>
      <c r="AE621" s="559"/>
      <c r="AF621" s="559"/>
      <c r="AG621" s="559"/>
      <c r="AH621" s="559"/>
      <c r="AI621" s="559"/>
      <c r="AJ621" s="559"/>
      <c r="AK621" s="559"/>
      <c r="AL621" s="559"/>
      <c r="AM621" s="559"/>
      <c r="AN621" s="559"/>
    </row>
    <row r="622">
      <c r="A622" s="559"/>
      <c r="B622" s="559"/>
      <c r="C622" s="559"/>
      <c r="D622" s="559"/>
      <c r="E622" s="559"/>
      <c r="F622" s="559"/>
      <c r="G622" s="559"/>
      <c r="H622" s="559"/>
      <c r="I622" s="559"/>
      <c r="J622" s="559"/>
      <c r="K622" s="559"/>
      <c r="L622" s="559"/>
      <c r="M622" s="559"/>
      <c r="N622" s="559"/>
      <c r="O622" s="559"/>
      <c r="P622" s="559"/>
      <c r="Q622" s="559"/>
      <c r="R622" s="559"/>
      <c r="S622" s="559"/>
      <c r="T622" s="559"/>
      <c r="U622" s="559"/>
      <c r="V622" s="559"/>
      <c r="W622" s="559"/>
      <c r="X622" s="559"/>
      <c r="Y622" s="559"/>
      <c r="Z622" s="559"/>
      <c r="AA622" s="559"/>
      <c r="AB622" s="559"/>
      <c r="AC622" s="559"/>
      <c r="AD622" s="559"/>
      <c r="AE622" s="559"/>
      <c r="AF622" s="559"/>
      <c r="AG622" s="559"/>
      <c r="AH622" s="559"/>
      <c r="AI622" s="559"/>
      <c r="AJ622" s="559"/>
      <c r="AK622" s="559"/>
      <c r="AL622" s="559"/>
      <c r="AM622" s="559"/>
      <c r="AN622" s="559"/>
    </row>
    <row r="623">
      <c r="A623" s="559"/>
      <c r="B623" s="559"/>
      <c r="C623" s="559"/>
      <c r="D623" s="559"/>
      <c r="E623" s="559"/>
      <c r="F623" s="559"/>
      <c r="G623" s="559"/>
      <c r="H623" s="559"/>
      <c r="I623" s="559"/>
      <c r="J623" s="559"/>
      <c r="K623" s="559"/>
      <c r="L623" s="559"/>
      <c r="M623" s="559"/>
      <c r="N623" s="559"/>
      <c r="O623" s="559"/>
      <c r="P623" s="559"/>
      <c r="Q623" s="559"/>
      <c r="R623" s="559"/>
      <c r="S623" s="559"/>
      <c r="T623" s="559"/>
      <c r="U623" s="559"/>
      <c r="V623" s="559"/>
      <c r="W623" s="559"/>
      <c r="X623" s="559"/>
      <c r="Y623" s="559"/>
      <c r="Z623" s="559"/>
      <c r="AA623" s="559"/>
      <c r="AB623" s="559"/>
      <c r="AC623" s="559"/>
      <c r="AD623" s="559"/>
      <c r="AE623" s="559"/>
      <c r="AF623" s="559"/>
      <c r="AG623" s="559"/>
      <c r="AH623" s="559"/>
      <c r="AI623" s="559"/>
      <c r="AJ623" s="559"/>
      <c r="AK623" s="559"/>
      <c r="AL623" s="559"/>
      <c r="AM623" s="559"/>
      <c r="AN623" s="559"/>
    </row>
    <row r="624">
      <c r="A624" s="559"/>
      <c r="B624" s="559"/>
      <c r="C624" s="559"/>
      <c r="D624" s="559"/>
      <c r="E624" s="559"/>
      <c r="F624" s="559"/>
      <c r="G624" s="559"/>
      <c r="H624" s="559"/>
      <c r="I624" s="559"/>
      <c r="J624" s="559"/>
      <c r="K624" s="559"/>
      <c r="L624" s="559"/>
      <c r="M624" s="559"/>
      <c r="N624" s="559"/>
      <c r="O624" s="559"/>
      <c r="P624" s="559"/>
      <c r="Q624" s="559"/>
      <c r="R624" s="559"/>
      <c r="S624" s="559"/>
      <c r="T624" s="559"/>
      <c r="U624" s="559"/>
      <c r="V624" s="559"/>
      <c r="W624" s="559"/>
      <c r="X624" s="559"/>
      <c r="Y624" s="559"/>
      <c r="Z624" s="559"/>
      <c r="AA624" s="559"/>
      <c r="AB624" s="559"/>
      <c r="AC624" s="559"/>
      <c r="AD624" s="559"/>
      <c r="AE624" s="559"/>
      <c r="AF624" s="559"/>
      <c r="AG624" s="559"/>
      <c r="AH624" s="559"/>
      <c r="AI624" s="559"/>
      <c r="AJ624" s="559"/>
      <c r="AK624" s="559"/>
      <c r="AL624" s="559"/>
      <c r="AM624" s="559"/>
      <c r="AN624" s="559"/>
    </row>
    <row r="625">
      <c r="A625" s="559"/>
      <c r="B625" s="559"/>
      <c r="C625" s="559"/>
      <c r="D625" s="559"/>
      <c r="E625" s="559"/>
      <c r="F625" s="559"/>
      <c r="G625" s="559"/>
      <c r="H625" s="559"/>
      <c r="I625" s="559"/>
      <c r="J625" s="559"/>
      <c r="K625" s="559"/>
      <c r="L625" s="559"/>
      <c r="M625" s="559"/>
      <c r="N625" s="559"/>
      <c r="O625" s="559"/>
      <c r="P625" s="559"/>
      <c r="Q625" s="559"/>
      <c r="R625" s="559"/>
      <c r="S625" s="559"/>
      <c r="T625" s="559"/>
      <c r="U625" s="559"/>
      <c r="V625" s="559"/>
      <c r="W625" s="559"/>
      <c r="X625" s="559"/>
      <c r="Y625" s="559"/>
      <c r="Z625" s="559"/>
      <c r="AA625" s="559"/>
      <c r="AB625" s="559"/>
      <c r="AC625" s="559"/>
      <c r="AD625" s="559"/>
      <c r="AE625" s="559"/>
      <c r="AF625" s="559"/>
      <c r="AG625" s="559"/>
      <c r="AH625" s="559"/>
      <c r="AI625" s="559"/>
      <c r="AJ625" s="559"/>
      <c r="AK625" s="559"/>
      <c r="AL625" s="559"/>
      <c r="AM625" s="559"/>
      <c r="AN625" s="559"/>
    </row>
    <row r="626">
      <c r="A626" s="559"/>
      <c r="B626" s="559"/>
      <c r="C626" s="559"/>
      <c r="D626" s="559"/>
      <c r="E626" s="559"/>
      <c r="F626" s="559"/>
      <c r="G626" s="559"/>
      <c r="H626" s="559"/>
      <c r="I626" s="559"/>
      <c r="J626" s="559"/>
      <c r="K626" s="559"/>
      <c r="L626" s="559"/>
      <c r="M626" s="559"/>
      <c r="N626" s="559"/>
      <c r="O626" s="559"/>
      <c r="P626" s="559"/>
      <c r="Q626" s="559"/>
      <c r="R626" s="559"/>
      <c r="S626" s="559"/>
      <c r="T626" s="559"/>
      <c r="U626" s="559"/>
      <c r="V626" s="559"/>
      <c r="W626" s="559"/>
      <c r="X626" s="559"/>
      <c r="Y626" s="559"/>
      <c r="Z626" s="559"/>
      <c r="AA626" s="559"/>
      <c r="AB626" s="559"/>
      <c r="AC626" s="559"/>
      <c r="AD626" s="559"/>
      <c r="AE626" s="559"/>
      <c r="AF626" s="559"/>
      <c r="AG626" s="559"/>
      <c r="AH626" s="559"/>
      <c r="AI626" s="559"/>
      <c r="AJ626" s="559"/>
      <c r="AK626" s="559"/>
      <c r="AL626" s="559"/>
      <c r="AM626" s="559"/>
      <c r="AN626" s="559"/>
    </row>
    <row r="627">
      <c r="A627" s="559"/>
      <c r="B627" s="559"/>
      <c r="C627" s="559"/>
      <c r="D627" s="559"/>
      <c r="E627" s="559"/>
      <c r="F627" s="559"/>
      <c r="G627" s="559"/>
      <c r="H627" s="559"/>
      <c r="I627" s="559"/>
      <c r="J627" s="559"/>
      <c r="K627" s="559"/>
      <c r="L627" s="559"/>
      <c r="M627" s="559"/>
      <c r="N627" s="559"/>
      <c r="O627" s="559"/>
      <c r="P627" s="559"/>
      <c r="Q627" s="559"/>
      <c r="R627" s="559"/>
      <c r="S627" s="559"/>
      <c r="T627" s="559"/>
      <c r="U627" s="559"/>
      <c r="V627" s="559"/>
      <c r="W627" s="559"/>
      <c r="X627" s="559"/>
      <c r="Y627" s="559"/>
      <c r="Z627" s="559"/>
      <c r="AA627" s="559"/>
      <c r="AB627" s="559"/>
      <c r="AC627" s="559"/>
      <c r="AD627" s="559"/>
      <c r="AE627" s="559"/>
      <c r="AF627" s="559"/>
      <c r="AG627" s="559"/>
      <c r="AH627" s="559"/>
      <c r="AI627" s="559"/>
      <c r="AJ627" s="559"/>
      <c r="AK627" s="559"/>
      <c r="AL627" s="559"/>
      <c r="AM627" s="559"/>
      <c r="AN627" s="559"/>
    </row>
    <row r="628">
      <c r="A628" s="559"/>
      <c r="B628" s="559"/>
      <c r="C628" s="559"/>
      <c r="D628" s="559"/>
      <c r="E628" s="559"/>
      <c r="F628" s="559"/>
      <c r="G628" s="559"/>
      <c r="H628" s="559"/>
      <c r="I628" s="559"/>
      <c r="J628" s="559"/>
      <c r="K628" s="559"/>
      <c r="L628" s="559"/>
      <c r="M628" s="559"/>
      <c r="N628" s="559"/>
      <c r="O628" s="559"/>
      <c r="P628" s="559"/>
      <c r="Q628" s="559"/>
      <c r="R628" s="559"/>
      <c r="S628" s="559"/>
      <c r="T628" s="559"/>
      <c r="U628" s="559"/>
      <c r="V628" s="559"/>
      <c r="W628" s="559"/>
      <c r="X628" s="559"/>
      <c r="Y628" s="559"/>
      <c r="Z628" s="559"/>
      <c r="AA628" s="559"/>
      <c r="AB628" s="559"/>
      <c r="AC628" s="559"/>
      <c r="AD628" s="559"/>
      <c r="AE628" s="559"/>
      <c r="AF628" s="559"/>
      <c r="AG628" s="559"/>
      <c r="AH628" s="559"/>
      <c r="AI628" s="559"/>
      <c r="AJ628" s="559"/>
      <c r="AK628" s="559"/>
      <c r="AL628" s="559"/>
      <c r="AM628" s="559"/>
      <c r="AN628" s="559"/>
    </row>
    <row r="629">
      <c r="A629" s="559"/>
      <c r="B629" s="559"/>
      <c r="C629" s="559"/>
      <c r="D629" s="559"/>
      <c r="E629" s="559"/>
      <c r="F629" s="559"/>
      <c r="G629" s="559"/>
      <c r="H629" s="559"/>
      <c r="I629" s="559"/>
      <c r="J629" s="559"/>
      <c r="K629" s="559"/>
      <c r="L629" s="559"/>
      <c r="M629" s="559"/>
      <c r="N629" s="559"/>
      <c r="O629" s="559"/>
      <c r="P629" s="559"/>
      <c r="Q629" s="559"/>
      <c r="R629" s="559"/>
      <c r="S629" s="559"/>
      <c r="T629" s="559"/>
      <c r="U629" s="559"/>
      <c r="V629" s="559"/>
      <c r="W629" s="559"/>
      <c r="X629" s="559"/>
      <c r="Y629" s="559"/>
      <c r="Z629" s="559"/>
      <c r="AA629" s="559"/>
      <c r="AB629" s="559"/>
      <c r="AC629" s="559"/>
      <c r="AD629" s="559"/>
      <c r="AE629" s="559"/>
      <c r="AF629" s="559"/>
      <c r="AG629" s="559"/>
      <c r="AH629" s="559"/>
      <c r="AI629" s="559"/>
      <c r="AJ629" s="559"/>
      <c r="AK629" s="559"/>
      <c r="AL629" s="559"/>
      <c r="AM629" s="559"/>
      <c r="AN629" s="559"/>
    </row>
    <row r="630">
      <c r="A630" s="559"/>
      <c r="B630" s="559"/>
      <c r="C630" s="559"/>
      <c r="D630" s="559"/>
      <c r="E630" s="559"/>
      <c r="F630" s="559"/>
      <c r="G630" s="559"/>
      <c r="H630" s="559"/>
      <c r="I630" s="559"/>
      <c r="J630" s="559"/>
      <c r="K630" s="559"/>
      <c r="L630" s="559"/>
      <c r="M630" s="559"/>
      <c r="N630" s="559"/>
      <c r="O630" s="559"/>
      <c r="P630" s="559"/>
      <c r="Q630" s="559"/>
      <c r="R630" s="559"/>
      <c r="S630" s="559"/>
      <c r="T630" s="559"/>
      <c r="U630" s="559"/>
      <c r="V630" s="559"/>
      <c r="W630" s="559"/>
      <c r="X630" s="559"/>
      <c r="Y630" s="559"/>
      <c r="Z630" s="559"/>
      <c r="AA630" s="559"/>
      <c r="AB630" s="559"/>
      <c r="AC630" s="559"/>
      <c r="AD630" s="559"/>
      <c r="AE630" s="559"/>
      <c r="AF630" s="559"/>
      <c r="AG630" s="559"/>
      <c r="AH630" s="559"/>
      <c r="AI630" s="559"/>
      <c r="AJ630" s="559"/>
      <c r="AK630" s="559"/>
      <c r="AL630" s="559"/>
      <c r="AM630" s="559"/>
      <c r="AN630" s="559"/>
    </row>
    <row r="631">
      <c r="A631" s="559"/>
      <c r="B631" s="559"/>
      <c r="C631" s="559"/>
      <c r="D631" s="559"/>
      <c r="E631" s="559"/>
      <c r="F631" s="559"/>
      <c r="G631" s="559"/>
      <c r="H631" s="559"/>
      <c r="I631" s="559"/>
      <c r="J631" s="559"/>
      <c r="K631" s="559"/>
      <c r="L631" s="559"/>
      <c r="M631" s="559"/>
      <c r="N631" s="559"/>
      <c r="O631" s="559"/>
      <c r="P631" s="559"/>
      <c r="Q631" s="559"/>
      <c r="R631" s="559"/>
      <c r="S631" s="559"/>
      <c r="T631" s="559"/>
      <c r="U631" s="559"/>
      <c r="V631" s="559"/>
      <c r="W631" s="559"/>
      <c r="X631" s="559"/>
      <c r="Y631" s="559"/>
      <c r="Z631" s="559"/>
      <c r="AA631" s="559"/>
      <c r="AB631" s="559"/>
      <c r="AC631" s="559"/>
      <c r="AD631" s="559"/>
      <c r="AE631" s="559"/>
      <c r="AF631" s="559"/>
      <c r="AG631" s="559"/>
      <c r="AH631" s="559"/>
      <c r="AI631" s="559"/>
      <c r="AJ631" s="559"/>
      <c r="AK631" s="559"/>
      <c r="AL631" s="559"/>
      <c r="AM631" s="559"/>
      <c r="AN631" s="559"/>
    </row>
    <row r="632">
      <c r="A632" s="559"/>
      <c r="B632" s="559"/>
      <c r="C632" s="559"/>
      <c r="D632" s="559"/>
      <c r="E632" s="559"/>
      <c r="F632" s="559"/>
      <c r="G632" s="559"/>
      <c r="H632" s="559"/>
      <c r="I632" s="559"/>
      <c r="J632" s="559"/>
      <c r="K632" s="559"/>
      <c r="L632" s="559"/>
      <c r="M632" s="559"/>
      <c r="N632" s="559"/>
      <c r="O632" s="559"/>
      <c r="P632" s="559"/>
      <c r="Q632" s="559"/>
      <c r="R632" s="559"/>
      <c r="S632" s="559"/>
      <c r="T632" s="559"/>
      <c r="U632" s="559"/>
      <c r="V632" s="559"/>
      <c r="W632" s="559"/>
      <c r="X632" s="559"/>
      <c r="Y632" s="559"/>
      <c r="Z632" s="559"/>
      <c r="AA632" s="559"/>
      <c r="AB632" s="559"/>
      <c r="AC632" s="559"/>
      <c r="AD632" s="559"/>
      <c r="AE632" s="559"/>
      <c r="AF632" s="559"/>
      <c r="AG632" s="559"/>
      <c r="AH632" s="559"/>
      <c r="AI632" s="559"/>
      <c r="AJ632" s="559"/>
      <c r="AK632" s="559"/>
      <c r="AL632" s="559"/>
      <c r="AM632" s="559"/>
      <c r="AN632" s="559"/>
    </row>
    <row r="633">
      <c r="A633" s="559"/>
      <c r="B633" s="559"/>
      <c r="C633" s="559"/>
      <c r="D633" s="559"/>
      <c r="E633" s="559"/>
      <c r="F633" s="559"/>
      <c r="G633" s="559"/>
      <c r="H633" s="559"/>
      <c r="I633" s="559"/>
      <c r="J633" s="559"/>
      <c r="K633" s="559"/>
      <c r="L633" s="559"/>
      <c r="M633" s="559"/>
      <c r="N633" s="559"/>
      <c r="O633" s="559"/>
      <c r="P633" s="559"/>
      <c r="Q633" s="559"/>
      <c r="R633" s="559"/>
      <c r="S633" s="559"/>
      <c r="T633" s="559"/>
      <c r="U633" s="559"/>
      <c r="V633" s="559"/>
      <c r="W633" s="559"/>
      <c r="X633" s="559"/>
      <c r="Y633" s="559"/>
      <c r="Z633" s="559"/>
      <c r="AA633" s="559"/>
      <c r="AB633" s="559"/>
      <c r="AC633" s="559"/>
      <c r="AD633" s="559"/>
      <c r="AE633" s="559"/>
      <c r="AF633" s="559"/>
      <c r="AG633" s="559"/>
      <c r="AH633" s="559"/>
      <c r="AI633" s="559"/>
      <c r="AJ633" s="559"/>
      <c r="AK633" s="559"/>
      <c r="AL633" s="559"/>
      <c r="AM633" s="559"/>
      <c r="AN633" s="559"/>
    </row>
    <row r="634">
      <c r="A634" s="559"/>
      <c r="B634" s="559"/>
      <c r="C634" s="559"/>
      <c r="D634" s="559"/>
      <c r="E634" s="559"/>
      <c r="F634" s="559"/>
      <c r="G634" s="559"/>
      <c r="H634" s="559"/>
      <c r="I634" s="559"/>
      <c r="J634" s="559"/>
      <c r="K634" s="559"/>
      <c r="L634" s="559"/>
      <c r="M634" s="559"/>
      <c r="N634" s="559"/>
      <c r="O634" s="559"/>
      <c r="P634" s="559"/>
      <c r="Q634" s="559"/>
      <c r="R634" s="559"/>
      <c r="S634" s="559"/>
      <c r="T634" s="559"/>
      <c r="U634" s="559"/>
      <c r="V634" s="559"/>
      <c r="W634" s="559"/>
      <c r="X634" s="559"/>
      <c r="Y634" s="559"/>
      <c r="Z634" s="559"/>
      <c r="AA634" s="559"/>
      <c r="AB634" s="559"/>
      <c r="AC634" s="559"/>
      <c r="AD634" s="559"/>
      <c r="AE634" s="559"/>
      <c r="AF634" s="559"/>
      <c r="AG634" s="559"/>
      <c r="AH634" s="559"/>
      <c r="AI634" s="559"/>
      <c r="AJ634" s="559"/>
      <c r="AK634" s="559"/>
      <c r="AL634" s="559"/>
      <c r="AM634" s="559"/>
      <c r="AN634" s="559"/>
    </row>
    <row r="635">
      <c r="A635" s="559"/>
      <c r="B635" s="559"/>
      <c r="C635" s="559"/>
      <c r="D635" s="559"/>
      <c r="E635" s="559"/>
      <c r="F635" s="559"/>
      <c r="G635" s="559"/>
      <c r="H635" s="559"/>
      <c r="I635" s="559"/>
      <c r="J635" s="559"/>
      <c r="K635" s="559"/>
      <c r="L635" s="559"/>
      <c r="M635" s="559"/>
      <c r="N635" s="559"/>
      <c r="O635" s="559"/>
      <c r="P635" s="559"/>
      <c r="Q635" s="559"/>
      <c r="R635" s="559"/>
      <c r="S635" s="559"/>
      <c r="T635" s="559"/>
      <c r="U635" s="559"/>
      <c r="V635" s="559"/>
      <c r="W635" s="559"/>
      <c r="X635" s="559"/>
      <c r="Y635" s="559"/>
      <c r="Z635" s="559"/>
      <c r="AA635" s="559"/>
      <c r="AB635" s="559"/>
      <c r="AC635" s="559"/>
      <c r="AD635" s="559"/>
      <c r="AE635" s="559"/>
      <c r="AF635" s="559"/>
      <c r="AG635" s="559"/>
      <c r="AH635" s="559"/>
      <c r="AI635" s="559"/>
      <c r="AJ635" s="559"/>
      <c r="AK635" s="559"/>
      <c r="AL635" s="559"/>
      <c r="AM635" s="559"/>
      <c r="AN635" s="559"/>
    </row>
    <row r="636">
      <c r="A636" s="559"/>
      <c r="B636" s="559"/>
      <c r="C636" s="559"/>
      <c r="D636" s="559"/>
      <c r="E636" s="559"/>
      <c r="F636" s="559"/>
      <c r="G636" s="559"/>
      <c r="H636" s="559"/>
      <c r="I636" s="559"/>
      <c r="J636" s="559"/>
      <c r="K636" s="559"/>
      <c r="L636" s="559"/>
      <c r="M636" s="559"/>
      <c r="N636" s="559"/>
      <c r="O636" s="559"/>
      <c r="P636" s="559"/>
      <c r="Q636" s="559"/>
      <c r="R636" s="559"/>
      <c r="S636" s="559"/>
      <c r="T636" s="559"/>
      <c r="U636" s="559"/>
      <c r="V636" s="559"/>
      <c r="W636" s="559"/>
      <c r="X636" s="559"/>
      <c r="Y636" s="559"/>
      <c r="Z636" s="559"/>
      <c r="AA636" s="559"/>
      <c r="AB636" s="559"/>
      <c r="AC636" s="559"/>
      <c r="AD636" s="559"/>
      <c r="AE636" s="559"/>
      <c r="AF636" s="559"/>
      <c r="AG636" s="559"/>
      <c r="AH636" s="559"/>
      <c r="AI636" s="559"/>
      <c r="AJ636" s="559"/>
      <c r="AK636" s="559"/>
      <c r="AL636" s="559"/>
      <c r="AM636" s="559"/>
      <c r="AN636" s="559"/>
    </row>
    <row r="637">
      <c r="A637" s="559"/>
      <c r="B637" s="559"/>
      <c r="C637" s="559"/>
      <c r="D637" s="559"/>
      <c r="E637" s="559"/>
      <c r="F637" s="559"/>
      <c r="G637" s="559"/>
      <c r="H637" s="559"/>
      <c r="I637" s="559"/>
      <c r="J637" s="559"/>
      <c r="K637" s="559"/>
      <c r="L637" s="559"/>
      <c r="M637" s="559"/>
      <c r="N637" s="559"/>
      <c r="O637" s="559"/>
      <c r="P637" s="559"/>
      <c r="Q637" s="559"/>
      <c r="R637" s="559"/>
      <c r="S637" s="559"/>
      <c r="T637" s="559"/>
      <c r="U637" s="559"/>
      <c r="V637" s="559"/>
      <c r="W637" s="559"/>
      <c r="X637" s="559"/>
      <c r="Y637" s="559"/>
      <c r="Z637" s="559"/>
      <c r="AA637" s="559"/>
      <c r="AB637" s="559"/>
      <c r="AC637" s="559"/>
      <c r="AD637" s="559"/>
      <c r="AE637" s="559"/>
      <c r="AF637" s="559"/>
      <c r="AG637" s="559"/>
      <c r="AH637" s="559"/>
      <c r="AI637" s="559"/>
      <c r="AJ637" s="559"/>
      <c r="AK637" s="559"/>
      <c r="AL637" s="559"/>
      <c r="AM637" s="559"/>
      <c r="AN637" s="559"/>
    </row>
    <row r="638">
      <c r="A638" s="559"/>
      <c r="B638" s="559"/>
      <c r="C638" s="559"/>
      <c r="D638" s="559"/>
      <c r="E638" s="559"/>
      <c r="F638" s="559"/>
      <c r="G638" s="559"/>
      <c r="H638" s="559"/>
      <c r="I638" s="559"/>
      <c r="J638" s="559"/>
      <c r="K638" s="559"/>
      <c r="L638" s="559"/>
      <c r="M638" s="559"/>
      <c r="N638" s="559"/>
      <c r="O638" s="559"/>
      <c r="P638" s="559"/>
      <c r="Q638" s="559"/>
      <c r="R638" s="559"/>
      <c r="S638" s="559"/>
      <c r="T638" s="559"/>
      <c r="U638" s="559"/>
      <c r="V638" s="559"/>
      <c r="W638" s="559"/>
      <c r="X638" s="559"/>
      <c r="Y638" s="559"/>
      <c r="Z638" s="559"/>
      <c r="AA638" s="559"/>
      <c r="AB638" s="559"/>
      <c r="AC638" s="559"/>
      <c r="AD638" s="559"/>
      <c r="AE638" s="559"/>
      <c r="AF638" s="559"/>
      <c r="AG638" s="559"/>
      <c r="AH638" s="559"/>
      <c r="AI638" s="559"/>
      <c r="AJ638" s="559"/>
      <c r="AK638" s="559"/>
      <c r="AL638" s="559"/>
      <c r="AM638" s="559"/>
      <c r="AN638" s="559"/>
    </row>
    <row r="639">
      <c r="A639" s="559"/>
      <c r="B639" s="559"/>
      <c r="C639" s="559"/>
      <c r="D639" s="559"/>
      <c r="E639" s="559"/>
      <c r="F639" s="559"/>
      <c r="G639" s="559"/>
      <c r="H639" s="559"/>
      <c r="I639" s="559"/>
      <c r="J639" s="559"/>
      <c r="K639" s="559"/>
      <c r="L639" s="559"/>
      <c r="M639" s="559"/>
      <c r="N639" s="559"/>
      <c r="O639" s="559"/>
      <c r="P639" s="559"/>
      <c r="Q639" s="559"/>
      <c r="R639" s="559"/>
      <c r="S639" s="559"/>
      <c r="T639" s="559"/>
      <c r="U639" s="559"/>
      <c r="V639" s="559"/>
      <c r="W639" s="559"/>
      <c r="X639" s="559"/>
      <c r="Y639" s="559"/>
      <c r="Z639" s="559"/>
      <c r="AA639" s="559"/>
      <c r="AB639" s="559"/>
      <c r="AC639" s="559"/>
      <c r="AD639" s="559"/>
      <c r="AE639" s="559"/>
      <c r="AF639" s="559"/>
      <c r="AG639" s="559"/>
      <c r="AH639" s="559"/>
      <c r="AI639" s="559"/>
      <c r="AJ639" s="559"/>
      <c r="AK639" s="559"/>
      <c r="AL639" s="559"/>
      <c r="AM639" s="559"/>
      <c r="AN639" s="559"/>
    </row>
    <row r="640">
      <c r="A640" s="559"/>
      <c r="B640" s="559"/>
      <c r="C640" s="559"/>
      <c r="D640" s="559"/>
      <c r="E640" s="559"/>
      <c r="F640" s="559"/>
      <c r="G640" s="559"/>
      <c r="H640" s="559"/>
      <c r="I640" s="559"/>
      <c r="J640" s="559"/>
      <c r="K640" s="559"/>
      <c r="L640" s="559"/>
      <c r="M640" s="559"/>
      <c r="N640" s="559"/>
      <c r="O640" s="559"/>
      <c r="P640" s="559"/>
      <c r="Q640" s="559"/>
      <c r="R640" s="559"/>
      <c r="S640" s="559"/>
      <c r="T640" s="559"/>
      <c r="U640" s="559"/>
      <c r="V640" s="559"/>
      <c r="W640" s="559"/>
      <c r="X640" s="559"/>
      <c r="Y640" s="559"/>
      <c r="Z640" s="559"/>
      <c r="AA640" s="559"/>
      <c r="AB640" s="559"/>
      <c r="AC640" s="559"/>
      <c r="AD640" s="559"/>
      <c r="AE640" s="559"/>
      <c r="AF640" s="559"/>
      <c r="AG640" s="559"/>
      <c r="AH640" s="559"/>
      <c r="AI640" s="559"/>
      <c r="AJ640" s="559"/>
      <c r="AK640" s="559"/>
      <c r="AL640" s="559"/>
      <c r="AM640" s="559"/>
      <c r="AN640" s="559"/>
    </row>
    <row r="641">
      <c r="A641" s="559"/>
      <c r="B641" s="559"/>
      <c r="C641" s="559"/>
      <c r="D641" s="559"/>
      <c r="E641" s="559"/>
      <c r="F641" s="559"/>
      <c r="G641" s="559"/>
      <c r="H641" s="559"/>
      <c r="I641" s="559"/>
      <c r="J641" s="559"/>
      <c r="K641" s="559"/>
      <c r="L641" s="559"/>
      <c r="M641" s="559"/>
      <c r="N641" s="559"/>
      <c r="O641" s="559"/>
      <c r="P641" s="559"/>
      <c r="Q641" s="559"/>
      <c r="R641" s="559"/>
      <c r="S641" s="559"/>
      <c r="T641" s="559"/>
      <c r="U641" s="559"/>
      <c r="V641" s="559"/>
      <c r="W641" s="559"/>
      <c r="X641" s="559"/>
      <c r="Y641" s="559"/>
      <c r="Z641" s="559"/>
      <c r="AA641" s="559"/>
      <c r="AB641" s="559"/>
      <c r="AC641" s="559"/>
      <c r="AD641" s="559"/>
      <c r="AE641" s="559"/>
      <c r="AF641" s="559"/>
      <c r="AG641" s="559"/>
      <c r="AH641" s="559"/>
      <c r="AI641" s="559"/>
      <c r="AJ641" s="559"/>
      <c r="AK641" s="559"/>
      <c r="AL641" s="559"/>
      <c r="AM641" s="559"/>
      <c r="AN641" s="559"/>
    </row>
    <row r="642">
      <c r="A642" s="559"/>
      <c r="B642" s="559"/>
      <c r="C642" s="559"/>
      <c r="D642" s="559"/>
      <c r="E642" s="559"/>
      <c r="F642" s="559"/>
      <c r="G642" s="559"/>
      <c r="H642" s="559"/>
      <c r="I642" s="559"/>
      <c r="J642" s="559"/>
      <c r="K642" s="559"/>
      <c r="L642" s="559"/>
      <c r="M642" s="559"/>
      <c r="N642" s="559"/>
      <c r="O642" s="559"/>
      <c r="P642" s="559"/>
      <c r="Q642" s="559"/>
      <c r="R642" s="559"/>
      <c r="S642" s="559"/>
      <c r="T642" s="559"/>
      <c r="U642" s="559"/>
      <c r="V642" s="559"/>
      <c r="W642" s="559"/>
      <c r="X642" s="559"/>
      <c r="Y642" s="559"/>
      <c r="Z642" s="559"/>
      <c r="AA642" s="559"/>
      <c r="AB642" s="559"/>
      <c r="AC642" s="559"/>
      <c r="AD642" s="559"/>
      <c r="AE642" s="559"/>
      <c r="AF642" s="559"/>
      <c r="AG642" s="559"/>
      <c r="AH642" s="559"/>
      <c r="AI642" s="559"/>
      <c r="AJ642" s="559"/>
      <c r="AK642" s="559"/>
      <c r="AL642" s="559"/>
      <c r="AM642" s="559"/>
      <c r="AN642" s="559"/>
    </row>
    <row r="643">
      <c r="A643" s="559"/>
      <c r="B643" s="559"/>
      <c r="C643" s="559"/>
      <c r="D643" s="559"/>
      <c r="E643" s="559"/>
      <c r="F643" s="559"/>
      <c r="G643" s="559"/>
      <c r="H643" s="559"/>
      <c r="I643" s="559"/>
      <c r="J643" s="559"/>
      <c r="K643" s="559"/>
      <c r="L643" s="559"/>
      <c r="M643" s="559"/>
      <c r="N643" s="559"/>
      <c r="O643" s="559"/>
      <c r="P643" s="559"/>
      <c r="Q643" s="559"/>
      <c r="R643" s="559"/>
      <c r="S643" s="559"/>
      <c r="T643" s="559"/>
      <c r="U643" s="559"/>
      <c r="V643" s="559"/>
      <c r="W643" s="559"/>
      <c r="X643" s="559"/>
      <c r="Y643" s="559"/>
      <c r="Z643" s="559"/>
      <c r="AA643" s="559"/>
      <c r="AB643" s="559"/>
      <c r="AC643" s="559"/>
      <c r="AD643" s="559"/>
      <c r="AE643" s="559"/>
      <c r="AF643" s="559"/>
      <c r="AG643" s="559"/>
      <c r="AH643" s="559"/>
      <c r="AI643" s="559"/>
      <c r="AJ643" s="559"/>
      <c r="AK643" s="559"/>
      <c r="AL643" s="559"/>
      <c r="AM643" s="559"/>
      <c r="AN643" s="559"/>
    </row>
    <row r="644">
      <c r="A644" s="559"/>
      <c r="B644" s="559"/>
      <c r="C644" s="559"/>
      <c r="D644" s="559"/>
      <c r="E644" s="559"/>
      <c r="F644" s="559"/>
      <c r="G644" s="559"/>
      <c r="H644" s="559"/>
      <c r="I644" s="559"/>
      <c r="J644" s="559"/>
      <c r="K644" s="559"/>
      <c r="L644" s="559"/>
      <c r="M644" s="559"/>
      <c r="N644" s="559"/>
      <c r="O644" s="559"/>
      <c r="P644" s="559"/>
      <c r="Q644" s="559"/>
      <c r="R644" s="559"/>
      <c r="S644" s="559"/>
      <c r="T644" s="559"/>
      <c r="U644" s="559"/>
      <c r="V644" s="559"/>
      <c r="W644" s="559"/>
      <c r="X644" s="559"/>
      <c r="Y644" s="559"/>
      <c r="Z644" s="559"/>
      <c r="AA644" s="559"/>
      <c r="AB644" s="559"/>
      <c r="AC644" s="559"/>
      <c r="AD644" s="559"/>
      <c r="AE644" s="559"/>
      <c r="AF644" s="559"/>
      <c r="AG644" s="559"/>
      <c r="AH644" s="559"/>
      <c r="AI644" s="559"/>
      <c r="AJ644" s="559"/>
      <c r="AK644" s="559"/>
      <c r="AL644" s="559"/>
      <c r="AM644" s="559"/>
      <c r="AN644" s="559"/>
    </row>
    <row r="645">
      <c r="A645" s="559"/>
      <c r="B645" s="559"/>
      <c r="C645" s="559"/>
      <c r="D645" s="559"/>
      <c r="E645" s="559"/>
      <c r="F645" s="559"/>
      <c r="G645" s="559"/>
      <c r="H645" s="559"/>
      <c r="I645" s="559"/>
      <c r="J645" s="559"/>
      <c r="K645" s="559"/>
      <c r="L645" s="559"/>
      <c r="M645" s="559"/>
      <c r="N645" s="559"/>
      <c r="O645" s="559"/>
      <c r="P645" s="559"/>
      <c r="Q645" s="559"/>
      <c r="R645" s="559"/>
      <c r="S645" s="559"/>
      <c r="T645" s="559"/>
      <c r="U645" s="559"/>
      <c r="V645" s="559"/>
      <c r="W645" s="559"/>
      <c r="X645" s="559"/>
      <c r="Y645" s="559"/>
      <c r="Z645" s="559"/>
      <c r="AA645" s="559"/>
      <c r="AB645" s="559"/>
      <c r="AC645" s="559"/>
      <c r="AD645" s="559"/>
      <c r="AE645" s="559"/>
      <c r="AF645" s="559"/>
      <c r="AG645" s="559"/>
      <c r="AH645" s="559"/>
      <c r="AI645" s="559"/>
      <c r="AJ645" s="559"/>
      <c r="AK645" s="559"/>
      <c r="AL645" s="559"/>
      <c r="AM645" s="559"/>
      <c r="AN645" s="559"/>
    </row>
    <row r="646">
      <c r="A646" s="559"/>
      <c r="B646" s="559"/>
      <c r="C646" s="559"/>
      <c r="D646" s="559"/>
      <c r="E646" s="559"/>
      <c r="F646" s="559"/>
      <c r="G646" s="559"/>
      <c r="H646" s="559"/>
      <c r="I646" s="559"/>
      <c r="J646" s="559"/>
      <c r="K646" s="559"/>
      <c r="L646" s="559"/>
      <c r="M646" s="559"/>
      <c r="N646" s="559"/>
      <c r="O646" s="559"/>
      <c r="P646" s="559"/>
      <c r="Q646" s="559"/>
      <c r="R646" s="559"/>
      <c r="S646" s="559"/>
      <c r="T646" s="559"/>
      <c r="U646" s="559"/>
      <c r="V646" s="559"/>
      <c r="W646" s="559"/>
      <c r="X646" s="559"/>
      <c r="Y646" s="559"/>
      <c r="Z646" s="559"/>
      <c r="AA646" s="559"/>
      <c r="AB646" s="559"/>
      <c r="AC646" s="559"/>
      <c r="AD646" s="559"/>
      <c r="AE646" s="559"/>
      <c r="AF646" s="559"/>
      <c r="AG646" s="559"/>
      <c r="AH646" s="559"/>
      <c r="AI646" s="559"/>
      <c r="AJ646" s="559"/>
      <c r="AK646" s="559"/>
      <c r="AL646" s="559"/>
      <c r="AM646" s="559"/>
      <c r="AN646" s="559"/>
    </row>
    <row r="647">
      <c r="A647" s="559"/>
      <c r="B647" s="559"/>
      <c r="C647" s="559"/>
      <c r="D647" s="559"/>
      <c r="E647" s="559"/>
      <c r="F647" s="559"/>
      <c r="G647" s="559"/>
      <c r="H647" s="559"/>
      <c r="I647" s="559"/>
      <c r="J647" s="559"/>
      <c r="K647" s="559"/>
      <c r="L647" s="559"/>
      <c r="M647" s="559"/>
      <c r="N647" s="559"/>
      <c r="O647" s="559"/>
      <c r="P647" s="559"/>
      <c r="Q647" s="559"/>
      <c r="R647" s="559"/>
      <c r="S647" s="559"/>
      <c r="T647" s="559"/>
      <c r="U647" s="559"/>
      <c r="V647" s="559"/>
      <c r="W647" s="559"/>
      <c r="X647" s="559"/>
      <c r="Y647" s="559"/>
      <c r="Z647" s="559"/>
      <c r="AA647" s="559"/>
      <c r="AB647" s="559"/>
      <c r="AC647" s="559"/>
      <c r="AD647" s="559"/>
      <c r="AE647" s="559"/>
      <c r="AF647" s="559"/>
      <c r="AG647" s="559"/>
      <c r="AH647" s="559"/>
      <c r="AI647" s="559"/>
      <c r="AJ647" s="559"/>
      <c r="AK647" s="559"/>
      <c r="AL647" s="559"/>
      <c r="AM647" s="559"/>
      <c r="AN647" s="559"/>
    </row>
    <row r="648">
      <c r="A648" s="559"/>
      <c r="B648" s="559"/>
      <c r="C648" s="559"/>
      <c r="D648" s="559"/>
      <c r="E648" s="559"/>
      <c r="F648" s="559"/>
      <c r="G648" s="559"/>
      <c r="H648" s="559"/>
      <c r="I648" s="559"/>
      <c r="J648" s="559"/>
      <c r="K648" s="559"/>
      <c r="L648" s="559"/>
      <c r="M648" s="559"/>
      <c r="N648" s="559"/>
      <c r="O648" s="559"/>
      <c r="P648" s="559"/>
      <c r="Q648" s="559"/>
      <c r="R648" s="559"/>
      <c r="S648" s="559"/>
      <c r="T648" s="559"/>
      <c r="U648" s="559"/>
      <c r="V648" s="559"/>
      <c r="W648" s="559"/>
      <c r="X648" s="559"/>
      <c r="Y648" s="559"/>
      <c r="Z648" s="559"/>
      <c r="AA648" s="559"/>
      <c r="AB648" s="559"/>
      <c r="AC648" s="559"/>
      <c r="AD648" s="559"/>
      <c r="AE648" s="559"/>
      <c r="AF648" s="559"/>
      <c r="AG648" s="559"/>
      <c r="AH648" s="559"/>
      <c r="AI648" s="559"/>
      <c r="AJ648" s="559"/>
      <c r="AK648" s="559"/>
      <c r="AL648" s="559"/>
      <c r="AM648" s="559"/>
      <c r="AN648" s="559"/>
    </row>
    <row r="649">
      <c r="A649" s="559"/>
      <c r="B649" s="559"/>
      <c r="C649" s="559"/>
      <c r="D649" s="559"/>
      <c r="E649" s="559"/>
      <c r="F649" s="559"/>
      <c r="G649" s="559"/>
      <c r="H649" s="559"/>
      <c r="I649" s="559"/>
      <c r="J649" s="559"/>
      <c r="K649" s="559"/>
      <c r="L649" s="559"/>
      <c r="M649" s="559"/>
      <c r="N649" s="559"/>
      <c r="O649" s="559"/>
      <c r="P649" s="559"/>
      <c r="Q649" s="559"/>
      <c r="R649" s="559"/>
      <c r="S649" s="559"/>
      <c r="T649" s="559"/>
      <c r="U649" s="559"/>
      <c r="V649" s="559"/>
      <c r="W649" s="559"/>
      <c r="X649" s="559"/>
      <c r="Y649" s="559"/>
      <c r="Z649" s="559"/>
      <c r="AA649" s="559"/>
      <c r="AB649" s="559"/>
      <c r="AC649" s="559"/>
      <c r="AD649" s="559"/>
      <c r="AE649" s="559"/>
      <c r="AF649" s="559"/>
      <c r="AG649" s="559"/>
      <c r="AH649" s="559"/>
      <c r="AI649" s="559"/>
      <c r="AJ649" s="559"/>
      <c r="AK649" s="559"/>
      <c r="AL649" s="559"/>
      <c r="AM649" s="559"/>
      <c r="AN649" s="559"/>
    </row>
    <row r="650">
      <c r="A650" s="559"/>
      <c r="B650" s="559"/>
      <c r="C650" s="559"/>
      <c r="D650" s="559"/>
      <c r="E650" s="559"/>
      <c r="F650" s="559"/>
      <c r="G650" s="559"/>
      <c r="H650" s="559"/>
      <c r="I650" s="559"/>
      <c r="J650" s="559"/>
      <c r="K650" s="559"/>
      <c r="L650" s="559"/>
      <c r="M650" s="559"/>
      <c r="N650" s="559"/>
      <c r="O650" s="559"/>
      <c r="P650" s="559"/>
      <c r="Q650" s="559"/>
      <c r="R650" s="559"/>
      <c r="S650" s="559"/>
      <c r="T650" s="559"/>
      <c r="U650" s="559"/>
      <c r="V650" s="559"/>
      <c r="W650" s="559"/>
      <c r="X650" s="559"/>
      <c r="Y650" s="559"/>
      <c r="Z650" s="559"/>
      <c r="AA650" s="559"/>
      <c r="AB650" s="559"/>
      <c r="AC650" s="559"/>
      <c r="AD650" s="559"/>
      <c r="AE650" s="559"/>
      <c r="AF650" s="559"/>
      <c r="AG650" s="559"/>
      <c r="AH650" s="559"/>
      <c r="AI650" s="559"/>
      <c r="AJ650" s="559"/>
      <c r="AK650" s="559"/>
      <c r="AL650" s="559"/>
      <c r="AM650" s="559"/>
      <c r="AN650" s="559"/>
    </row>
    <row r="651">
      <c r="A651" s="559"/>
      <c r="B651" s="559"/>
      <c r="C651" s="559"/>
      <c r="D651" s="559"/>
      <c r="E651" s="559"/>
      <c r="F651" s="559"/>
      <c r="G651" s="559"/>
      <c r="H651" s="559"/>
      <c r="I651" s="559"/>
      <c r="J651" s="559"/>
      <c r="K651" s="559"/>
      <c r="L651" s="559"/>
      <c r="M651" s="559"/>
      <c r="N651" s="559"/>
      <c r="O651" s="559"/>
      <c r="P651" s="559"/>
      <c r="Q651" s="559"/>
      <c r="R651" s="559"/>
      <c r="S651" s="559"/>
      <c r="T651" s="559"/>
      <c r="U651" s="559"/>
      <c r="V651" s="559"/>
      <c r="W651" s="559"/>
      <c r="X651" s="559"/>
      <c r="Y651" s="559"/>
      <c r="Z651" s="559"/>
      <c r="AA651" s="559"/>
      <c r="AB651" s="559"/>
      <c r="AC651" s="559"/>
      <c r="AD651" s="559"/>
      <c r="AE651" s="559"/>
      <c r="AF651" s="559"/>
      <c r="AG651" s="559"/>
      <c r="AH651" s="559"/>
      <c r="AI651" s="559"/>
      <c r="AJ651" s="559"/>
      <c r="AK651" s="559"/>
      <c r="AL651" s="559"/>
      <c r="AM651" s="559"/>
      <c r="AN651" s="559"/>
    </row>
    <row r="652">
      <c r="A652" s="559"/>
      <c r="B652" s="559"/>
      <c r="C652" s="559"/>
      <c r="D652" s="559"/>
      <c r="E652" s="559"/>
      <c r="F652" s="559"/>
      <c r="G652" s="559"/>
      <c r="H652" s="559"/>
      <c r="I652" s="559"/>
      <c r="J652" s="559"/>
      <c r="K652" s="559"/>
      <c r="L652" s="559"/>
      <c r="M652" s="559"/>
      <c r="N652" s="559"/>
      <c r="O652" s="559"/>
      <c r="P652" s="559"/>
      <c r="Q652" s="559"/>
      <c r="R652" s="559"/>
      <c r="S652" s="559"/>
      <c r="T652" s="559"/>
      <c r="U652" s="559"/>
      <c r="V652" s="559"/>
      <c r="W652" s="559"/>
      <c r="X652" s="559"/>
      <c r="Y652" s="559"/>
      <c r="Z652" s="559"/>
      <c r="AA652" s="559"/>
      <c r="AB652" s="559"/>
      <c r="AC652" s="559"/>
      <c r="AD652" s="559"/>
      <c r="AE652" s="559"/>
      <c r="AF652" s="559"/>
      <c r="AG652" s="559"/>
      <c r="AH652" s="559"/>
      <c r="AI652" s="559"/>
      <c r="AJ652" s="559"/>
      <c r="AK652" s="559"/>
      <c r="AL652" s="559"/>
      <c r="AM652" s="559"/>
      <c r="AN652" s="559"/>
    </row>
    <row r="653">
      <c r="A653" s="559"/>
      <c r="B653" s="559"/>
      <c r="C653" s="559"/>
      <c r="D653" s="559"/>
      <c r="E653" s="559"/>
      <c r="F653" s="559"/>
      <c r="G653" s="559"/>
      <c r="H653" s="559"/>
      <c r="I653" s="559"/>
      <c r="J653" s="559"/>
      <c r="K653" s="559"/>
      <c r="L653" s="559"/>
      <c r="M653" s="559"/>
      <c r="N653" s="559"/>
      <c r="O653" s="559"/>
      <c r="P653" s="559"/>
      <c r="Q653" s="559"/>
      <c r="R653" s="559"/>
      <c r="S653" s="559"/>
      <c r="T653" s="559"/>
      <c r="U653" s="559"/>
      <c r="V653" s="559"/>
      <c r="W653" s="559"/>
      <c r="X653" s="559"/>
      <c r="Y653" s="559"/>
      <c r="Z653" s="559"/>
      <c r="AA653" s="559"/>
      <c r="AB653" s="559"/>
      <c r="AC653" s="559"/>
      <c r="AD653" s="559"/>
      <c r="AE653" s="559"/>
      <c r="AF653" s="559"/>
      <c r="AG653" s="559"/>
      <c r="AH653" s="559"/>
      <c r="AI653" s="559"/>
      <c r="AJ653" s="559"/>
      <c r="AK653" s="559"/>
      <c r="AL653" s="559"/>
      <c r="AM653" s="559"/>
      <c r="AN653" s="559"/>
    </row>
    <row r="654">
      <c r="A654" s="559"/>
      <c r="B654" s="559"/>
      <c r="C654" s="559"/>
      <c r="D654" s="559"/>
      <c r="E654" s="559"/>
      <c r="F654" s="559"/>
      <c r="G654" s="559"/>
      <c r="H654" s="559"/>
      <c r="I654" s="559"/>
      <c r="J654" s="559"/>
      <c r="K654" s="559"/>
      <c r="L654" s="559"/>
      <c r="M654" s="559"/>
      <c r="N654" s="559"/>
      <c r="O654" s="559"/>
      <c r="P654" s="559"/>
      <c r="Q654" s="559"/>
      <c r="R654" s="559"/>
      <c r="S654" s="559"/>
      <c r="T654" s="559"/>
      <c r="U654" s="559"/>
      <c r="V654" s="559"/>
      <c r="W654" s="559"/>
      <c r="X654" s="559"/>
      <c r="Y654" s="559"/>
      <c r="Z654" s="559"/>
      <c r="AA654" s="559"/>
      <c r="AB654" s="559"/>
      <c r="AC654" s="559"/>
      <c r="AD654" s="559"/>
      <c r="AE654" s="559"/>
      <c r="AF654" s="559"/>
      <c r="AG654" s="559"/>
      <c r="AH654" s="559"/>
      <c r="AI654" s="559"/>
      <c r="AJ654" s="559"/>
      <c r="AK654" s="559"/>
      <c r="AL654" s="559"/>
      <c r="AM654" s="559"/>
      <c r="AN654" s="559"/>
    </row>
    <row r="655">
      <c r="A655" s="559"/>
      <c r="B655" s="559"/>
      <c r="C655" s="559"/>
      <c r="D655" s="559"/>
      <c r="E655" s="559"/>
      <c r="F655" s="559"/>
      <c r="G655" s="559"/>
      <c r="H655" s="559"/>
      <c r="I655" s="559"/>
      <c r="J655" s="559"/>
      <c r="K655" s="559"/>
      <c r="L655" s="559"/>
      <c r="M655" s="559"/>
      <c r="N655" s="559"/>
      <c r="O655" s="559"/>
      <c r="P655" s="559"/>
      <c r="Q655" s="559"/>
      <c r="R655" s="559"/>
      <c r="S655" s="559"/>
      <c r="T655" s="559"/>
      <c r="U655" s="559"/>
      <c r="V655" s="559"/>
      <c r="W655" s="559"/>
      <c r="X655" s="559"/>
      <c r="Y655" s="559"/>
      <c r="Z655" s="559"/>
      <c r="AA655" s="559"/>
      <c r="AB655" s="559"/>
      <c r="AC655" s="559"/>
      <c r="AD655" s="559"/>
      <c r="AE655" s="559"/>
      <c r="AF655" s="559"/>
      <c r="AG655" s="559"/>
      <c r="AH655" s="559"/>
      <c r="AI655" s="559"/>
      <c r="AJ655" s="559"/>
      <c r="AK655" s="559"/>
      <c r="AL655" s="559"/>
      <c r="AM655" s="559"/>
      <c r="AN655" s="559"/>
    </row>
    <row r="656">
      <c r="A656" s="559"/>
      <c r="B656" s="559"/>
      <c r="C656" s="559"/>
      <c r="D656" s="559"/>
      <c r="E656" s="559"/>
      <c r="F656" s="559"/>
      <c r="G656" s="559"/>
      <c r="H656" s="559"/>
      <c r="I656" s="559"/>
      <c r="J656" s="559"/>
      <c r="K656" s="559"/>
      <c r="L656" s="559"/>
      <c r="M656" s="559"/>
      <c r="N656" s="559"/>
      <c r="O656" s="559"/>
      <c r="P656" s="559"/>
      <c r="Q656" s="559"/>
      <c r="R656" s="559"/>
      <c r="S656" s="559"/>
      <c r="T656" s="559"/>
      <c r="U656" s="559"/>
      <c r="V656" s="559"/>
      <c r="W656" s="559"/>
      <c r="X656" s="559"/>
      <c r="Y656" s="559"/>
      <c r="Z656" s="559"/>
      <c r="AA656" s="559"/>
      <c r="AB656" s="559"/>
      <c r="AC656" s="559"/>
      <c r="AD656" s="559"/>
      <c r="AE656" s="559"/>
      <c r="AF656" s="559"/>
      <c r="AG656" s="559"/>
      <c r="AH656" s="559"/>
      <c r="AI656" s="559"/>
      <c r="AJ656" s="559"/>
      <c r="AK656" s="559"/>
      <c r="AL656" s="559"/>
      <c r="AM656" s="559"/>
      <c r="AN656" s="559"/>
    </row>
    <row r="657">
      <c r="A657" s="559"/>
      <c r="B657" s="559"/>
      <c r="C657" s="559"/>
      <c r="D657" s="559"/>
      <c r="E657" s="559"/>
      <c r="F657" s="559"/>
      <c r="G657" s="559"/>
      <c r="H657" s="559"/>
      <c r="I657" s="559"/>
      <c r="J657" s="559"/>
      <c r="K657" s="559"/>
      <c r="L657" s="559"/>
      <c r="M657" s="559"/>
      <c r="N657" s="559"/>
      <c r="O657" s="559"/>
      <c r="P657" s="559"/>
      <c r="Q657" s="559"/>
      <c r="R657" s="559"/>
      <c r="S657" s="559"/>
      <c r="T657" s="559"/>
      <c r="U657" s="559"/>
      <c r="V657" s="559"/>
      <c r="W657" s="559"/>
      <c r="X657" s="559"/>
      <c r="Y657" s="559"/>
      <c r="Z657" s="559"/>
      <c r="AA657" s="559"/>
      <c r="AB657" s="559"/>
      <c r="AC657" s="559"/>
      <c r="AD657" s="559"/>
      <c r="AE657" s="559"/>
      <c r="AF657" s="559"/>
      <c r="AG657" s="559"/>
      <c r="AH657" s="559"/>
      <c r="AI657" s="559"/>
      <c r="AJ657" s="559"/>
      <c r="AK657" s="559"/>
      <c r="AL657" s="559"/>
      <c r="AM657" s="559"/>
      <c r="AN657" s="559"/>
    </row>
    <row r="658">
      <c r="A658" s="559"/>
      <c r="B658" s="559"/>
      <c r="C658" s="559"/>
      <c r="D658" s="559"/>
      <c r="E658" s="559"/>
      <c r="F658" s="559"/>
      <c r="G658" s="559"/>
      <c r="H658" s="559"/>
      <c r="I658" s="559"/>
      <c r="J658" s="559"/>
      <c r="K658" s="559"/>
      <c r="L658" s="559"/>
      <c r="M658" s="559"/>
      <c r="N658" s="559"/>
      <c r="O658" s="559"/>
      <c r="P658" s="559"/>
      <c r="Q658" s="559"/>
      <c r="R658" s="559"/>
      <c r="S658" s="559"/>
      <c r="T658" s="559"/>
      <c r="U658" s="559"/>
      <c r="V658" s="559"/>
      <c r="W658" s="559"/>
      <c r="X658" s="559"/>
      <c r="Y658" s="559"/>
      <c r="Z658" s="559"/>
      <c r="AA658" s="559"/>
      <c r="AB658" s="559"/>
      <c r="AC658" s="559"/>
      <c r="AD658" s="559"/>
      <c r="AE658" s="559"/>
      <c r="AF658" s="559"/>
      <c r="AG658" s="559"/>
      <c r="AH658" s="559"/>
      <c r="AI658" s="559"/>
      <c r="AJ658" s="559"/>
      <c r="AK658" s="559"/>
      <c r="AL658" s="559"/>
      <c r="AM658" s="559"/>
      <c r="AN658" s="559"/>
    </row>
    <row r="659">
      <c r="A659" s="559"/>
      <c r="B659" s="559"/>
      <c r="C659" s="559"/>
      <c r="D659" s="559"/>
      <c r="E659" s="559"/>
      <c r="F659" s="559"/>
      <c r="G659" s="559"/>
      <c r="H659" s="559"/>
      <c r="I659" s="559"/>
      <c r="J659" s="559"/>
      <c r="K659" s="559"/>
      <c r="L659" s="559"/>
      <c r="M659" s="559"/>
      <c r="N659" s="559"/>
      <c r="O659" s="559"/>
      <c r="P659" s="559"/>
      <c r="Q659" s="559"/>
      <c r="R659" s="559"/>
      <c r="S659" s="559"/>
      <c r="T659" s="559"/>
      <c r="U659" s="559"/>
      <c r="V659" s="559"/>
      <c r="W659" s="559"/>
      <c r="X659" s="559"/>
      <c r="Y659" s="559"/>
      <c r="Z659" s="559"/>
      <c r="AA659" s="559"/>
      <c r="AB659" s="559"/>
      <c r="AC659" s="559"/>
      <c r="AD659" s="559"/>
      <c r="AE659" s="559"/>
      <c r="AF659" s="559"/>
      <c r="AG659" s="559"/>
      <c r="AH659" s="559"/>
      <c r="AI659" s="559"/>
      <c r="AJ659" s="559"/>
      <c r="AK659" s="559"/>
      <c r="AL659" s="559"/>
      <c r="AM659" s="559"/>
      <c r="AN659" s="559"/>
    </row>
    <row r="660">
      <c r="A660" s="559"/>
      <c r="B660" s="559"/>
      <c r="C660" s="559"/>
      <c r="D660" s="559"/>
      <c r="E660" s="559"/>
      <c r="F660" s="559"/>
      <c r="G660" s="559"/>
      <c r="H660" s="559"/>
      <c r="I660" s="559"/>
      <c r="J660" s="559"/>
      <c r="K660" s="559"/>
      <c r="L660" s="559"/>
      <c r="M660" s="559"/>
      <c r="N660" s="559"/>
      <c r="O660" s="559"/>
      <c r="P660" s="559"/>
      <c r="Q660" s="559"/>
      <c r="R660" s="559"/>
      <c r="S660" s="559"/>
      <c r="T660" s="559"/>
      <c r="U660" s="559"/>
      <c r="V660" s="559"/>
      <c r="W660" s="559"/>
      <c r="X660" s="559"/>
      <c r="Y660" s="559"/>
      <c r="Z660" s="559"/>
      <c r="AA660" s="559"/>
      <c r="AB660" s="559"/>
      <c r="AC660" s="559"/>
      <c r="AD660" s="559"/>
      <c r="AE660" s="559"/>
      <c r="AF660" s="559"/>
      <c r="AG660" s="559"/>
      <c r="AH660" s="559"/>
      <c r="AI660" s="559"/>
      <c r="AJ660" s="559"/>
      <c r="AK660" s="559"/>
      <c r="AL660" s="559"/>
      <c r="AM660" s="559"/>
      <c r="AN660" s="559"/>
    </row>
    <row r="661">
      <c r="A661" s="559"/>
      <c r="B661" s="559"/>
      <c r="C661" s="559"/>
      <c r="D661" s="559"/>
      <c r="E661" s="559"/>
      <c r="F661" s="559"/>
      <c r="G661" s="559"/>
      <c r="H661" s="559"/>
      <c r="I661" s="559"/>
      <c r="J661" s="559"/>
      <c r="K661" s="559"/>
      <c r="L661" s="559"/>
      <c r="M661" s="559"/>
      <c r="N661" s="559"/>
      <c r="O661" s="559"/>
      <c r="P661" s="559"/>
      <c r="Q661" s="559"/>
      <c r="R661" s="559"/>
      <c r="S661" s="559"/>
      <c r="T661" s="559"/>
      <c r="U661" s="559"/>
      <c r="V661" s="559"/>
      <c r="W661" s="559"/>
      <c r="X661" s="559"/>
      <c r="Y661" s="559"/>
      <c r="Z661" s="559"/>
      <c r="AA661" s="559"/>
      <c r="AB661" s="559"/>
      <c r="AC661" s="559"/>
      <c r="AD661" s="559"/>
      <c r="AE661" s="559"/>
      <c r="AF661" s="559"/>
      <c r="AG661" s="559"/>
      <c r="AH661" s="559"/>
      <c r="AI661" s="559"/>
      <c r="AJ661" s="559"/>
      <c r="AK661" s="559"/>
      <c r="AL661" s="559"/>
      <c r="AM661" s="559"/>
      <c r="AN661" s="559"/>
    </row>
    <row r="662">
      <c r="A662" s="559"/>
      <c r="B662" s="559"/>
      <c r="C662" s="559"/>
      <c r="D662" s="559"/>
      <c r="E662" s="559"/>
      <c r="F662" s="559"/>
      <c r="G662" s="559"/>
      <c r="H662" s="559"/>
      <c r="I662" s="559"/>
      <c r="J662" s="559"/>
      <c r="K662" s="559"/>
      <c r="L662" s="559"/>
      <c r="M662" s="559"/>
      <c r="N662" s="559"/>
      <c r="O662" s="559"/>
      <c r="P662" s="559"/>
      <c r="Q662" s="559"/>
      <c r="R662" s="559"/>
      <c r="S662" s="559"/>
      <c r="T662" s="559"/>
      <c r="U662" s="559"/>
      <c r="V662" s="559"/>
      <c r="W662" s="559"/>
      <c r="X662" s="559"/>
      <c r="Y662" s="559"/>
      <c r="Z662" s="559"/>
      <c r="AA662" s="559"/>
      <c r="AB662" s="559"/>
      <c r="AC662" s="559"/>
      <c r="AD662" s="559"/>
      <c r="AE662" s="559"/>
      <c r="AF662" s="559"/>
      <c r="AG662" s="559"/>
      <c r="AH662" s="559"/>
      <c r="AI662" s="559"/>
      <c r="AJ662" s="559"/>
      <c r="AK662" s="559"/>
      <c r="AL662" s="559"/>
      <c r="AM662" s="559"/>
      <c r="AN662" s="559"/>
    </row>
    <row r="663">
      <c r="A663" s="559"/>
      <c r="B663" s="559"/>
      <c r="C663" s="559"/>
      <c r="D663" s="559"/>
      <c r="E663" s="559"/>
      <c r="F663" s="559"/>
      <c r="G663" s="559"/>
      <c r="H663" s="559"/>
      <c r="I663" s="559"/>
      <c r="J663" s="559"/>
      <c r="K663" s="559"/>
      <c r="L663" s="559"/>
      <c r="M663" s="559"/>
      <c r="N663" s="559"/>
      <c r="O663" s="559"/>
      <c r="P663" s="559"/>
      <c r="Q663" s="559"/>
      <c r="R663" s="559"/>
      <c r="S663" s="559"/>
      <c r="T663" s="559"/>
      <c r="U663" s="559"/>
      <c r="V663" s="559"/>
      <c r="W663" s="559"/>
      <c r="X663" s="559"/>
      <c r="Y663" s="559"/>
      <c r="Z663" s="559"/>
      <c r="AA663" s="559"/>
      <c r="AB663" s="559"/>
      <c r="AC663" s="559"/>
      <c r="AD663" s="559"/>
      <c r="AE663" s="559"/>
      <c r="AF663" s="559"/>
      <c r="AG663" s="559"/>
      <c r="AH663" s="559"/>
      <c r="AI663" s="559"/>
      <c r="AJ663" s="559"/>
      <c r="AK663" s="559"/>
      <c r="AL663" s="559"/>
      <c r="AM663" s="559"/>
      <c r="AN663" s="559"/>
    </row>
    <row r="664">
      <c r="A664" s="559"/>
      <c r="B664" s="559"/>
      <c r="C664" s="559"/>
      <c r="D664" s="559"/>
      <c r="E664" s="559"/>
      <c r="F664" s="559"/>
      <c r="G664" s="559"/>
      <c r="H664" s="559"/>
      <c r="I664" s="559"/>
      <c r="J664" s="559"/>
      <c r="K664" s="559"/>
      <c r="L664" s="559"/>
      <c r="M664" s="559"/>
      <c r="N664" s="559"/>
      <c r="O664" s="559"/>
      <c r="P664" s="559"/>
      <c r="Q664" s="559"/>
      <c r="R664" s="559"/>
      <c r="S664" s="559"/>
      <c r="T664" s="559"/>
      <c r="U664" s="559"/>
      <c r="V664" s="559"/>
      <c r="W664" s="559"/>
      <c r="X664" s="559"/>
      <c r="Y664" s="559"/>
      <c r="Z664" s="559"/>
      <c r="AA664" s="559"/>
      <c r="AB664" s="559"/>
      <c r="AC664" s="559"/>
      <c r="AD664" s="559"/>
      <c r="AE664" s="559"/>
      <c r="AF664" s="559"/>
      <c r="AG664" s="559"/>
      <c r="AH664" s="559"/>
      <c r="AI664" s="559"/>
      <c r="AJ664" s="559"/>
      <c r="AK664" s="559"/>
      <c r="AL664" s="559"/>
      <c r="AM664" s="559"/>
      <c r="AN664" s="559"/>
    </row>
    <row r="665">
      <c r="A665" s="559"/>
      <c r="B665" s="559"/>
      <c r="C665" s="559"/>
      <c r="D665" s="559"/>
      <c r="E665" s="559"/>
      <c r="F665" s="559"/>
      <c r="G665" s="559"/>
      <c r="H665" s="559"/>
      <c r="I665" s="559"/>
      <c r="J665" s="559"/>
      <c r="K665" s="559"/>
      <c r="L665" s="559"/>
      <c r="M665" s="559"/>
      <c r="N665" s="559"/>
      <c r="O665" s="559"/>
      <c r="P665" s="559"/>
      <c r="Q665" s="559"/>
      <c r="R665" s="559"/>
      <c r="S665" s="559"/>
      <c r="T665" s="559"/>
      <c r="U665" s="559"/>
      <c r="V665" s="559"/>
      <c r="W665" s="559"/>
      <c r="X665" s="559"/>
      <c r="Y665" s="559"/>
      <c r="Z665" s="559"/>
      <c r="AA665" s="559"/>
      <c r="AB665" s="559"/>
      <c r="AC665" s="559"/>
      <c r="AD665" s="559"/>
      <c r="AE665" s="559"/>
      <c r="AF665" s="559"/>
      <c r="AG665" s="559"/>
      <c r="AH665" s="559"/>
      <c r="AI665" s="559"/>
      <c r="AJ665" s="559"/>
      <c r="AK665" s="559"/>
      <c r="AL665" s="559"/>
      <c r="AM665" s="559"/>
      <c r="AN665" s="559"/>
    </row>
    <row r="666">
      <c r="A666" s="559"/>
      <c r="B666" s="559"/>
      <c r="C666" s="559"/>
      <c r="D666" s="559"/>
      <c r="E666" s="559"/>
      <c r="F666" s="559"/>
      <c r="G666" s="559"/>
      <c r="H666" s="559"/>
      <c r="I666" s="559"/>
      <c r="J666" s="559"/>
      <c r="K666" s="559"/>
      <c r="L666" s="559"/>
      <c r="M666" s="559"/>
      <c r="N666" s="559"/>
      <c r="O666" s="559"/>
      <c r="P666" s="559"/>
      <c r="Q666" s="559"/>
      <c r="R666" s="559"/>
      <c r="S666" s="559"/>
      <c r="T666" s="559"/>
      <c r="U666" s="559"/>
      <c r="V666" s="559"/>
      <c r="W666" s="559"/>
      <c r="X666" s="559"/>
      <c r="Y666" s="559"/>
      <c r="Z666" s="559"/>
      <c r="AA666" s="559"/>
      <c r="AB666" s="559"/>
      <c r="AC666" s="559"/>
      <c r="AD666" s="559"/>
      <c r="AE666" s="559"/>
      <c r="AF666" s="559"/>
      <c r="AG666" s="559"/>
      <c r="AH666" s="559"/>
      <c r="AI666" s="559"/>
      <c r="AJ666" s="559"/>
      <c r="AK666" s="559"/>
      <c r="AL666" s="559"/>
      <c r="AM666" s="559"/>
      <c r="AN666" s="559"/>
    </row>
    <row r="667">
      <c r="A667" s="559"/>
      <c r="B667" s="559"/>
      <c r="C667" s="559"/>
      <c r="D667" s="559"/>
      <c r="E667" s="559"/>
      <c r="F667" s="559"/>
      <c r="G667" s="559"/>
      <c r="H667" s="559"/>
      <c r="I667" s="559"/>
      <c r="J667" s="559"/>
      <c r="K667" s="559"/>
      <c r="L667" s="559"/>
      <c r="M667" s="559"/>
      <c r="N667" s="559"/>
      <c r="O667" s="559"/>
      <c r="P667" s="559"/>
      <c r="Q667" s="559"/>
      <c r="R667" s="559"/>
      <c r="S667" s="559"/>
      <c r="T667" s="559"/>
      <c r="U667" s="559"/>
      <c r="V667" s="559"/>
      <c r="W667" s="559"/>
      <c r="X667" s="559"/>
      <c r="Y667" s="559"/>
      <c r="Z667" s="559"/>
      <c r="AA667" s="559"/>
      <c r="AB667" s="559"/>
      <c r="AC667" s="559"/>
      <c r="AD667" s="559"/>
      <c r="AE667" s="559"/>
      <c r="AF667" s="559"/>
      <c r="AG667" s="559"/>
      <c r="AH667" s="559"/>
      <c r="AI667" s="559"/>
      <c r="AJ667" s="559"/>
      <c r="AK667" s="559"/>
      <c r="AL667" s="559"/>
      <c r="AM667" s="559"/>
      <c r="AN667" s="559"/>
    </row>
    <row r="668">
      <c r="A668" s="559"/>
      <c r="B668" s="559"/>
      <c r="C668" s="559"/>
      <c r="D668" s="559"/>
      <c r="E668" s="559"/>
      <c r="F668" s="559"/>
      <c r="G668" s="559"/>
      <c r="H668" s="559"/>
      <c r="I668" s="559"/>
      <c r="J668" s="559"/>
      <c r="K668" s="559"/>
      <c r="L668" s="559"/>
      <c r="M668" s="559"/>
      <c r="N668" s="559"/>
      <c r="O668" s="559"/>
      <c r="P668" s="559"/>
      <c r="Q668" s="559"/>
      <c r="R668" s="559"/>
      <c r="S668" s="559"/>
      <c r="T668" s="559"/>
      <c r="U668" s="559"/>
      <c r="V668" s="559"/>
      <c r="W668" s="559"/>
      <c r="X668" s="559"/>
      <c r="Y668" s="559"/>
      <c r="Z668" s="559"/>
      <c r="AA668" s="559"/>
      <c r="AB668" s="559"/>
      <c r="AC668" s="559"/>
      <c r="AD668" s="559"/>
      <c r="AE668" s="559"/>
      <c r="AF668" s="559"/>
      <c r="AG668" s="559"/>
      <c r="AH668" s="559"/>
      <c r="AI668" s="559"/>
      <c r="AJ668" s="559"/>
      <c r="AK668" s="559"/>
      <c r="AL668" s="559"/>
      <c r="AM668" s="559"/>
      <c r="AN668" s="559"/>
    </row>
    <row r="669">
      <c r="A669" s="559"/>
      <c r="B669" s="559"/>
      <c r="C669" s="559"/>
      <c r="D669" s="559"/>
      <c r="E669" s="559"/>
      <c r="F669" s="559"/>
      <c r="G669" s="559"/>
      <c r="H669" s="559"/>
      <c r="I669" s="559"/>
      <c r="J669" s="559"/>
      <c r="K669" s="559"/>
      <c r="L669" s="559"/>
      <c r="M669" s="559"/>
      <c r="N669" s="559"/>
      <c r="O669" s="559"/>
      <c r="P669" s="559"/>
      <c r="Q669" s="559"/>
      <c r="R669" s="559"/>
      <c r="S669" s="559"/>
      <c r="T669" s="559"/>
      <c r="U669" s="559"/>
      <c r="V669" s="559"/>
      <c r="W669" s="559"/>
      <c r="X669" s="559"/>
      <c r="Y669" s="559"/>
      <c r="Z669" s="559"/>
      <c r="AA669" s="559"/>
      <c r="AB669" s="559"/>
      <c r="AC669" s="559"/>
      <c r="AD669" s="559"/>
      <c r="AE669" s="559"/>
      <c r="AF669" s="559"/>
      <c r="AG669" s="559"/>
      <c r="AH669" s="559"/>
      <c r="AI669" s="559"/>
      <c r="AJ669" s="559"/>
      <c r="AK669" s="559"/>
      <c r="AL669" s="559"/>
      <c r="AM669" s="559"/>
      <c r="AN669" s="559"/>
    </row>
    <row r="670">
      <c r="A670" s="559"/>
      <c r="B670" s="559"/>
      <c r="C670" s="559"/>
      <c r="D670" s="559"/>
      <c r="E670" s="559"/>
      <c r="F670" s="559"/>
      <c r="G670" s="559"/>
      <c r="H670" s="559"/>
      <c r="I670" s="559"/>
      <c r="J670" s="559"/>
      <c r="K670" s="559"/>
      <c r="L670" s="559"/>
      <c r="M670" s="559"/>
      <c r="N670" s="559"/>
      <c r="O670" s="559"/>
      <c r="P670" s="559"/>
      <c r="Q670" s="559"/>
      <c r="R670" s="559"/>
      <c r="S670" s="559"/>
      <c r="T670" s="559"/>
      <c r="U670" s="559"/>
      <c r="V670" s="559"/>
      <c r="W670" s="559"/>
      <c r="X670" s="559"/>
      <c r="Y670" s="559"/>
      <c r="Z670" s="559"/>
      <c r="AA670" s="559"/>
      <c r="AB670" s="559"/>
      <c r="AC670" s="559"/>
      <c r="AD670" s="559"/>
      <c r="AE670" s="559"/>
      <c r="AF670" s="559"/>
      <c r="AG670" s="559"/>
      <c r="AH670" s="559"/>
      <c r="AI670" s="559"/>
      <c r="AJ670" s="559"/>
      <c r="AK670" s="559"/>
      <c r="AL670" s="559"/>
      <c r="AM670" s="559"/>
      <c r="AN670" s="559"/>
    </row>
    <row r="671">
      <c r="A671" s="559"/>
      <c r="B671" s="559"/>
      <c r="C671" s="559"/>
      <c r="D671" s="559"/>
      <c r="E671" s="559"/>
      <c r="F671" s="559"/>
      <c r="G671" s="559"/>
      <c r="H671" s="559"/>
      <c r="I671" s="559"/>
      <c r="J671" s="559"/>
      <c r="K671" s="559"/>
      <c r="L671" s="559"/>
      <c r="M671" s="559"/>
      <c r="N671" s="559"/>
      <c r="O671" s="559"/>
      <c r="P671" s="559"/>
      <c r="Q671" s="559"/>
      <c r="R671" s="559"/>
      <c r="S671" s="559"/>
      <c r="T671" s="559"/>
      <c r="U671" s="559"/>
      <c r="V671" s="559"/>
      <c r="W671" s="559"/>
      <c r="X671" s="559"/>
      <c r="Y671" s="559"/>
      <c r="Z671" s="559"/>
      <c r="AA671" s="559"/>
      <c r="AB671" s="559"/>
      <c r="AC671" s="559"/>
      <c r="AD671" s="559"/>
      <c r="AE671" s="559"/>
      <c r="AF671" s="559"/>
      <c r="AG671" s="559"/>
      <c r="AH671" s="559"/>
      <c r="AI671" s="559"/>
      <c r="AJ671" s="559"/>
      <c r="AK671" s="559"/>
      <c r="AL671" s="559"/>
      <c r="AM671" s="559"/>
      <c r="AN671" s="559"/>
    </row>
    <row r="672">
      <c r="A672" s="559"/>
      <c r="B672" s="559"/>
      <c r="C672" s="559"/>
      <c r="D672" s="559"/>
      <c r="E672" s="559"/>
      <c r="F672" s="559"/>
      <c r="G672" s="559"/>
      <c r="H672" s="559"/>
      <c r="I672" s="559"/>
      <c r="J672" s="559"/>
      <c r="K672" s="559"/>
      <c r="L672" s="559"/>
      <c r="M672" s="559"/>
      <c r="N672" s="559"/>
      <c r="O672" s="559"/>
      <c r="P672" s="559"/>
      <c r="Q672" s="559"/>
      <c r="R672" s="559"/>
      <c r="S672" s="559"/>
      <c r="T672" s="559"/>
      <c r="U672" s="559"/>
      <c r="V672" s="559"/>
      <c r="W672" s="559"/>
      <c r="X672" s="559"/>
      <c r="Y672" s="559"/>
      <c r="Z672" s="559"/>
      <c r="AA672" s="559"/>
      <c r="AB672" s="559"/>
      <c r="AC672" s="559"/>
      <c r="AD672" s="559"/>
      <c r="AE672" s="559"/>
      <c r="AF672" s="559"/>
      <c r="AG672" s="559"/>
      <c r="AH672" s="559"/>
      <c r="AI672" s="559"/>
      <c r="AJ672" s="559"/>
      <c r="AK672" s="559"/>
      <c r="AL672" s="559"/>
      <c r="AM672" s="559"/>
      <c r="AN672" s="559"/>
    </row>
    <row r="673">
      <c r="A673" s="559"/>
      <c r="B673" s="559"/>
      <c r="C673" s="559"/>
      <c r="D673" s="559"/>
      <c r="E673" s="559"/>
      <c r="F673" s="559"/>
      <c r="G673" s="559"/>
      <c r="H673" s="559"/>
      <c r="I673" s="559"/>
      <c r="J673" s="559"/>
      <c r="K673" s="559"/>
      <c r="L673" s="559"/>
      <c r="M673" s="559"/>
      <c r="N673" s="559"/>
      <c r="O673" s="559"/>
      <c r="P673" s="559"/>
      <c r="Q673" s="559"/>
      <c r="R673" s="559"/>
      <c r="S673" s="559"/>
      <c r="T673" s="559"/>
      <c r="U673" s="559"/>
      <c r="V673" s="559"/>
      <c r="W673" s="559"/>
      <c r="X673" s="559"/>
      <c r="Y673" s="559"/>
      <c r="Z673" s="559"/>
      <c r="AA673" s="559"/>
      <c r="AB673" s="559"/>
      <c r="AC673" s="559"/>
      <c r="AD673" s="559"/>
      <c r="AE673" s="559"/>
      <c r="AF673" s="559"/>
      <c r="AG673" s="559"/>
      <c r="AH673" s="559"/>
      <c r="AI673" s="559"/>
      <c r="AJ673" s="559"/>
      <c r="AK673" s="559"/>
      <c r="AL673" s="559"/>
      <c r="AM673" s="559"/>
      <c r="AN673" s="559"/>
    </row>
    <row r="674">
      <c r="A674" s="559"/>
      <c r="B674" s="559"/>
      <c r="C674" s="559"/>
      <c r="D674" s="559"/>
      <c r="E674" s="559"/>
      <c r="F674" s="559"/>
      <c r="G674" s="559"/>
      <c r="H674" s="559"/>
      <c r="I674" s="559"/>
      <c r="J674" s="559"/>
      <c r="K674" s="559"/>
      <c r="L674" s="559"/>
      <c r="M674" s="559"/>
      <c r="N674" s="559"/>
      <c r="O674" s="559"/>
      <c r="P674" s="559"/>
      <c r="Q674" s="559"/>
      <c r="R674" s="559"/>
      <c r="S674" s="559"/>
      <c r="T674" s="559"/>
      <c r="U674" s="559"/>
      <c r="V674" s="559"/>
      <c r="W674" s="559"/>
      <c r="X674" s="559"/>
      <c r="Y674" s="559"/>
      <c r="Z674" s="559"/>
      <c r="AA674" s="559"/>
      <c r="AB674" s="559"/>
      <c r="AC674" s="559"/>
      <c r="AD674" s="559"/>
      <c r="AE674" s="559"/>
      <c r="AF674" s="559"/>
      <c r="AG674" s="559"/>
      <c r="AH674" s="559"/>
      <c r="AI674" s="559"/>
      <c r="AJ674" s="559"/>
      <c r="AK674" s="559"/>
      <c r="AL674" s="559"/>
      <c r="AM674" s="559"/>
      <c r="AN674" s="559"/>
    </row>
    <row r="675">
      <c r="A675" s="559"/>
      <c r="B675" s="559"/>
      <c r="C675" s="559"/>
      <c r="D675" s="559"/>
      <c r="E675" s="559"/>
      <c r="F675" s="559"/>
      <c r="G675" s="559"/>
      <c r="H675" s="559"/>
      <c r="I675" s="559"/>
      <c r="J675" s="559"/>
      <c r="K675" s="559"/>
      <c r="L675" s="559"/>
      <c r="M675" s="559"/>
      <c r="N675" s="559"/>
      <c r="O675" s="559"/>
      <c r="P675" s="559"/>
      <c r="Q675" s="559"/>
      <c r="R675" s="559"/>
      <c r="S675" s="559"/>
      <c r="T675" s="559"/>
      <c r="U675" s="559"/>
      <c r="V675" s="559"/>
      <c r="W675" s="559"/>
      <c r="X675" s="559"/>
      <c r="Y675" s="559"/>
      <c r="Z675" s="559"/>
      <c r="AA675" s="559"/>
      <c r="AB675" s="559"/>
      <c r="AC675" s="559"/>
      <c r="AD675" s="559"/>
      <c r="AE675" s="559"/>
      <c r="AF675" s="559"/>
      <c r="AG675" s="559"/>
      <c r="AH675" s="559"/>
      <c r="AI675" s="559"/>
      <c r="AJ675" s="559"/>
      <c r="AK675" s="559"/>
      <c r="AL675" s="559"/>
      <c r="AM675" s="559"/>
      <c r="AN675" s="559"/>
    </row>
    <row r="676">
      <c r="A676" s="559"/>
      <c r="B676" s="559"/>
      <c r="C676" s="559"/>
      <c r="D676" s="559"/>
      <c r="E676" s="559"/>
      <c r="F676" s="559"/>
      <c r="G676" s="559"/>
      <c r="H676" s="559"/>
      <c r="I676" s="559"/>
      <c r="J676" s="559"/>
      <c r="K676" s="559"/>
      <c r="L676" s="559"/>
      <c r="M676" s="559"/>
      <c r="N676" s="559"/>
      <c r="O676" s="559"/>
      <c r="P676" s="559"/>
      <c r="Q676" s="559"/>
      <c r="R676" s="559"/>
      <c r="S676" s="559"/>
      <c r="T676" s="559"/>
      <c r="U676" s="559"/>
      <c r="V676" s="559"/>
      <c r="W676" s="559"/>
      <c r="X676" s="559"/>
      <c r="Y676" s="559"/>
      <c r="Z676" s="559"/>
      <c r="AA676" s="559"/>
      <c r="AB676" s="559"/>
      <c r="AC676" s="559"/>
      <c r="AD676" s="559"/>
      <c r="AE676" s="559"/>
      <c r="AF676" s="559"/>
      <c r="AG676" s="559"/>
      <c r="AH676" s="559"/>
      <c r="AI676" s="559"/>
      <c r="AJ676" s="559"/>
      <c r="AK676" s="559"/>
      <c r="AL676" s="559"/>
      <c r="AM676" s="559"/>
      <c r="AN676" s="559"/>
    </row>
    <row r="677">
      <c r="A677" s="559"/>
      <c r="B677" s="559"/>
      <c r="C677" s="559"/>
      <c r="D677" s="559"/>
      <c r="E677" s="559"/>
      <c r="F677" s="559"/>
      <c r="G677" s="559"/>
      <c r="H677" s="559"/>
      <c r="I677" s="559"/>
      <c r="J677" s="559"/>
      <c r="K677" s="559"/>
      <c r="L677" s="559"/>
      <c r="M677" s="559"/>
      <c r="N677" s="559"/>
      <c r="O677" s="559"/>
      <c r="P677" s="559"/>
      <c r="Q677" s="559"/>
      <c r="R677" s="559"/>
      <c r="S677" s="559"/>
      <c r="T677" s="559"/>
      <c r="U677" s="559"/>
      <c r="V677" s="559"/>
      <c r="W677" s="559"/>
      <c r="X677" s="559"/>
      <c r="Y677" s="559"/>
      <c r="Z677" s="559"/>
      <c r="AA677" s="559"/>
      <c r="AB677" s="559"/>
      <c r="AC677" s="559"/>
      <c r="AD677" s="559"/>
      <c r="AE677" s="559"/>
      <c r="AF677" s="559"/>
      <c r="AG677" s="559"/>
      <c r="AH677" s="559"/>
      <c r="AI677" s="559"/>
      <c r="AJ677" s="559"/>
      <c r="AK677" s="559"/>
      <c r="AL677" s="559"/>
      <c r="AM677" s="559"/>
      <c r="AN677" s="559"/>
    </row>
    <row r="678">
      <c r="A678" s="559"/>
      <c r="B678" s="559"/>
      <c r="C678" s="559"/>
      <c r="D678" s="559"/>
      <c r="E678" s="559"/>
      <c r="F678" s="559"/>
      <c r="G678" s="559"/>
      <c r="H678" s="559"/>
      <c r="I678" s="559"/>
      <c r="J678" s="559"/>
      <c r="K678" s="559"/>
      <c r="L678" s="559"/>
      <c r="M678" s="559"/>
      <c r="N678" s="559"/>
      <c r="O678" s="559"/>
      <c r="P678" s="559"/>
      <c r="Q678" s="559"/>
      <c r="R678" s="559"/>
      <c r="S678" s="559"/>
      <c r="T678" s="559"/>
      <c r="U678" s="559"/>
      <c r="V678" s="559"/>
      <c r="W678" s="559"/>
      <c r="X678" s="559"/>
      <c r="Y678" s="559"/>
      <c r="Z678" s="559"/>
      <c r="AA678" s="559"/>
      <c r="AB678" s="559"/>
      <c r="AC678" s="559"/>
      <c r="AD678" s="559"/>
      <c r="AE678" s="559"/>
      <c r="AF678" s="559"/>
      <c r="AG678" s="559"/>
      <c r="AH678" s="559"/>
      <c r="AI678" s="559"/>
      <c r="AJ678" s="559"/>
      <c r="AK678" s="559"/>
      <c r="AL678" s="559"/>
      <c r="AM678" s="559"/>
      <c r="AN678" s="559"/>
    </row>
    <row r="679">
      <c r="A679" s="559"/>
      <c r="B679" s="559"/>
      <c r="C679" s="559"/>
      <c r="D679" s="559"/>
      <c r="E679" s="559"/>
      <c r="F679" s="559"/>
      <c r="G679" s="559"/>
      <c r="H679" s="559"/>
      <c r="I679" s="559"/>
      <c r="J679" s="559"/>
      <c r="K679" s="559"/>
      <c r="L679" s="559"/>
      <c r="M679" s="559"/>
      <c r="N679" s="559"/>
      <c r="O679" s="559"/>
      <c r="P679" s="559"/>
      <c r="Q679" s="559"/>
      <c r="R679" s="559"/>
      <c r="S679" s="559"/>
      <c r="T679" s="559"/>
      <c r="U679" s="559"/>
      <c r="V679" s="559"/>
      <c r="W679" s="559"/>
      <c r="X679" s="559"/>
      <c r="Y679" s="559"/>
      <c r="Z679" s="559"/>
      <c r="AA679" s="559"/>
      <c r="AB679" s="559"/>
      <c r="AC679" s="559"/>
      <c r="AD679" s="559"/>
      <c r="AE679" s="559"/>
      <c r="AF679" s="559"/>
      <c r="AG679" s="559"/>
      <c r="AH679" s="559"/>
      <c r="AI679" s="559"/>
      <c r="AJ679" s="559"/>
      <c r="AK679" s="559"/>
      <c r="AL679" s="559"/>
      <c r="AM679" s="559"/>
      <c r="AN679" s="559"/>
    </row>
    <row r="680">
      <c r="A680" s="559"/>
      <c r="B680" s="559"/>
      <c r="C680" s="559"/>
      <c r="D680" s="559"/>
      <c r="E680" s="559"/>
      <c r="F680" s="559"/>
      <c r="G680" s="559"/>
      <c r="H680" s="559"/>
      <c r="I680" s="559"/>
      <c r="J680" s="559"/>
      <c r="K680" s="559"/>
      <c r="L680" s="559"/>
      <c r="M680" s="559"/>
      <c r="N680" s="559"/>
      <c r="O680" s="559"/>
      <c r="P680" s="559"/>
      <c r="Q680" s="559"/>
      <c r="R680" s="559"/>
      <c r="S680" s="559"/>
      <c r="T680" s="559"/>
      <c r="U680" s="559"/>
      <c r="V680" s="559"/>
      <c r="W680" s="559"/>
      <c r="X680" s="559"/>
      <c r="Y680" s="559"/>
      <c r="Z680" s="559"/>
      <c r="AA680" s="559"/>
      <c r="AB680" s="559"/>
      <c r="AC680" s="559"/>
      <c r="AD680" s="559"/>
      <c r="AE680" s="559"/>
      <c r="AF680" s="559"/>
      <c r="AG680" s="559"/>
      <c r="AH680" s="559"/>
      <c r="AI680" s="559"/>
      <c r="AJ680" s="559"/>
      <c r="AK680" s="559"/>
      <c r="AL680" s="559"/>
      <c r="AM680" s="559"/>
      <c r="AN680" s="559"/>
    </row>
    <row r="681">
      <c r="A681" s="559"/>
      <c r="B681" s="559"/>
      <c r="C681" s="559"/>
      <c r="D681" s="559"/>
      <c r="E681" s="559"/>
      <c r="F681" s="559"/>
      <c r="G681" s="559"/>
      <c r="H681" s="559"/>
      <c r="I681" s="559"/>
      <c r="J681" s="559"/>
      <c r="K681" s="559"/>
      <c r="L681" s="559"/>
      <c r="M681" s="559"/>
      <c r="N681" s="559"/>
      <c r="O681" s="559"/>
      <c r="P681" s="559"/>
      <c r="Q681" s="559"/>
      <c r="R681" s="559"/>
      <c r="S681" s="559"/>
      <c r="T681" s="559"/>
      <c r="U681" s="559"/>
      <c r="V681" s="559"/>
      <c r="W681" s="559"/>
      <c r="X681" s="559"/>
      <c r="Y681" s="559"/>
      <c r="Z681" s="559"/>
      <c r="AA681" s="559"/>
      <c r="AB681" s="559"/>
      <c r="AC681" s="559"/>
      <c r="AD681" s="559"/>
      <c r="AE681" s="559"/>
      <c r="AF681" s="559"/>
      <c r="AG681" s="559"/>
      <c r="AH681" s="559"/>
      <c r="AI681" s="559"/>
      <c r="AJ681" s="559"/>
      <c r="AK681" s="559"/>
      <c r="AL681" s="559"/>
      <c r="AM681" s="559"/>
      <c r="AN681" s="559"/>
    </row>
    <row r="682">
      <c r="A682" s="559"/>
      <c r="B682" s="559"/>
      <c r="C682" s="559"/>
      <c r="D682" s="559"/>
      <c r="E682" s="559"/>
      <c r="F682" s="559"/>
      <c r="G682" s="559"/>
      <c r="H682" s="559"/>
      <c r="I682" s="559"/>
      <c r="J682" s="559"/>
      <c r="K682" s="559"/>
      <c r="L682" s="559"/>
      <c r="M682" s="559"/>
      <c r="N682" s="559"/>
      <c r="O682" s="559"/>
      <c r="P682" s="559"/>
      <c r="Q682" s="559"/>
      <c r="R682" s="559"/>
      <c r="S682" s="559"/>
      <c r="T682" s="559"/>
      <c r="U682" s="559"/>
      <c r="V682" s="559"/>
      <c r="W682" s="559"/>
      <c r="X682" s="559"/>
      <c r="Y682" s="559"/>
      <c r="Z682" s="559"/>
      <c r="AA682" s="559"/>
      <c r="AB682" s="559"/>
      <c r="AC682" s="559"/>
      <c r="AD682" s="559"/>
      <c r="AE682" s="559"/>
      <c r="AF682" s="559"/>
      <c r="AG682" s="559"/>
      <c r="AH682" s="559"/>
      <c r="AI682" s="559"/>
      <c r="AJ682" s="559"/>
      <c r="AK682" s="559"/>
      <c r="AL682" s="559"/>
      <c r="AM682" s="559"/>
      <c r="AN682" s="559"/>
    </row>
    <row r="683">
      <c r="A683" s="559"/>
      <c r="B683" s="559"/>
      <c r="C683" s="559"/>
      <c r="D683" s="559"/>
      <c r="E683" s="559"/>
      <c r="F683" s="559"/>
      <c r="G683" s="559"/>
      <c r="H683" s="559"/>
      <c r="I683" s="559"/>
      <c r="J683" s="559"/>
      <c r="K683" s="559"/>
      <c r="L683" s="559"/>
      <c r="M683" s="559"/>
      <c r="N683" s="559"/>
      <c r="O683" s="559"/>
      <c r="P683" s="559"/>
      <c r="Q683" s="559"/>
      <c r="R683" s="559"/>
      <c r="S683" s="559"/>
      <c r="T683" s="559"/>
      <c r="U683" s="559"/>
      <c r="V683" s="559"/>
      <c r="W683" s="559"/>
      <c r="X683" s="559"/>
      <c r="Y683" s="559"/>
      <c r="Z683" s="559"/>
      <c r="AA683" s="559"/>
      <c r="AB683" s="559"/>
      <c r="AC683" s="559"/>
      <c r="AD683" s="559"/>
      <c r="AE683" s="559"/>
      <c r="AF683" s="559"/>
      <c r="AG683" s="559"/>
      <c r="AH683" s="559"/>
      <c r="AI683" s="559"/>
      <c r="AJ683" s="559"/>
      <c r="AK683" s="559"/>
      <c r="AL683" s="559"/>
      <c r="AM683" s="559"/>
      <c r="AN683" s="559"/>
    </row>
    <row r="684">
      <c r="A684" s="559"/>
      <c r="B684" s="559"/>
      <c r="C684" s="559"/>
      <c r="D684" s="559"/>
      <c r="E684" s="559"/>
      <c r="F684" s="559"/>
      <c r="G684" s="559"/>
      <c r="H684" s="559"/>
      <c r="I684" s="559"/>
      <c r="J684" s="559"/>
      <c r="K684" s="559"/>
      <c r="L684" s="559"/>
      <c r="M684" s="559"/>
      <c r="N684" s="559"/>
      <c r="O684" s="559"/>
      <c r="P684" s="559"/>
      <c r="Q684" s="559"/>
      <c r="R684" s="559"/>
      <c r="S684" s="559"/>
      <c r="T684" s="559"/>
      <c r="U684" s="559"/>
      <c r="V684" s="559"/>
      <c r="W684" s="559"/>
      <c r="X684" s="559"/>
      <c r="Y684" s="559"/>
      <c r="Z684" s="559"/>
      <c r="AA684" s="559"/>
      <c r="AB684" s="559"/>
      <c r="AC684" s="559"/>
      <c r="AD684" s="559"/>
      <c r="AE684" s="559"/>
      <c r="AF684" s="559"/>
      <c r="AG684" s="559"/>
      <c r="AH684" s="559"/>
      <c r="AI684" s="559"/>
      <c r="AJ684" s="559"/>
      <c r="AK684" s="559"/>
      <c r="AL684" s="559"/>
      <c r="AM684" s="559"/>
      <c r="AN684" s="559"/>
    </row>
    <row r="685">
      <c r="A685" s="559"/>
      <c r="B685" s="559"/>
      <c r="C685" s="559"/>
      <c r="D685" s="559"/>
      <c r="E685" s="559"/>
      <c r="F685" s="559"/>
      <c r="G685" s="559"/>
      <c r="H685" s="559"/>
      <c r="I685" s="559"/>
      <c r="J685" s="559"/>
      <c r="K685" s="559"/>
      <c r="L685" s="559"/>
      <c r="M685" s="559"/>
      <c r="N685" s="559"/>
      <c r="O685" s="559"/>
      <c r="P685" s="559"/>
      <c r="Q685" s="559"/>
      <c r="R685" s="559"/>
      <c r="S685" s="559"/>
      <c r="T685" s="559"/>
      <c r="U685" s="559"/>
      <c r="V685" s="559"/>
      <c r="W685" s="559"/>
      <c r="X685" s="559"/>
      <c r="Y685" s="559"/>
      <c r="Z685" s="559"/>
      <c r="AA685" s="559"/>
      <c r="AB685" s="559"/>
      <c r="AC685" s="559"/>
      <c r="AD685" s="559"/>
      <c r="AE685" s="559"/>
      <c r="AF685" s="559"/>
      <c r="AG685" s="559"/>
      <c r="AH685" s="559"/>
      <c r="AI685" s="559"/>
      <c r="AJ685" s="559"/>
      <c r="AK685" s="559"/>
      <c r="AL685" s="559"/>
      <c r="AM685" s="559"/>
      <c r="AN685" s="559"/>
    </row>
    <row r="686">
      <c r="A686" s="559"/>
      <c r="B686" s="559"/>
      <c r="C686" s="559"/>
      <c r="D686" s="559"/>
      <c r="E686" s="559"/>
      <c r="F686" s="559"/>
      <c r="G686" s="559"/>
      <c r="H686" s="559"/>
      <c r="I686" s="559"/>
      <c r="J686" s="559"/>
      <c r="K686" s="559"/>
      <c r="L686" s="559"/>
      <c r="M686" s="559"/>
      <c r="N686" s="559"/>
      <c r="O686" s="559"/>
      <c r="P686" s="559"/>
      <c r="Q686" s="559"/>
      <c r="R686" s="559"/>
      <c r="S686" s="559"/>
      <c r="T686" s="559"/>
      <c r="U686" s="559"/>
      <c r="V686" s="559"/>
      <c r="W686" s="559"/>
      <c r="X686" s="559"/>
      <c r="Y686" s="559"/>
      <c r="Z686" s="559"/>
      <c r="AA686" s="559"/>
      <c r="AB686" s="559"/>
      <c r="AC686" s="559"/>
      <c r="AD686" s="559"/>
      <c r="AE686" s="559"/>
      <c r="AF686" s="559"/>
      <c r="AG686" s="559"/>
      <c r="AH686" s="559"/>
      <c r="AI686" s="559"/>
      <c r="AJ686" s="559"/>
      <c r="AK686" s="559"/>
      <c r="AL686" s="559"/>
      <c r="AM686" s="559"/>
      <c r="AN686" s="559"/>
    </row>
    <row r="687">
      <c r="A687" s="559"/>
      <c r="B687" s="559"/>
      <c r="C687" s="559"/>
      <c r="D687" s="559"/>
      <c r="E687" s="559"/>
      <c r="F687" s="559"/>
      <c r="G687" s="559"/>
      <c r="H687" s="559"/>
      <c r="I687" s="559"/>
      <c r="J687" s="559"/>
      <c r="K687" s="559"/>
      <c r="L687" s="559"/>
      <c r="M687" s="559"/>
      <c r="N687" s="559"/>
      <c r="O687" s="559"/>
      <c r="P687" s="559"/>
      <c r="Q687" s="559"/>
      <c r="R687" s="559"/>
      <c r="S687" s="559"/>
      <c r="T687" s="559"/>
      <c r="U687" s="559"/>
      <c r="V687" s="559"/>
      <c r="W687" s="559"/>
      <c r="X687" s="559"/>
      <c r="Y687" s="559"/>
      <c r="Z687" s="559"/>
      <c r="AA687" s="559"/>
      <c r="AB687" s="559"/>
      <c r="AC687" s="559"/>
      <c r="AD687" s="559"/>
      <c r="AE687" s="559"/>
      <c r="AF687" s="559"/>
      <c r="AG687" s="559"/>
      <c r="AH687" s="559"/>
      <c r="AI687" s="559"/>
      <c r="AJ687" s="559"/>
      <c r="AK687" s="559"/>
      <c r="AL687" s="559"/>
      <c r="AM687" s="559"/>
      <c r="AN687" s="559"/>
    </row>
    <row r="688">
      <c r="A688" s="559"/>
      <c r="B688" s="559"/>
      <c r="C688" s="559"/>
      <c r="D688" s="559"/>
      <c r="E688" s="559"/>
      <c r="F688" s="559"/>
      <c r="G688" s="559"/>
      <c r="H688" s="559"/>
      <c r="I688" s="559"/>
      <c r="J688" s="559"/>
      <c r="K688" s="559"/>
      <c r="L688" s="559"/>
      <c r="M688" s="559"/>
      <c r="N688" s="559"/>
      <c r="O688" s="559"/>
      <c r="P688" s="559"/>
      <c r="Q688" s="559"/>
      <c r="R688" s="559"/>
      <c r="S688" s="559"/>
      <c r="T688" s="559"/>
      <c r="U688" s="559"/>
      <c r="V688" s="559"/>
      <c r="W688" s="559"/>
      <c r="X688" s="559"/>
      <c r="Y688" s="559"/>
      <c r="Z688" s="559"/>
      <c r="AA688" s="559"/>
      <c r="AB688" s="559"/>
      <c r="AC688" s="559"/>
      <c r="AD688" s="559"/>
      <c r="AE688" s="559"/>
      <c r="AF688" s="559"/>
      <c r="AG688" s="559"/>
      <c r="AH688" s="559"/>
      <c r="AI688" s="559"/>
      <c r="AJ688" s="559"/>
      <c r="AK688" s="559"/>
      <c r="AL688" s="559"/>
      <c r="AM688" s="559"/>
      <c r="AN688" s="559"/>
    </row>
    <row r="689">
      <c r="A689" s="559"/>
      <c r="B689" s="559"/>
      <c r="C689" s="559"/>
      <c r="D689" s="559"/>
      <c r="E689" s="559"/>
      <c r="F689" s="559"/>
      <c r="G689" s="559"/>
      <c r="H689" s="559"/>
      <c r="I689" s="559"/>
      <c r="J689" s="559"/>
      <c r="K689" s="559"/>
      <c r="L689" s="559"/>
      <c r="M689" s="559"/>
      <c r="N689" s="559"/>
      <c r="O689" s="559"/>
      <c r="P689" s="559"/>
      <c r="Q689" s="559"/>
      <c r="R689" s="559"/>
      <c r="S689" s="559"/>
      <c r="T689" s="559"/>
      <c r="U689" s="559"/>
      <c r="V689" s="559"/>
      <c r="W689" s="559"/>
      <c r="X689" s="559"/>
      <c r="Y689" s="559"/>
      <c r="Z689" s="559"/>
      <c r="AA689" s="559"/>
      <c r="AB689" s="559"/>
      <c r="AC689" s="559"/>
      <c r="AD689" s="559"/>
      <c r="AE689" s="559"/>
      <c r="AF689" s="559"/>
      <c r="AG689" s="559"/>
      <c r="AH689" s="559"/>
      <c r="AI689" s="559"/>
      <c r="AJ689" s="559"/>
      <c r="AK689" s="559"/>
      <c r="AL689" s="559"/>
      <c r="AM689" s="559"/>
      <c r="AN689" s="559"/>
    </row>
    <row r="690">
      <c r="A690" s="559"/>
      <c r="B690" s="559"/>
      <c r="C690" s="559"/>
      <c r="D690" s="559"/>
      <c r="E690" s="559"/>
      <c r="F690" s="559"/>
      <c r="G690" s="559"/>
      <c r="H690" s="559"/>
      <c r="I690" s="559"/>
      <c r="J690" s="559"/>
      <c r="K690" s="559"/>
      <c r="L690" s="559"/>
      <c r="M690" s="559"/>
      <c r="N690" s="559"/>
      <c r="O690" s="559"/>
      <c r="P690" s="559"/>
      <c r="Q690" s="559"/>
      <c r="R690" s="559"/>
      <c r="S690" s="559"/>
      <c r="T690" s="559"/>
      <c r="U690" s="559"/>
      <c r="V690" s="559"/>
      <c r="W690" s="559"/>
      <c r="X690" s="559"/>
      <c r="Y690" s="559"/>
      <c r="Z690" s="559"/>
      <c r="AA690" s="559"/>
      <c r="AB690" s="559"/>
      <c r="AC690" s="559"/>
      <c r="AD690" s="559"/>
      <c r="AE690" s="559"/>
      <c r="AF690" s="559"/>
      <c r="AG690" s="559"/>
      <c r="AH690" s="559"/>
      <c r="AI690" s="559"/>
      <c r="AJ690" s="559"/>
      <c r="AK690" s="559"/>
      <c r="AL690" s="559"/>
      <c r="AM690" s="559"/>
      <c r="AN690" s="559"/>
    </row>
    <row r="691">
      <c r="A691" s="559"/>
      <c r="B691" s="559"/>
      <c r="C691" s="559"/>
      <c r="D691" s="559"/>
      <c r="E691" s="559"/>
      <c r="F691" s="559"/>
      <c r="G691" s="559"/>
      <c r="H691" s="559"/>
      <c r="I691" s="559"/>
      <c r="J691" s="559"/>
      <c r="K691" s="559"/>
      <c r="L691" s="559"/>
      <c r="M691" s="559"/>
      <c r="N691" s="559"/>
      <c r="O691" s="559"/>
      <c r="P691" s="559"/>
      <c r="Q691" s="559"/>
      <c r="R691" s="559"/>
      <c r="S691" s="559"/>
      <c r="T691" s="559"/>
      <c r="U691" s="559"/>
      <c r="V691" s="559"/>
      <c r="W691" s="559"/>
      <c r="X691" s="559"/>
      <c r="Y691" s="559"/>
      <c r="Z691" s="559"/>
      <c r="AA691" s="559"/>
      <c r="AB691" s="559"/>
      <c r="AC691" s="559"/>
      <c r="AD691" s="559"/>
      <c r="AE691" s="559"/>
      <c r="AF691" s="559"/>
      <c r="AG691" s="559"/>
      <c r="AH691" s="559"/>
      <c r="AI691" s="559"/>
      <c r="AJ691" s="559"/>
      <c r="AK691" s="559"/>
      <c r="AL691" s="559"/>
      <c r="AM691" s="559"/>
      <c r="AN691" s="559"/>
    </row>
    <row r="692">
      <c r="A692" s="559"/>
      <c r="B692" s="559"/>
      <c r="C692" s="559"/>
      <c r="D692" s="559"/>
      <c r="E692" s="559"/>
      <c r="F692" s="559"/>
      <c r="G692" s="559"/>
      <c r="H692" s="559"/>
      <c r="I692" s="559"/>
      <c r="J692" s="559"/>
      <c r="K692" s="559"/>
      <c r="L692" s="559"/>
      <c r="M692" s="559"/>
      <c r="N692" s="559"/>
      <c r="O692" s="559"/>
      <c r="P692" s="559"/>
      <c r="Q692" s="559"/>
      <c r="R692" s="559"/>
      <c r="S692" s="559"/>
      <c r="T692" s="559"/>
      <c r="U692" s="559"/>
      <c r="V692" s="559"/>
      <c r="W692" s="559"/>
      <c r="X692" s="559"/>
      <c r="Y692" s="559"/>
      <c r="Z692" s="559"/>
      <c r="AA692" s="559"/>
      <c r="AB692" s="559"/>
      <c r="AC692" s="559"/>
      <c r="AD692" s="559"/>
      <c r="AE692" s="559"/>
      <c r="AF692" s="559"/>
      <c r="AG692" s="559"/>
      <c r="AH692" s="559"/>
      <c r="AI692" s="559"/>
      <c r="AJ692" s="559"/>
      <c r="AK692" s="559"/>
      <c r="AL692" s="559"/>
      <c r="AM692" s="559"/>
      <c r="AN692" s="559"/>
    </row>
    <row r="693">
      <c r="A693" s="559"/>
      <c r="B693" s="559"/>
      <c r="C693" s="559"/>
      <c r="D693" s="559"/>
      <c r="E693" s="559"/>
      <c r="F693" s="559"/>
      <c r="G693" s="559"/>
      <c r="H693" s="559"/>
      <c r="I693" s="559"/>
      <c r="J693" s="559"/>
      <c r="K693" s="559"/>
      <c r="L693" s="559"/>
      <c r="M693" s="559"/>
      <c r="N693" s="559"/>
      <c r="O693" s="559"/>
      <c r="P693" s="559"/>
      <c r="Q693" s="559"/>
      <c r="R693" s="559"/>
      <c r="S693" s="559"/>
      <c r="T693" s="559"/>
      <c r="U693" s="559"/>
      <c r="V693" s="559"/>
      <c r="W693" s="559"/>
      <c r="X693" s="559"/>
      <c r="Y693" s="559"/>
      <c r="Z693" s="559"/>
      <c r="AA693" s="559"/>
      <c r="AB693" s="559"/>
      <c r="AC693" s="559"/>
      <c r="AD693" s="559"/>
      <c r="AE693" s="559"/>
      <c r="AF693" s="559"/>
      <c r="AG693" s="559"/>
      <c r="AH693" s="559"/>
      <c r="AI693" s="559"/>
      <c r="AJ693" s="559"/>
      <c r="AK693" s="559"/>
      <c r="AL693" s="559"/>
      <c r="AM693" s="559"/>
      <c r="AN693" s="559"/>
    </row>
    <row r="694">
      <c r="A694" s="559"/>
      <c r="B694" s="559"/>
      <c r="C694" s="559"/>
      <c r="D694" s="559"/>
      <c r="E694" s="559"/>
      <c r="F694" s="559"/>
      <c r="G694" s="559"/>
      <c r="H694" s="559"/>
      <c r="I694" s="559"/>
      <c r="J694" s="559"/>
      <c r="K694" s="559"/>
      <c r="L694" s="559"/>
      <c r="M694" s="559"/>
      <c r="N694" s="559"/>
      <c r="O694" s="559"/>
      <c r="P694" s="559"/>
      <c r="Q694" s="559"/>
      <c r="R694" s="559"/>
      <c r="S694" s="559"/>
      <c r="T694" s="559"/>
      <c r="U694" s="559"/>
      <c r="V694" s="559"/>
      <c r="W694" s="559"/>
      <c r="X694" s="559"/>
      <c r="Y694" s="559"/>
      <c r="Z694" s="559"/>
      <c r="AA694" s="559"/>
      <c r="AB694" s="559"/>
      <c r="AC694" s="559"/>
      <c r="AD694" s="559"/>
      <c r="AE694" s="559"/>
      <c r="AF694" s="559"/>
      <c r="AG694" s="559"/>
      <c r="AH694" s="559"/>
      <c r="AI694" s="559"/>
      <c r="AJ694" s="559"/>
      <c r="AK694" s="559"/>
      <c r="AL694" s="559"/>
      <c r="AM694" s="559"/>
      <c r="AN694" s="559"/>
    </row>
    <row r="695">
      <c r="A695" s="559"/>
      <c r="B695" s="559"/>
      <c r="C695" s="559"/>
      <c r="D695" s="559"/>
      <c r="E695" s="559"/>
      <c r="F695" s="559"/>
      <c r="G695" s="559"/>
      <c r="H695" s="559"/>
      <c r="I695" s="559"/>
      <c r="J695" s="559"/>
      <c r="K695" s="559"/>
      <c r="L695" s="559"/>
      <c r="M695" s="559"/>
      <c r="N695" s="559"/>
      <c r="O695" s="559"/>
      <c r="P695" s="559"/>
      <c r="Q695" s="559"/>
      <c r="R695" s="559"/>
      <c r="S695" s="559"/>
      <c r="T695" s="559"/>
      <c r="U695" s="559"/>
      <c r="V695" s="559"/>
      <c r="W695" s="559"/>
      <c r="X695" s="559"/>
      <c r="Y695" s="559"/>
      <c r="Z695" s="559"/>
      <c r="AA695" s="559"/>
      <c r="AB695" s="559"/>
      <c r="AC695" s="559"/>
      <c r="AD695" s="559"/>
      <c r="AE695" s="559"/>
      <c r="AF695" s="559"/>
      <c r="AG695" s="559"/>
      <c r="AH695" s="559"/>
      <c r="AI695" s="559"/>
      <c r="AJ695" s="559"/>
      <c r="AK695" s="559"/>
      <c r="AL695" s="559"/>
      <c r="AM695" s="559"/>
      <c r="AN695" s="559"/>
    </row>
    <row r="696">
      <c r="A696" s="559"/>
      <c r="B696" s="559"/>
      <c r="C696" s="559"/>
      <c r="D696" s="559"/>
      <c r="E696" s="559"/>
      <c r="F696" s="559"/>
      <c r="G696" s="559"/>
      <c r="H696" s="559"/>
      <c r="I696" s="559"/>
      <c r="J696" s="559"/>
      <c r="K696" s="559"/>
      <c r="L696" s="559"/>
      <c r="M696" s="559"/>
      <c r="N696" s="559"/>
      <c r="O696" s="559"/>
      <c r="P696" s="559"/>
      <c r="Q696" s="559"/>
      <c r="R696" s="559"/>
      <c r="S696" s="559"/>
      <c r="T696" s="559"/>
      <c r="U696" s="559"/>
      <c r="V696" s="559"/>
      <c r="W696" s="559"/>
      <c r="X696" s="559"/>
      <c r="Y696" s="559"/>
      <c r="Z696" s="559"/>
      <c r="AA696" s="559"/>
      <c r="AB696" s="559"/>
      <c r="AC696" s="559"/>
      <c r="AD696" s="559"/>
      <c r="AE696" s="559"/>
      <c r="AF696" s="559"/>
      <c r="AG696" s="559"/>
      <c r="AH696" s="559"/>
      <c r="AI696" s="559"/>
      <c r="AJ696" s="559"/>
      <c r="AK696" s="559"/>
      <c r="AL696" s="559"/>
      <c r="AM696" s="559"/>
      <c r="AN696" s="559"/>
    </row>
    <row r="697">
      <c r="A697" s="559"/>
      <c r="B697" s="559"/>
      <c r="C697" s="559"/>
      <c r="D697" s="559"/>
      <c r="E697" s="559"/>
      <c r="F697" s="559"/>
      <c r="G697" s="559"/>
      <c r="H697" s="559"/>
      <c r="I697" s="559"/>
      <c r="J697" s="559"/>
      <c r="K697" s="559"/>
      <c r="L697" s="559"/>
      <c r="M697" s="559"/>
      <c r="N697" s="559"/>
      <c r="O697" s="559"/>
      <c r="P697" s="559"/>
      <c r="Q697" s="559"/>
      <c r="R697" s="559"/>
      <c r="S697" s="559"/>
      <c r="T697" s="559"/>
      <c r="U697" s="559"/>
      <c r="V697" s="559"/>
      <c r="W697" s="559"/>
      <c r="X697" s="559"/>
      <c r="Y697" s="559"/>
      <c r="Z697" s="559"/>
      <c r="AA697" s="559"/>
      <c r="AB697" s="559"/>
      <c r="AC697" s="559"/>
      <c r="AD697" s="559"/>
      <c r="AE697" s="559"/>
      <c r="AF697" s="559"/>
      <c r="AG697" s="559"/>
      <c r="AH697" s="559"/>
      <c r="AI697" s="559"/>
      <c r="AJ697" s="559"/>
      <c r="AK697" s="559"/>
      <c r="AL697" s="559"/>
      <c r="AM697" s="559"/>
      <c r="AN697" s="559"/>
    </row>
    <row r="698">
      <c r="A698" s="559"/>
      <c r="B698" s="559"/>
      <c r="C698" s="559"/>
      <c r="D698" s="559"/>
      <c r="E698" s="559"/>
      <c r="F698" s="559"/>
      <c r="G698" s="559"/>
      <c r="H698" s="559"/>
      <c r="I698" s="559"/>
      <c r="J698" s="559"/>
      <c r="K698" s="559"/>
      <c r="L698" s="559"/>
      <c r="M698" s="559"/>
      <c r="N698" s="559"/>
      <c r="O698" s="559"/>
      <c r="P698" s="559"/>
      <c r="Q698" s="559"/>
      <c r="R698" s="559"/>
      <c r="S698" s="559"/>
      <c r="T698" s="559"/>
      <c r="U698" s="559"/>
      <c r="V698" s="559"/>
      <c r="W698" s="559"/>
      <c r="X698" s="559"/>
      <c r="Y698" s="559"/>
      <c r="Z698" s="559"/>
      <c r="AA698" s="559"/>
      <c r="AB698" s="559"/>
      <c r="AC698" s="559"/>
      <c r="AD698" s="559"/>
      <c r="AE698" s="559"/>
      <c r="AF698" s="559"/>
      <c r="AG698" s="559"/>
      <c r="AH698" s="559"/>
      <c r="AI698" s="559"/>
      <c r="AJ698" s="559"/>
      <c r="AK698" s="559"/>
      <c r="AL698" s="559"/>
      <c r="AM698" s="559"/>
      <c r="AN698" s="559"/>
    </row>
    <row r="699">
      <c r="A699" s="559"/>
      <c r="B699" s="559"/>
      <c r="C699" s="559"/>
      <c r="D699" s="559"/>
      <c r="E699" s="559"/>
      <c r="F699" s="559"/>
      <c r="G699" s="559"/>
      <c r="H699" s="559"/>
      <c r="I699" s="559"/>
      <c r="J699" s="559"/>
      <c r="K699" s="559"/>
      <c r="L699" s="559"/>
      <c r="M699" s="559"/>
      <c r="N699" s="559"/>
      <c r="O699" s="559"/>
      <c r="P699" s="559"/>
      <c r="Q699" s="559"/>
      <c r="R699" s="559"/>
      <c r="S699" s="559"/>
      <c r="T699" s="559"/>
      <c r="U699" s="559"/>
      <c r="V699" s="559"/>
      <c r="W699" s="559"/>
      <c r="X699" s="559"/>
      <c r="Y699" s="559"/>
      <c r="Z699" s="559"/>
      <c r="AA699" s="559"/>
      <c r="AB699" s="559"/>
      <c r="AC699" s="559"/>
      <c r="AD699" s="559"/>
      <c r="AE699" s="559"/>
      <c r="AF699" s="559"/>
      <c r="AG699" s="559"/>
      <c r="AH699" s="559"/>
      <c r="AI699" s="559"/>
      <c r="AJ699" s="559"/>
      <c r="AK699" s="559"/>
      <c r="AL699" s="559"/>
      <c r="AM699" s="559"/>
      <c r="AN699" s="559"/>
    </row>
    <row r="700">
      <c r="A700" s="559"/>
      <c r="B700" s="559"/>
      <c r="C700" s="559"/>
      <c r="D700" s="559"/>
      <c r="E700" s="559"/>
      <c r="F700" s="559"/>
      <c r="G700" s="559"/>
      <c r="H700" s="559"/>
      <c r="I700" s="559"/>
      <c r="J700" s="559"/>
      <c r="K700" s="559"/>
      <c r="L700" s="559"/>
      <c r="M700" s="559"/>
      <c r="N700" s="559"/>
      <c r="O700" s="559"/>
      <c r="P700" s="559"/>
      <c r="Q700" s="559"/>
      <c r="R700" s="559"/>
      <c r="S700" s="559"/>
      <c r="T700" s="559"/>
      <c r="U700" s="559"/>
      <c r="V700" s="559"/>
      <c r="W700" s="559"/>
      <c r="X700" s="559"/>
      <c r="Y700" s="559"/>
      <c r="Z700" s="559"/>
      <c r="AA700" s="559"/>
      <c r="AB700" s="559"/>
      <c r="AC700" s="559"/>
      <c r="AD700" s="559"/>
      <c r="AE700" s="559"/>
      <c r="AF700" s="559"/>
      <c r="AG700" s="559"/>
      <c r="AH700" s="559"/>
      <c r="AI700" s="559"/>
      <c r="AJ700" s="559"/>
      <c r="AK700" s="559"/>
      <c r="AL700" s="559"/>
      <c r="AM700" s="559"/>
      <c r="AN700" s="559"/>
    </row>
    <row r="701">
      <c r="A701" s="559"/>
      <c r="B701" s="559"/>
      <c r="C701" s="559"/>
      <c r="D701" s="559"/>
      <c r="E701" s="559"/>
      <c r="F701" s="559"/>
      <c r="G701" s="559"/>
      <c r="H701" s="559"/>
      <c r="I701" s="559"/>
      <c r="J701" s="559"/>
      <c r="K701" s="559"/>
      <c r="L701" s="559"/>
      <c r="M701" s="559"/>
      <c r="N701" s="559"/>
      <c r="O701" s="559"/>
      <c r="P701" s="559"/>
      <c r="Q701" s="559"/>
      <c r="R701" s="559"/>
      <c r="S701" s="559"/>
      <c r="T701" s="559"/>
      <c r="U701" s="559"/>
      <c r="V701" s="559"/>
      <c r="W701" s="559"/>
      <c r="X701" s="559"/>
      <c r="Y701" s="559"/>
      <c r="Z701" s="559"/>
      <c r="AA701" s="559"/>
      <c r="AB701" s="559"/>
      <c r="AC701" s="559"/>
      <c r="AD701" s="559"/>
      <c r="AE701" s="559"/>
      <c r="AF701" s="559"/>
      <c r="AG701" s="559"/>
      <c r="AH701" s="559"/>
      <c r="AI701" s="559"/>
      <c r="AJ701" s="559"/>
      <c r="AK701" s="559"/>
      <c r="AL701" s="559"/>
      <c r="AM701" s="559"/>
      <c r="AN701" s="559"/>
    </row>
    <row r="702">
      <c r="A702" s="559"/>
      <c r="B702" s="559"/>
      <c r="C702" s="559"/>
      <c r="D702" s="559"/>
      <c r="E702" s="559"/>
      <c r="F702" s="559"/>
      <c r="G702" s="559"/>
      <c r="H702" s="559"/>
      <c r="I702" s="559"/>
      <c r="J702" s="559"/>
      <c r="K702" s="559"/>
      <c r="L702" s="559"/>
      <c r="M702" s="559"/>
      <c r="N702" s="559"/>
      <c r="O702" s="559"/>
      <c r="P702" s="559"/>
      <c r="Q702" s="559"/>
      <c r="R702" s="559"/>
      <c r="S702" s="559"/>
      <c r="T702" s="559"/>
      <c r="U702" s="559"/>
      <c r="V702" s="559"/>
      <c r="W702" s="559"/>
      <c r="X702" s="559"/>
      <c r="Y702" s="559"/>
      <c r="Z702" s="559"/>
      <c r="AA702" s="559"/>
      <c r="AB702" s="559"/>
      <c r="AC702" s="559"/>
      <c r="AD702" s="559"/>
      <c r="AE702" s="559"/>
      <c r="AF702" s="559"/>
      <c r="AG702" s="559"/>
      <c r="AH702" s="559"/>
      <c r="AI702" s="559"/>
      <c r="AJ702" s="559"/>
      <c r="AK702" s="559"/>
      <c r="AL702" s="559"/>
      <c r="AM702" s="559"/>
      <c r="AN702" s="559"/>
    </row>
    <row r="703">
      <c r="A703" s="559"/>
      <c r="B703" s="559"/>
      <c r="C703" s="559"/>
      <c r="D703" s="559"/>
      <c r="E703" s="559"/>
      <c r="F703" s="559"/>
      <c r="G703" s="559"/>
      <c r="H703" s="559"/>
      <c r="I703" s="559"/>
      <c r="J703" s="559"/>
      <c r="K703" s="559"/>
      <c r="L703" s="559"/>
      <c r="M703" s="559"/>
      <c r="N703" s="559"/>
      <c r="O703" s="559"/>
      <c r="P703" s="559"/>
      <c r="Q703" s="559"/>
      <c r="R703" s="559"/>
      <c r="S703" s="559"/>
      <c r="T703" s="559"/>
      <c r="U703" s="559"/>
      <c r="V703" s="559"/>
      <c r="W703" s="559"/>
      <c r="X703" s="559"/>
      <c r="Y703" s="559"/>
      <c r="Z703" s="559"/>
      <c r="AA703" s="559"/>
      <c r="AB703" s="559"/>
      <c r="AC703" s="559"/>
      <c r="AD703" s="559"/>
      <c r="AE703" s="559"/>
      <c r="AF703" s="559"/>
      <c r="AG703" s="559"/>
      <c r="AH703" s="559"/>
      <c r="AI703" s="559"/>
      <c r="AJ703" s="559"/>
      <c r="AK703" s="559"/>
      <c r="AL703" s="559"/>
      <c r="AM703" s="559"/>
      <c r="AN703" s="559"/>
    </row>
    <row r="704">
      <c r="A704" s="559"/>
      <c r="B704" s="559"/>
      <c r="C704" s="559"/>
      <c r="D704" s="559"/>
      <c r="E704" s="559"/>
      <c r="F704" s="559"/>
      <c r="G704" s="559"/>
      <c r="H704" s="559"/>
      <c r="I704" s="559"/>
      <c r="J704" s="559"/>
      <c r="K704" s="559"/>
      <c r="L704" s="559"/>
      <c r="M704" s="559"/>
      <c r="N704" s="559"/>
      <c r="O704" s="559"/>
      <c r="P704" s="559"/>
      <c r="Q704" s="559"/>
      <c r="R704" s="559"/>
      <c r="S704" s="559"/>
      <c r="T704" s="559"/>
      <c r="U704" s="559"/>
      <c r="V704" s="559"/>
      <c r="W704" s="559"/>
      <c r="X704" s="559"/>
      <c r="Y704" s="559"/>
      <c r="Z704" s="559"/>
      <c r="AA704" s="559"/>
      <c r="AB704" s="559"/>
      <c r="AC704" s="559"/>
      <c r="AD704" s="559"/>
      <c r="AE704" s="559"/>
      <c r="AF704" s="559"/>
      <c r="AG704" s="559"/>
      <c r="AH704" s="559"/>
      <c r="AI704" s="559"/>
      <c r="AJ704" s="559"/>
      <c r="AK704" s="559"/>
      <c r="AL704" s="559"/>
      <c r="AM704" s="559"/>
      <c r="AN704" s="559"/>
    </row>
    <row r="705">
      <c r="A705" s="559"/>
      <c r="B705" s="559"/>
      <c r="C705" s="559"/>
      <c r="D705" s="559"/>
      <c r="E705" s="559"/>
      <c r="F705" s="559"/>
      <c r="G705" s="559"/>
      <c r="H705" s="559"/>
      <c r="I705" s="559"/>
      <c r="J705" s="559"/>
      <c r="K705" s="559"/>
      <c r="L705" s="559"/>
      <c r="M705" s="559"/>
      <c r="N705" s="559"/>
      <c r="O705" s="559"/>
      <c r="P705" s="559"/>
      <c r="Q705" s="559"/>
      <c r="R705" s="559"/>
      <c r="S705" s="559"/>
      <c r="T705" s="559"/>
      <c r="U705" s="559"/>
      <c r="V705" s="559"/>
      <c r="W705" s="559"/>
      <c r="X705" s="559"/>
      <c r="Y705" s="559"/>
      <c r="Z705" s="559"/>
      <c r="AA705" s="559"/>
      <c r="AB705" s="559"/>
      <c r="AC705" s="559"/>
      <c r="AD705" s="559"/>
      <c r="AE705" s="559"/>
      <c r="AF705" s="559"/>
      <c r="AG705" s="559"/>
      <c r="AH705" s="559"/>
      <c r="AI705" s="559"/>
      <c r="AJ705" s="559"/>
      <c r="AK705" s="559"/>
      <c r="AL705" s="559"/>
      <c r="AM705" s="559"/>
      <c r="AN705" s="559"/>
    </row>
    <row r="706">
      <c r="A706" s="559"/>
      <c r="B706" s="559"/>
      <c r="C706" s="559"/>
      <c r="D706" s="559"/>
      <c r="E706" s="559"/>
      <c r="F706" s="559"/>
      <c r="G706" s="559"/>
      <c r="H706" s="559"/>
      <c r="I706" s="559"/>
      <c r="J706" s="559"/>
      <c r="K706" s="559"/>
      <c r="L706" s="559"/>
      <c r="M706" s="559"/>
      <c r="N706" s="559"/>
      <c r="O706" s="559"/>
      <c r="P706" s="559"/>
      <c r="Q706" s="559"/>
      <c r="R706" s="559"/>
      <c r="S706" s="559"/>
      <c r="T706" s="559"/>
      <c r="U706" s="559"/>
      <c r="V706" s="559"/>
      <c r="W706" s="559"/>
      <c r="X706" s="559"/>
      <c r="Y706" s="559"/>
      <c r="Z706" s="559"/>
      <c r="AA706" s="559"/>
      <c r="AB706" s="559"/>
      <c r="AC706" s="559"/>
      <c r="AD706" s="559"/>
      <c r="AE706" s="559"/>
      <c r="AF706" s="559"/>
      <c r="AG706" s="559"/>
      <c r="AH706" s="559"/>
      <c r="AI706" s="559"/>
      <c r="AJ706" s="559"/>
      <c r="AK706" s="559"/>
      <c r="AL706" s="559"/>
      <c r="AM706" s="559"/>
      <c r="AN706" s="559"/>
    </row>
    <row r="707">
      <c r="A707" s="559"/>
      <c r="B707" s="559"/>
      <c r="C707" s="559"/>
      <c r="D707" s="559"/>
      <c r="E707" s="559"/>
      <c r="F707" s="559"/>
      <c r="G707" s="559"/>
      <c r="H707" s="559"/>
      <c r="I707" s="559"/>
      <c r="J707" s="559"/>
      <c r="K707" s="559"/>
      <c r="L707" s="559"/>
      <c r="M707" s="559"/>
      <c r="N707" s="559"/>
      <c r="O707" s="559"/>
      <c r="P707" s="559"/>
      <c r="Q707" s="559"/>
      <c r="R707" s="559"/>
      <c r="S707" s="559"/>
      <c r="T707" s="559"/>
      <c r="U707" s="559"/>
      <c r="V707" s="559"/>
      <c r="W707" s="559"/>
      <c r="X707" s="559"/>
      <c r="Y707" s="559"/>
      <c r="Z707" s="559"/>
      <c r="AA707" s="559"/>
      <c r="AB707" s="559"/>
      <c r="AC707" s="559"/>
      <c r="AD707" s="559"/>
      <c r="AE707" s="559"/>
      <c r="AF707" s="559"/>
      <c r="AG707" s="559"/>
      <c r="AH707" s="559"/>
      <c r="AI707" s="559"/>
      <c r="AJ707" s="559"/>
      <c r="AK707" s="559"/>
      <c r="AL707" s="559"/>
      <c r="AM707" s="559"/>
      <c r="AN707" s="559"/>
    </row>
    <row r="708">
      <c r="A708" s="559"/>
      <c r="B708" s="559"/>
      <c r="C708" s="559"/>
      <c r="D708" s="559"/>
      <c r="E708" s="559"/>
      <c r="F708" s="559"/>
      <c r="G708" s="559"/>
      <c r="H708" s="559"/>
      <c r="I708" s="559"/>
      <c r="J708" s="559"/>
      <c r="K708" s="559"/>
      <c r="L708" s="559"/>
      <c r="M708" s="559"/>
      <c r="N708" s="559"/>
      <c r="O708" s="559"/>
      <c r="P708" s="559"/>
      <c r="Q708" s="559"/>
      <c r="R708" s="559"/>
      <c r="S708" s="559"/>
      <c r="T708" s="559"/>
      <c r="U708" s="559"/>
      <c r="V708" s="559"/>
      <c r="W708" s="559"/>
      <c r="X708" s="559"/>
      <c r="Y708" s="559"/>
      <c r="Z708" s="559"/>
      <c r="AA708" s="559"/>
      <c r="AB708" s="559"/>
      <c r="AC708" s="559"/>
      <c r="AD708" s="559"/>
      <c r="AE708" s="559"/>
      <c r="AF708" s="559"/>
      <c r="AG708" s="559"/>
      <c r="AH708" s="559"/>
      <c r="AI708" s="559"/>
      <c r="AJ708" s="559"/>
      <c r="AK708" s="559"/>
      <c r="AL708" s="559"/>
      <c r="AM708" s="559"/>
      <c r="AN708" s="559"/>
    </row>
    <row r="709">
      <c r="A709" s="559"/>
      <c r="B709" s="559"/>
      <c r="C709" s="559"/>
      <c r="D709" s="559"/>
      <c r="E709" s="559"/>
      <c r="F709" s="559"/>
      <c r="G709" s="559"/>
      <c r="H709" s="559"/>
      <c r="I709" s="559"/>
      <c r="J709" s="559"/>
      <c r="K709" s="559"/>
      <c r="L709" s="559"/>
      <c r="M709" s="559"/>
      <c r="N709" s="559"/>
      <c r="O709" s="559"/>
      <c r="P709" s="559"/>
      <c r="Q709" s="559"/>
      <c r="R709" s="559"/>
      <c r="S709" s="559"/>
      <c r="T709" s="559"/>
      <c r="U709" s="559"/>
      <c r="V709" s="559"/>
      <c r="W709" s="559"/>
      <c r="X709" s="559"/>
      <c r="Y709" s="559"/>
      <c r="Z709" s="559"/>
      <c r="AA709" s="559"/>
      <c r="AB709" s="559"/>
      <c r="AC709" s="559"/>
      <c r="AD709" s="559"/>
      <c r="AE709" s="559"/>
      <c r="AF709" s="559"/>
      <c r="AG709" s="559"/>
      <c r="AH709" s="559"/>
      <c r="AI709" s="559"/>
      <c r="AJ709" s="559"/>
      <c r="AK709" s="559"/>
      <c r="AL709" s="559"/>
      <c r="AM709" s="559"/>
      <c r="AN709" s="559"/>
    </row>
    <row r="710">
      <c r="A710" s="559"/>
      <c r="B710" s="559"/>
      <c r="C710" s="559"/>
      <c r="D710" s="559"/>
      <c r="E710" s="559"/>
      <c r="F710" s="559"/>
      <c r="G710" s="559"/>
      <c r="H710" s="559"/>
      <c r="I710" s="559"/>
      <c r="J710" s="559"/>
      <c r="K710" s="559"/>
      <c r="L710" s="559"/>
      <c r="M710" s="559"/>
      <c r="N710" s="559"/>
      <c r="O710" s="559"/>
      <c r="P710" s="559"/>
      <c r="Q710" s="559"/>
      <c r="R710" s="559"/>
      <c r="S710" s="559"/>
      <c r="T710" s="559"/>
      <c r="U710" s="559"/>
      <c r="V710" s="559"/>
      <c r="W710" s="559"/>
      <c r="X710" s="559"/>
      <c r="Y710" s="559"/>
      <c r="Z710" s="559"/>
      <c r="AA710" s="559"/>
      <c r="AB710" s="559"/>
      <c r="AC710" s="559"/>
      <c r="AD710" s="559"/>
      <c r="AE710" s="559"/>
      <c r="AF710" s="559"/>
      <c r="AG710" s="559"/>
      <c r="AH710" s="559"/>
      <c r="AI710" s="559"/>
      <c r="AJ710" s="559"/>
      <c r="AK710" s="559"/>
      <c r="AL710" s="559"/>
      <c r="AM710" s="559"/>
      <c r="AN710" s="559"/>
    </row>
    <row r="711">
      <c r="A711" s="559"/>
      <c r="B711" s="559"/>
      <c r="C711" s="559"/>
      <c r="D711" s="559"/>
      <c r="E711" s="559"/>
      <c r="F711" s="559"/>
      <c r="G711" s="559"/>
      <c r="H711" s="559"/>
      <c r="I711" s="559"/>
      <c r="J711" s="559"/>
      <c r="K711" s="559"/>
      <c r="L711" s="559"/>
      <c r="M711" s="559"/>
      <c r="N711" s="559"/>
      <c r="O711" s="559"/>
      <c r="P711" s="559"/>
      <c r="Q711" s="559"/>
      <c r="R711" s="559"/>
      <c r="S711" s="559"/>
      <c r="T711" s="559"/>
      <c r="U711" s="559"/>
      <c r="V711" s="559"/>
      <c r="W711" s="559"/>
      <c r="X711" s="559"/>
      <c r="Y711" s="559"/>
      <c r="Z711" s="559"/>
      <c r="AA711" s="559"/>
      <c r="AB711" s="559"/>
      <c r="AC711" s="559"/>
      <c r="AD711" s="559"/>
      <c r="AE711" s="559"/>
      <c r="AF711" s="559"/>
      <c r="AG711" s="559"/>
      <c r="AH711" s="559"/>
      <c r="AI711" s="559"/>
      <c r="AJ711" s="559"/>
      <c r="AK711" s="559"/>
      <c r="AL711" s="559"/>
      <c r="AM711" s="559"/>
      <c r="AN711" s="559"/>
    </row>
    <row r="712">
      <c r="A712" s="559"/>
      <c r="B712" s="559"/>
      <c r="C712" s="559"/>
      <c r="D712" s="559"/>
      <c r="E712" s="559"/>
      <c r="F712" s="559"/>
      <c r="G712" s="559"/>
      <c r="H712" s="559"/>
      <c r="I712" s="559"/>
      <c r="J712" s="559"/>
      <c r="K712" s="559"/>
      <c r="L712" s="559"/>
      <c r="M712" s="559"/>
      <c r="N712" s="559"/>
      <c r="O712" s="559"/>
      <c r="P712" s="559"/>
      <c r="Q712" s="559"/>
      <c r="R712" s="559"/>
      <c r="S712" s="559"/>
      <c r="T712" s="559"/>
      <c r="U712" s="559"/>
      <c r="V712" s="559"/>
      <c r="W712" s="559"/>
      <c r="X712" s="559"/>
      <c r="Y712" s="559"/>
      <c r="Z712" s="559"/>
      <c r="AA712" s="559"/>
      <c r="AB712" s="559"/>
      <c r="AC712" s="559"/>
      <c r="AD712" s="559"/>
      <c r="AE712" s="559"/>
      <c r="AF712" s="559"/>
      <c r="AG712" s="559"/>
      <c r="AH712" s="559"/>
      <c r="AI712" s="559"/>
      <c r="AJ712" s="559"/>
      <c r="AK712" s="559"/>
      <c r="AL712" s="559"/>
      <c r="AM712" s="559"/>
      <c r="AN712" s="559"/>
    </row>
    <row r="713">
      <c r="A713" s="559"/>
      <c r="B713" s="559"/>
      <c r="C713" s="559"/>
      <c r="D713" s="559"/>
      <c r="E713" s="559"/>
      <c r="F713" s="559"/>
      <c r="G713" s="559"/>
      <c r="H713" s="559"/>
      <c r="I713" s="559"/>
      <c r="J713" s="559"/>
      <c r="K713" s="559"/>
      <c r="L713" s="559"/>
      <c r="M713" s="559"/>
      <c r="N713" s="559"/>
      <c r="O713" s="559"/>
      <c r="P713" s="559"/>
      <c r="Q713" s="559"/>
      <c r="R713" s="559"/>
      <c r="S713" s="559"/>
      <c r="T713" s="559"/>
      <c r="U713" s="559"/>
      <c r="V713" s="559"/>
      <c r="W713" s="559"/>
      <c r="X713" s="559"/>
      <c r="Y713" s="559"/>
      <c r="Z713" s="559"/>
      <c r="AA713" s="559"/>
      <c r="AB713" s="559"/>
      <c r="AC713" s="559"/>
      <c r="AD713" s="559"/>
      <c r="AE713" s="559"/>
      <c r="AF713" s="559"/>
      <c r="AG713" s="559"/>
      <c r="AH713" s="559"/>
      <c r="AI713" s="559"/>
      <c r="AJ713" s="559"/>
      <c r="AK713" s="559"/>
      <c r="AL713" s="559"/>
      <c r="AM713" s="559"/>
      <c r="AN713" s="559"/>
    </row>
    <row r="714">
      <c r="A714" s="559"/>
      <c r="B714" s="559"/>
      <c r="C714" s="559"/>
      <c r="D714" s="559"/>
      <c r="E714" s="559"/>
      <c r="F714" s="559"/>
      <c r="G714" s="559"/>
      <c r="H714" s="559"/>
      <c r="I714" s="559"/>
      <c r="J714" s="559"/>
      <c r="K714" s="559"/>
      <c r="L714" s="559"/>
      <c r="M714" s="559"/>
      <c r="N714" s="559"/>
      <c r="O714" s="559"/>
      <c r="P714" s="559"/>
      <c r="Q714" s="559"/>
      <c r="R714" s="559"/>
      <c r="S714" s="559"/>
      <c r="T714" s="559"/>
      <c r="U714" s="559"/>
      <c r="V714" s="559"/>
      <c r="W714" s="559"/>
      <c r="X714" s="559"/>
      <c r="Y714" s="559"/>
      <c r="Z714" s="559"/>
      <c r="AA714" s="559"/>
      <c r="AB714" s="559"/>
      <c r="AC714" s="559"/>
      <c r="AD714" s="559"/>
      <c r="AE714" s="559"/>
      <c r="AF714" s="559"/>
      <c r="AG714" s="559"/>
      <c r="AH714" s="559"/>
      <c r="AI714" s="559"/>
      <c r="AJ714" s="559"/>
      <c r="AK714" s="559"/>
      <c r="AL714" s="559"/>
      <c r="AM714" s="559"/>
      <c r="AN714" s="559"/>
    </row>
    <row r="715">
      <c r="A715" s="559"/>
      <c r="B715" s="559"/>
      <c r="C715" s="559"/>
      <c r="D715" s="559"/>
      <c r="E715" s="559"/>
      <c r="F715" s="559"/>
      <c r="G715" s="559"/>
      <c r="H715" s="559"/>
      <c r="I715" s="559"/>
      <c r="J715" s="559"/>
      <c r="K715" s="559"/>
      <c r="L715" s="559"/>
      <c r="M715" s="559"/>
      <c r="N715" s="559"/>
      <c r="O715" s="559"/>
      <c r="P715" s="559"/>
      <c r="Q715" s="559"/>
      <c r="R715" s="559"/>
      <c r="S715" s="559"/>
      <c r="T715" s="559"/>
      <c r="U715" s="559"/>
      <c r="V715" s="559"/>
      <c r="W715" s="559"/>
      <c r="X715" s="559"/>
      <c r="Y715" s="559"/>
      <c r="Z715" s="559"/>
      <c r="AA715" s="559"/>
      <c r="AB715" s="559"/>
      <c r="AC715" s="559"/>
      <c r="AD715" s="559"/>
      <c r="AE715" s="559"/>
      <c r="AF715" s="559"/>
      <c r="AG715" s="559"/>
      <c r="AH715" s="559"/>
      <c r="AI715" s="559"/>
      <c r="AJ715" s="559"/>
      <c r="AK715" s="559"/>
      <c r="AL715" s="559"/>
      <c r="AM715" s="559"/>
      <c r="AN715" s="559"/>
    </row>
    <row r="716">
      <c r="A716" s="559"/>
      <c r="B716" s="559"/>
      <c r="C716" s="559"/>
      <c r="D716" s="559"/>
      <c r="E716" s="559"/>
      <c r="F716" s="559"/>
      <c r="G716" s="559"/>
      <c r="H716" s="559"/>
      <c r="I716" s="559"/>
      <c r="J716" s="559"/>
      <c r="K716" s="559"/>
      <c r="L716" s="559"/>
      <c r="M716" s="559"/>
      <c r="N716" s="559"/>
      <c r="O716" s="559"/>
      <c r="P716" s="559"/>
      <c r="Q716" s="559"/>
      <c r="R716" s="559"/>
      <c r="S716" s="559"/>
      <c r="T716" s="559"/>
      <c r="U716" s="559"/>
      <c r="V716" s="559"/>
      <c r="W716" s="559"/>
      <c r="X716" s="559"/>
      <c r="Y716" s="559"/>
      <c r="Z716" s="559"/>
      <c r="AA716" s="559"/>
      <c r="AB716" s="559"/>
      <c r="AC716" s="559"/>
      <c r="AD716" s="559"/>
      <c r="AE716" s="559"/>
      <c r="AF716" s="559"/>
      <c r="AG716" s="559"/>
      <c r="AH716" s="559"/>
      <c r="AI716" s="559"/>
      <c r="AJ716" s="559"/>
      <c r="AK716" s="559"/>
      <c r="AL716" s="559"/>
      <c r="AM716" s="559"/>
      <c r="AN716" s="559"/>
    </row>
    <row r="717">
      <c r="A717" s="559"/>
      <c r="B717" s="559"/>
      <c r="C717" s="559"/>
      <c r="D717" s="559"/>
      <c r="E717" s="559"/>
      <c r="F717" s="559"/>
      <c r="G717" s="559"/>
      <c r="H717" s="559"/>
      <c r="I717" s="559"/>
      <c r="J717" s="559"/>
      <c r="K717" s="559"/>
      <c r="L717" s="559"/>
      <c r="M717" s="559"/>
      <c r="N717" s="559"/>
      <c r="O717" s="559"/>
      <c r="P717" s="559"/>
      <c r="Q717" s="559"/>
      <c r="R717" s="559"/>
      <c r="S717" s="559"/>
      <c r="T717" s="559"/>
      <c r="U717" s="559"/>
      <c r="V717" s="559"/>
      <c r="W717" s="559"/>
      <c r="X717" s="559"/>
      <c r="Y717" s="559"/>
      <c r="Z717" s="559"/>
      <c r="AA717" s="559"/>
      <c r="AB717" s="559"/>
      <c r="AC717" s="559"/>
      <c r="AD717" s="559"/>
      <c r="AE717" s="559"/>
      <c r="AF717" s="559"/>
      <c r="AG717" s="559"/>
      <c r="AH717" s="559"/>
      <c r="AI717" s="559"/>
      <c r="AJ717" s="559"/>
      <c r="AK717" s="559"/>
      <c r="AL717" s="559"/>
      <c r="AM717" s="559"/>
      <c r="AN717" s="559"/>
    </row>
    <row r="718">
      <c r="A718" s="559"/>
      <c r="B718" s="559"/>
      <c r="C718" s="559"/>
      <c r="D718" s="559"/>
      <c r="E718" s="559"/>
      <c r="F718" s="559"/>
      <c r="G718" s="559"/>
      <c r="H718" s="559"/>
      <c r="I718" s="559"/>
      <c r="J718" s="559"/>
      <c r="K718" s="559"/>
      <c r="L718" s="559"/>
      <c r="M718" s="559"/>
      <c r="N718" s="559"/>
      <c r="O718" s="559"/>
      <c r="P718" s="559"/>
      <c r="Q718" s="559"/>
      <c r="R718" s="559"/>
      <c r="S718" s="559"/>
      <c r="T718" s="559"/>
      <c r="U718" s="559"/>
      <c r="V718" s="559"/>
      <c r="W718" s="559"/>
      <c r="X718" s="559"/>
      <c r="Y718" s="559"/>
      <c r="Z718" s="559"/>
      <c r="AA718" s="559"/>
      <c r="AB718" s="559"/>
      <c r="AC718" s="559"/>
      <c r="AD718" s="559"/>
      <c r="AE718" s="559"/>
      <c r="AF718" s="559"/>
      <c r="AG718" s="559"/>
      <c r="AH718" s="559"/>
      <c r="AI718" s="559"/>
      <c r="AJ718" s="559"/>
      <c r="AK718" s="559"/>
      <c r="AL718" s="559"/>
      <c r="AM718" s="559"/>
      <c r="AN718" s="559"/>
    </row>
    <row r="719">
      <c r="A719" s="559"/>
      <c r="B719" s="559"/>
      <c r="C719" s="559"/>
      <c r="D719" s="559"/>
      <c r="E719" s="559"/>
      <c r="F719" s="559"/>
      <c r="G719" s="559"/>
      <c r="H719" s="559"/>
      <c r="I719" s="559"/>
      <c r="J719" s="559"/>
      <c r="K719" s="559"/>
      <c r="L719" s="559"/>
      <c r="M719" s="559"/>
      <c r="N719" s="559"/>
      <c r="O719" s="559"/>
      <c r="P719" s="559"/>
      <c r="Q719" s="559"/>
      <c r="R719" s="559"/>
      <c r="S719" s="559"/>
      <c r="T719" s="559"/>
      <c r="U719" s="559"/>
      <c r="V719" s="559"/>
      <c r="W719" s="559"/>
      <c r="X719" s="559"/>
      <c r="Y719" s="559"/>
      <c r="Z719" s="559"/>
      <c r="AA719" s="559"/>
      <c r="AB719" s="559"/>
      <c r="AC719" s="559"/>
      <c r="AD719" s="559"/>
      <c r="AE719" s="559"/>
      <c r="AF719" s="559"/>
      <c r="AG719" s="559"/>
      <c r="AH719" s="559"/>
      <c r="AI719" s="559"/>
      <c r="AJ719" s="559"/>
      <c r="AK719" s="559"/>
      <c r="AL719" s="559"/>
      <c r="AM719" s="559"/>
      <c r="AN719" s="559"/>
    </row>
    <row r="720">
      <c r="A720" s="559"/>
      <c r="B720" s="559"/>
      <c r="C720" s="559"/>
      <c r="D720" s="559"/>
      <c r="E720" s="559"/>
      <c r="F720" s="559"/>
      <c r="G720" s="559"/>
      <c r="H720" s="559"/>
      <c r="I720" s="559"/>
      <c r="J720" s="559"/>
      <c r="K720" s="559"/>
      <c r="L720" s="559"/>
      <c r="M720" s="559"/>
      <c r="N720" s="559"/>
      <c r="O720" s="559"/>
      <c r="P720" s="559"/>
      <c r="Q720" s="559"/>
      <c r="R720" s="559"/>
      <c r="S720" s="559"/>
      <c r="T720" s="559"/>
      <c r="U720" s="559"/>
      <c r="V720" s="559"/>
      <c r="W720" s="559"/>
      <c r="X720" s="559"/>
      <c r="Y720" s="559"/>
      <c r="Z720" s="559"/>
      <c r="AA720" s="559"/>
      <c r="AB720" s="559"/>
      <c r="AC720" s="559"/>
      <c r="AD720" s="559"/>
      <c r="AE720" s="559"/>
      <c r="AF720" s="559"/>
      <c r="AG720" s="559"/>
      <c r="AH720" s="559"/>
      <c r="AI720" s="559"/>
      <c r="AJ720" s="559"/>
      <c r="AK720" s="559"/>
      <c r="AL720" s="559"/>
      <c r="AM720" s="559"/>
      <c r="AN720" s="559"/>
    </row>
    <row r="721">
      <c r="A721" s="559"/>
      <c r="B721" s="559"/>
      <c r="C721" s="559"/>
      <c r="D721" s="559"/>
      <c r="E721" s="559"/>
      <c r="F721" s="559"/>
      <c r="G721" s="559"/>
      <c r="H721" s="559"/>
      <c r="I721" s="559"/>
      <c r="J721" s="559"/>
      <c r="K721" s="559"/>
      <c r="L721" s="559"/>
      <c r="M721" s="559"/>
      <c r="N721" s="559"/>
      <c r="O721" s="559"/>
      <c r="P721" s="559"/>
      <c r="Q721" s="559"/>
      <c r="R721" s="559"/>
      <c r="S721" s="559"/>
      <c r="T721" s="559"/>
      <c r="U721" s="559"/>
      <c r="V721" s="559"/>
      <c r="W721" s="559"/>
      <c r="X721" s="559"/>
      <c r="Y721" s="559"/>
      <c r="Z721" s="559"/>
      <c r="AA721" s="559"/>
      <c r="AB721" s="559"/>
      <c r="AC721" s="559"/>
      <c r="AD721" s="559"/>
      <c r="AE721" s="559"/>
      <c r="AF721" s="559"/>
      <c r="AG721" s="559"/>
      <c r="AH721" s="559"/>
      <c r="AI721" s="559"/>
      <c r="AJ721" s="559"/>
      <c r="AK721" s="559"/>
      <c r="AL721" s="559"/>
      <c r="AM721" s="559"/>
      <c r="AN721" s="559"/>
    </row>
    <row r="722">
      <c r="A722" s="559"/>
      <c r="B722" s="559"/>
      <c r="C722" s="559"/>
      <c r="D722" s="559"/>
      <c r="E722" s="559"/>
      <c r="F722" s="559"/>
      <c r="G722" s="559"/>
      <c r="H722" s="559"/>
      <c r="I722" s="559"/>
      <c r="J722" s="559"/>
      <c r="K722" s="559"/>
      <c r="L722" s="559"/>
      <c r="M722" s="559"/>
      <c r="N722" s="559"/>
      <c r="O722" s="559"/>
      <c r="P722" s="559"/>
      <c r="Q722" s="559"/>
      <c r="R722" s="559"/>
      <c r="S722" s="559"/>
      <c r="T722" s="559"/>
      <c r="U722" s="559"/>
      <c r="V722" s="559"/>
      <c r="W722" s="559"/>
      <c r="X722" s="559"/>
      <c r="Y722" s="559"/>
      <c r="Z722" s="559"/>
      <c r="AA722" s="559"/>
      <c r="AB722" s="559"/>
      <c r="AC722" s="559"/>
      <c r="AD722" s="559"/>
      <c r="AE722" s="559"/>
      <c r="AF722" s="559"/>
      <c r="AG722" s="559"/>
      <c r="AH722" s="559"/>
      <c r="AI722" s="559"/>
      <c r="AJ722" s="559"/>
      <c r="AK722" s="559"/>
      <c r="AL722" s="559"/>
      <c r="AM722" s="559"/>
      <c r="AN722" s="559"/>
    </row>
    <row r="723">
      <c r="A723" s="559"/>
      <c r="B723" s="559"/>
      <c r="C723" s="559"/>
      <c r="D723" s="559"/>
      <c r="E723" s="559"/>
      <c r="F723" s="559"/>
      <c r="G723" s="559"/>
      <c r="H723" s="559"/>
      <c r="I723" s="559"/>
      <c r="J723" s="559"/>
      <c r="K723" s="559"/>
      <c r="L723" s="559"/>
      <c r="M723" s="559"/>
      <c r="N723" s="559"/>
      <c r="O723" s="559"/>
      <c r="P723" s="559"/>
      <c r="Q723" s="559"/>
      <c r="R723" s="559"/>
      <c r="S723" s="559"/>
      <c r="T723" s="559"/>
      <c r="U723" s="559"/>
      <c r="V723" s="559"/>
      <c r="W723" s="559"/>
      <c r="X723" s="559"/>
      <c r="Y723" s="559"/>
      <c r="Z723" s="559"/>
      <c r="AA723" s="559"/>
      <c r="AB723" s="559"/>
      <c r="AC723" s="559"/>
      <c r="AD723" s="559"/>
      <c r="AE723" s="559"/>
      <c r="AF723" s="559"/>
      <c r="AG723" s="559"/>
      <c r="AH723" s="559"/>
      <c r="AI723" s="559"/>
      <c r="AJ723" s="559"/>
      <c r="AK723" s="559"/>
      <c r="AL723" s="559"/>
      <c r="AM723" s="559"/>
      <c r="AN723" s="559"/>
    </row>
    <row r="724">
      <c r="A724" s="559"/>
      <c r="B724" s="559"/>
      <c r="C724" s="559"/>
      <c r="D724" s="559"/>
      <c r="E724" s="559"/>
      <c r="F724" s="559"/>
      <c r="G724" s="559"/>
      <c r="H724" s="559"/>
      <c r="I724" s="559"/>
      <c r="J724" s="559"/>
      <c r="K724" s="559"/>
      <c r="L724" s="559"/>
      <c r="M724" s="559"/>
      <c r="N724" s="559"/>
      <c r="O724" s="559"/>
      <c r="P724" s="559"/>
      <c r="Q724" s="559"/>
      <c r="R724" s="559"/>
      <c r="S724" s="559"/>
      <c r="T724" s="559"/>
      <c r="U724" s="559"/>
      <c r="V724" s="559"/>
      <c r="W724" s="559"/>
      <c r="X724" s="559"/>
      <c r="Y724" s="559"/>
      <c r="Z724" s="559"/>
      <c r="AA724" s="559"/>
      <c r="AB724" s="559"/>
      <c r="AC724" s="559"/>
      <c r="AD724" s="559"/>
      <c r="AE724" s="559"/>
      <c r="AF724" s="559"/>
      <c r="AG724" s="559"/>
      <c r="AH724" s="559"/>
      <c r="AI724" s="559"/>
      <c r="AJ724" s="559"/>
      <c r="AK724" s="559"/>
      <c r="AL724" s="559"/>
      <c r="AM724" s="559"/>
      <c r="AN724" s="559"/>
    </row>
    <row r="725">
      <c r="A725" s="559"/>
      <c r="B725" s="559"/>
      <c r="C725" s="559"/>
      <c r="D725" s="559"/>
      <c r="E725" s="559"/>
      <c r="F725" s="559"/>
      <c r="G725" s="559"/>
      <c r="H725" s="559"/>
      <c r="I725" s="559"/>
      <c r="J725" s="559"/>
      <c r="K725" s="559"/>
      <c r="L725" s="559"/>
      <c r="M725" s="559"/>
      <c r="N725" s="559"/>
      <c r="O725" s="559"/>
      <c r="P725" s="559"/>
      <c r="Q725" s="559"/>
      <c r="R725" s="559"/>
      <c r="S725" s="559"/>
      <c r="T725" s="559"/>
      <c r="U725" s="559"/>
      <c r="V725" s="559"/>
      <c r="W725" s="559"/>
      <c r="X725" s="559"/>
      <c r="Y725" s="559"/>
      <c r="Z725" s="559"/>
      <c r="AA725" s="559"/>
      <c r="AB725" s="559"/>
      <c r="AC725" s="559"/>
      <c r="AD725" s="559"/>
      <c r="AE725" s="559"/>
      <c r="AF725" s="559"/>
      <c r="AG725" s="559"/>
      <c r="AH725" s="559"/>
      <c r="AI725" s="559"/>
      <c r="AJ725" s="559"/>
      <c r="AK725" s="559"/>
      <c r="AL725" s="559"/>
      <c r="AM725" s="559"/>
      <c r="AN725" s="559"/>
    </row>
    <row r="726">
      <c r="A726" s="559"/>
      <c r="B726" s="559"/>
      <c r="C726" s="559"/>
      <c r="D726" s="559"/>
      <c r="E726" s="559"/>
      <c r="F726" s="559"/>
      <c r="G726" s="559"/>
      <c r="H726" s="559"/>
      <c r="I726" s="559"/>
      <c r="J726" s="559"/>
      <c r="K726" s="559"/>
      <c r="L726" s="559"/>
      <c r="M726" s="559"/>
      <c r="N726" s="559"/>
      <c r="O726" s="559"/>
      <c r="P726" s="559"/>
      <c r="Q726" s="559"/>
      <c r="R726" s="559"/>
      <c r="S726" s="559"/>
      <c r="T726" s="559"/>
      <c r="U726" s="559"/>
      <c r="V726" s="559"/>
      <c r="W726" s="559"/>
      <c r="X726" s="559"/>
      <c r="Y726" s="559"/>
      <c r="Z726" s="559"/>
      <c r="AA726" s="559"/>
      <c r="AB726" s="559"/>
      <c r="AC726" s="559"/>
      <c r="AD726" s="559"/>
      <c r="AE726" s="559"/>
      <c r="AF726" s="559"/>
      <c r="AG726" s="559"/>
      <c r="AH726" s="559"/>
      <c r="AI726" s="559"/>
      <c r="AJ726" s="559"/>
      <c r="AK726" s="559"/>
      <c r="AL726" s="559"/>
      <c r="AM726" s="559"/>
      <c r="AN726" s="559"/>
    </row>
    <row r="727">
      <c r="A727" s="559"/>
      <c r="B727" s="559"/>
      <c r="C727" s="559"/>
      <c r="D727" s="559"/>
      <c r="E727" s="559"/>
      <c r="F727" s="559"/>
      <c r="G727" s="559"/>
      <c r="H727" s="559"/>
      <c r="I727" s="559"/>
      <c r="J727" s="559"/>
      <c r="K727" s="559"/>
      <c r="L727" s="559"/>
      <c r="M727" s="559"/>
      <c r="N727" s="559"/>
      <c r="O727" s="559"/>
      <c r="P727" s="559"/>
      <c r="Q727" s="559"/>
      <c r="R727" s="559"/>
      <c r="S727" s="559"/>
      <c r="T727" s="559"/>
      <c r="U727" s="559"/>
      <c r="V727" s="559"/>
      <c r="W727" s="559"/>
      <c r="X727" s="559"/>
      <c r="Y727" s="559"/>
      <c r="Z727" s="559"/>
      <c r="AA727" s="559"/>
      <c r="AB727" s="559"/>
      <c r="AC727" s="559"/>
      <c r="AD727" s="559"/>
      <c r="AE727" s="559"/>
      <c r="AF727" s="559"/>
      <c r="AG727" s="559"/>
      <c r="AH727" s="559"/>
      <c r="AI727" s="559"/>
      <c r="AJ727" s="559"/>
      <c r="AK727" s="559"/>
      <c r="AL727" s="559"/>
      <c r="AM727" s="559"/>
      <c r="AN727" s="559"/>
    </row>
    <row r="728">
      <c r="A728" s="559"/>
      <c r="B728" s="559"/>
      <c r="C728" s="559"/>
      <c r="D728" s="559"/>
      <c r="E728" s="559"/>
      <c r="F728" s="559"/>
      <c r="G728" s="559"/>
      <c r="H728" s="559"/>
      <c r="I728" s="559"/>
      <c r="J728" s="559"/>
      <c r="K728" s="559"/>
      <c r="L728" s="559"/>
      <c r="M728" s="559"/>
      <c r="N728" s="559"/>
      <c r="O728" s="559"/>
      <c r="P728" s="559"/>
      <c r="Q728" s="559"/>
      <c r="R728" s="559"/>
      <c r="S728" s="559"/>
      <c r="T728" s="559"/>
      <c r="U728" s="559"/>
      <c r="V728" s="559"/>
      <c r="W728" s="559"/>
      <c r="X728" s="559"/>
      <c r="Y728" s="559"/>
      <c r="Z728" s="559"/>
      <c r="AA728" s="559"/>
      <c r="AB728" s="559"/>
      <c r="AC728" s="559"/>
      <c r="AD728" s="559"/>
      <c r="AE728" s="559"/>
      <c r="AF728" s="559"/>
      <c r="AG728" s="559"/>
      <c r="AH728" s="559"/>
      <c r="AI728" s="559"/>
      <c r="AJ728" s="559"/>
      <c r="AK728" s="559"/>
      <c r="AL728" s="559"/>
      <c r="AM728" s="559"/>
      <c r="AN728" s="559"/>
    </row>
    <row r="729">
      <c r="A729" s="559"/>
      <c r="B729" s="559"/>
      <c r="C729" s="559"/>
      <c r="D729" s="559"/>
      <c r="E729" s="559"/>
      <c r="F729" s="559"/>
      <c r="G729" s="559"/>
      <c r="H729" s="559"/>
      <c r="I729" s="559"/>
      <c r="J729" s="559"/>
      <c r="K729" s="559"/>
      <c r="L729" s="559"/>
      <c r="M729" s="559"/>
      <c r="N729" s="559"/>
      <c r="O729" s="559"/>
      <c r="P729" s="559"/>
      <c r="Q729" s="559"/>
      <c r="R729" s="559"/>
      <c r="S729" s="559"/>
      <c r="T729" s="559"/>
      <c r="U729" s="559"/>
      <c r="V729" s="559"/>
      <c r="W729" s="559"/>
      <c r="X729" s="559"/>
      <c r="Y729" s="559"/>
      <c r="Z729" s="559"/>
      <c r="AA729" s="559"/>
      <c r="AB729" s="559"/>
      <c r="AC729" s="559"/>
      <c r="AD729" s="559"/>
      <c r="AE729" s="559"/>
      <c r="AF729" s="559"/>
      <c r="AG729" s="559"/>
      <c r="AH729" s="559"/>
      <c r="AI729" s="559"/>
      <c r="AJ729" s="559"/>
      <c r="AK729" s="559"/>
      <c r="AL729" s="559"/>
      <c r="AM729" s="559"/>
      <c r="AN729" s="559"/>
    </row>
    <row r="730">
      <c r="A730" s="559"/>
      <c r="B730" s="559"/>
      <c r="C730" s="559"/>
      <c r="D730" s="559"/>
      <c r="E730" s="559"/>
      <c r="F730" s="559"/>
      <c r="G730" s="559"/>
      <c r="H730" s="559"/>
      <c r="I730" s="559"/>
      <c r="J730" s="559"/>
      <c r="K730" s="559"/>
      <c r="L730" s="559"/>
      <c r="M730" s="559"/>
      <c r="N730" s="559"/>
      <c r="O730" s="559"/>
      <c r="P730" s="559"/>
      <c r="Q730" s="559"/>
      <c r="R730" s="559"/>
      <c r="S730" s="559"/>
      <c r="T730" s="559"/>
      <c r="U730" s="559"/>
      <c r="V730" s="559"/>
      <c r="W730" s="559"/>
      <c r="X730" s="559"/>
      <c r="Y730" s="559"/>
      <c r="Z730" s="559"/>
      <c r="AA730" s="559"/>
      <c r="AB730" s="559"/>
      <c r="AC730" s="559"/>
      <c r="AD730" s="559"/>
      <c r="AE730" s="559"/>
      <c r="AF730" s="559"/>
      <c r="AG730" s="559"/>
      <c r="AH730" s="559"/>
      <c r="AI730" s="559"/>
      <c r="AJ730" s="559"/>
      <c r="AK730" s="559"/>
      <c r="AL730" s="559"/>
      <c r="AM730" s="559"/>
      <c r="AN730" s="559"/>
    </row>
    <row r="731">
      <c r="A731" s="559"/>
      <c r="B731" s="559"/>
      <c r="C731" s="559"/>
      <c r="D731" s="559"/>
      <c r="E731" s="559"/>
      <c r="F731" s="559"/>
      <c r="G731" s="559"/>
      <c r="H731" s="559"/>
      <c r="I731" s="559"/>
      <c r="J731" s="559"/>
      <c r="K731" s="559"/>
      <c r="L731" s="559"/>
      <c r="M731" s="559"/>
      <c r="N731" s="559"/>
      <c r="O731" s="559"/>
      <c r="P731" s="559"/>
      <c r="Q731" s="559"/>
      <c r="R731" s="559"/>
      <c r="S731" s="559"/>
      <c r="T731" s="559"/>
      <c r="U731" s="559"/>
      <c r="V731" s="559"/>
      <c r="W731" s="559"/>
      <c r="X731" s="559"/>
      <c r="Y731" s="559"/>
      <c r="Z731" s="559"/>
      <c r="AA731" s="559"/>
      <c r="AB731" s="559"/>
      <c r="AC731" s="559"/>
      <c r="AD731" s="559"/>
      <c r="AE731" s="559"/>
      <c r="AF731" s="559"/>
      <c r="AG731" s="559"/>
      <c r="AH731" s="559"/>
      <c r="AI731" s="559"/>
      <c r="AJ731" s="559"/>
      <c r="AK731" s="559"/>
      <c r="AL731" s="559"/>
      <c r="AM731" s="559"/>
      <c r="AN731" s="559"/>
    </row>
    <row r="732">
      <c r="A732" s="559"/>
      <c r="B732" s="559"/>
      <c r="C732" s="559"/>
      <c r="D732" s="559"/>
      <c r="E732" s="559"/>
      <c r="F732" s="559"/>
      <c r="G732" s="559"/>
      <c r="H732" s="559"/>
      <c r="I732" s="559"/>
      <c r="J732" s="559"/>
      <c r="K732" s="559"/>
      <c r="L732" s="559"/>
      <c r="M732" s="559"/>
      <c r="N732" s="559"/>
      <c r="O732" s="559"/>
      <c r="P732" s="559"/>
      <c r="Q732" s="559"/>
      <c r="R732" s="559"/>
      <c r="S732" s="559"/>
      <c r="T732" s="559"/>
      <c r="U732" s="559"/>
      <c r="V732" s="559"/>
      <c r="W732" s="559"/>
      <c r="X732" s="559"/>
      <c r="Y732" s="559"/>
      <c r="Z732" s="559"/>
      <c r="AA732" s="559"/>
      <c r="AB732" s="559"/>
      <c r="AC732" s="559"/>
      <c r="AD732" s="559"/>
      <c r="AE732" s="559"/>
      <c r="AF732" s="559"/>
      <c r="AG732" s="559"/>
      <c r="AH732" s="559"/>
      <c r="AI732" s="559"/>
      <c r="AJ732" s="559"/>
      <c r="AK732" s="559"/>
      <c r="AL732" s="559"/>
      <c r="AM732" s="559"/>
      <c r="AN732" s="559"/>
    </row>
    <row r="733">
      <c r="A733" s="559"/>
      <c r="B733" s="559"/>
      <c r="C733" s="559"/>
      <c r="D733" s="559"/>
      <c r="E733" s="559"/>
      <c r="F733" s="559"/>
      <c r="G733" s="559"/>
      <c r="H733" s="559"/>
      <c r="I733" s="559"/>
      <c r="J733" s="559"/>
      <c r="K733" s="559"/>
      <c r="L733" s="559"/>
      <c r="M733" s="559"/>
      <c r="N733" s="559"/>
      <c r="O733" s="559"/>
      <c r="P733" s="559"/>
      <c r="Q733" s="559"/>
      <c r="R733" s="559"/>
      <c r="S733" s="559"/>
      <c r="T733" s="559"/>
      <c r="U733" s="559"/>
      <c r="V733" s="559"/>
      <c r="W733" s="559"/>
      <c r="X733" s="559"/>
      <c r="Y733" s="559"/>
      <c r="Z733" s="559"/>
      <c r="AA733" s="559"/>
      <c r="AB733" s="559"/>
      <c r="AC733" s="559"/>
      <c r="AD733" s="559"/>
      <c r="AE733" s="559"/>
      <c r="AF733" s="559"/>
      <c r="AG733" s="559"/>
      <c r="AH733" s="559"/>
      <c r="AI733" s="559"/>
      <c r="AJ733" s="559"/>
      <c r="AK733" s="559"/>
      <c r="AL733" s="559"/>
      <c r="AM733" s="559"/>
      <c r="AN733" s="559"/>
    </row>
    <row r="734">
      <c r="A734" s="559"/>
      <c r="B734" s="559"/>
      <c r="C734" s="559"/>
      <c r="D734" s="559"/>
      <c r="E734" s="559"/>
      <c r="F734" s="559"/>
      <c r="G734" s="559"/>
      <c r="H734" s="559"/>
      <c r="I734" s="559"/>
      <c r="J734" s="559"/>
      <c r="K734" s="559"/>
      <c r="L734" s="559"/>
      <c r="M734" s="559"/>
      <c r="N734" s="559"/>
      <c r="O734" s="559"/>
      <c r="P734" s="559"/>
      <c r="Q734" s="559"/>
      <c r="R734" s="559"/>
      <c r="S734" s="559"/>
      <c r="T734" s="559"/>
      <c r="U734" s="559"/>
      <c r="V734" s="559"/>
      <c r="W734" s="559"/>
      <c r="X734" s="559"/>
      <c r="Y734" s="559"/>
      <c r="Z734" s="559"/>
      <c r="AA734" s="559"/>
      <c r="AB734" s="559"/>
      <c r="AC734" s="559"/>
      <c r="AD734" s="559"/>
      <c r="AE734" s="559"/>
      <c r="AF734" s="559"/>
      <c r="AG734" s="559"/>
      <c r="AH734" s="559"/>
      <c r="AI734" s="559"/>
      <c r="AJ734" s="559"/>
      <c r="AK734" s="559"/>
      <c r="AL734" s="559"/>
      <c r="AM734" s="559"/>
      <c r="AN734" s="559"/>
    </row>
    <row r="735">
      <c r="A735" s="559"/>
      <c r="B735" s="559"/>
      <c r="C735" s="559"/>
      <c r="D735" s="559"/>
      <c r="E735" s="559"/>
      <c r="F735" s="559"/>
      <c r="G735" s="559"/>
      <c r="H735" s="559"/>
      <c r="I735" s="559"/>
      <c r="J735" s="559"/>
      <c r="K735" s="559"/>
      <c r="L735" s="559"/>
      <c r="M735" s="559"/>
      <c r="N735" s="559"/>
      <c r="O735" s="559"/>
      <c r="P735" s="559"/>
      <c r="Q735" s="559"/>
      <c r="R735" s="559"/>
      <c r="S735" s="559"/>
      <c r="T735" s="559"/>
      <c r="U735" s="559"/>
      <c r="V735" s="559"/>
      <c r="W735" s="559"/>
      <c r="X735" s="559"/>
      <c r="Y735" s="559"/>
      <c r="Z735" s="559"/>
      <c r="AA735" s="559"/>
      <c r="AB735" s="559"/>
      <c r="AC735" s="559"/>
      <c r="AD735" s="559"/>
      <c r="AE735" s="559"/>
      <c r="AF735" s="559"/>
      <c r="AG735" s="559"/>
      <c r="AH735" s="559"/>
      <c r="AI735" s="559"/>
      <c r="AJ735" s="559"/>
      <c r="AK735" s="559"/>
      <c r="AL735" s="559"/>
      <c r="AM735" s="559"/>
      <c r="AN735" s="559"/>
    </row>
    <row r="736">
      <c r="A736" s="559"/>
      <c r="B736" s="559"/>
      <c r="C736" s="559"/>
      <c r="D736" s="559"/>
      <c r="E736" s="559"/>
      <c r="F736" s="559"/>
      <c r="G736" s="559"/>
      <c r="H736" s="559"/>
      <c r="I736" s="559"/>
      <c r="J736" s="559"/>
      <c r="K736" s="559"/>
      <c r="L736" s="559"/>
      <c r="M736" s="559"/>
      <c r="N736" s="559"/>
      <c r="O736" s="559"/>
      <c r="P736" s="559"/>
      <c r="Q736" s="559"/>
      <c r="R736" s="559"/>
      <c r="S736" s="559"/>
      <c r="T736" s="559"/>
      <c r="U736" s="559"/>
      <c r="V736" s="559"/>
      <c r="W736" s="559"/>
      <c r="X736" s="559"/>
      <c r="Y736" s="559"/>
      <c r="Z736" s="559"/>
      <c r="AA736" s="559"/>
      <c r="AB736" s="559"/>
      <c r="AC736" s="559"/>
      <c r="AD736" s="559"/>
      <c r="AE736" s="559"/>
      <c r="AF736" s="559"/>
      <c r="AG736" s="559"/>
      <c r="AH736" s="559"/>
      <c r="AI736" s="559"/>
      <c r="AJ736" s="559"/>
      <c r="AK736" s="559"/>
      <c r="AL736" s="559"/>
      <c r="AM736" s="559"/>
      <c r="AN736" s="559"/>
    </row>
    <row r="737">
      <c r="A737" s="559"/>
      <c r="B737" s="559"/>
      <c r="C737" s="559"/>
      <c r="D737" s="559"/>
      <c r="E737" s="559"/>
      <c r="F737" s="559"/>
      <c r="G737" s="559"/>
      <c r="H737" s="559"/>
      <c r="I737" s="559"/>
      <c r="J737" s="559"/>
      <c r="K737" s="559"/>
      <c r="L737" s="559"/>
      <c r="M737" s="559"/>
      <c r="N737" s="559"/>
      <c r="O737" s="559"/>
      <c r="P737" s="559"/>
      <c r="Q737" s="559"/>
      <c r="R737" s="559"/>
      <c r="S737" s="559"/>
      <c r="T737" s="559"/>
      <c r="U737" s="559"/>
      <c r="V737" s="559"/>
      <c r="W737" s="559"/>
      <c r="X737" s="559"/>
      <c r="Y737" s="559"/>
      <c r="Z737" s="559"/>
      <c r="AA737" s="559"/>
      <c r="AB737" s="559"/>
      <c r="AC737" s="559"/>
      <c r="AD737" s="559"/>
      <c r="AE737" s="559"/>
      <c r="AF737" s="559"/>
      <c r="AG737" s="559"/>
      <c r="AH737" s="559"/>
      <c r="AI737" s="559"/>
      <c r="AJ737" s="559"/>
      <c r="AK737" s="559"/>
      <c r="AL737" s="559"/>
      <c r="AM737" s="559"/>
      <c r="AN737" s="559"/>
    </row>
    <row r="738">
      <c r="A738" s="559"/>
      <c r="B738" s="559"/>
      <c r="C738" s="559"/>
      <c r="D738" s="559"/>
      <c r="E738" s="559"/>
      <c r="F738" s="559"/>
      <c r="G738" s="559"/>
      <c r="H738" s="559"/>
      <c r="I738" s="559"/>
      <c r="J738" s="559"/>
      <c r="K738" s="559"/>
      <c r="L738" s="559"/>
      <c r="M738" s="559"/>
      <c r="N738" s="559"/>
      <c r="O738" s="559"/>
      <c r="P738" s="559"/>
      <c r="Q738" s="559"/>
      <c r="R738" s="559"/>
      <c r="S738" s="559"/>
      <c r="T738" s="559"/>
      <c r="U738" s="559"/>
      <c r="V738" s="559"/>
      <c r="W738" s="559"/>
      <c r="X738" s="559"/>
      <c r="Y738" s="559"/>
      <c r="Z738" s="559"/>
      <c r="AA738" s="559"/>
      <c r="AB738" s="559"/>
      <c r="AC738" s="559"/>
      <c r="AD738" s="559"/>
      <c r="AE738" s="559"/>
      <c r="AF738" s="559"/>
      <c r="AG738" s="559"/>
      <c r="AH738" s="559"/>
      <c r="AI738" s="559"/>
      <c r="AJ738" s="559"/>
      <c r="AK738" s="559"/>
      <c r="AL738" s="559"/>
      <c r="AM738" s="559"/>
      <c r="AN738" s="559"/>
    </row>
    <row r="739">
      <c r="A739" s="559"/>
      <c r="B739" s="559"/>
      <c r="C739" s="559"/>
      <c r="D739" s="559"/>
      <c r="E739" s="559"/>
      <c r="F739" s="559"/>
      <c r="G739" s="559"/>
      <c r="H739" s="559"/>
      <c r="I739" s="559"/>
      <c r="J739" s="559"/>
      <c r="K739" s="559"/>
      <c r="L739" s="559"/>
      <c r="M739" s="559"/>
      <c r="N739" s="559"/>
      <c r="O739" s="559"/>
      <c r="P739" s="559"/>
      <c r="Q739" s="559"/>
      <c r="R739" s="559"/>
      <c r="S739" s="559"/>
      <c r="T739" s="559"/>
      <c r="U739" s="559"/>
      <c r="V739" s="559"/>
      <c r="W739" s="559"/>
      <c r="X739" s="559"/>
      <c r="Y739" s="559"/>
      <c r="Z739" s="559"/>
      <c r="AA739" s="559"/>
      <c r="AB739" s="559"/>
      <c r="AC739" s="559"/>
      <c r="AD739" s="559"/>
      <c r="AE739" s="559"/>
      <c r="AF739" s="559"/>
      <c r="AG739" s="559"/>
      <c r="AH739" s="559"/>
      <c r="AI739" s="559"/>
      <c r="AJ739" s="559"/>
      <c r="AK739" s="559"/>
      <c r="AL739" s="559"/>
      <c r="AM739" s="559"/>
      <c r="AN739" s="559"/>
    </row>
    <row r="740">
      <c r="A740" s="559"/>
      <c r="B740" s="559"/>
      <c r="C740" s="559"/>
      <c r="D740" s="559"/>
      <c r="E740" s="559"/>
      <c r="F740" s="559"/>
      <c r="G740" s="559"/>
      <c r="H740" s="559"/>
      <c r="I740" s="559"/>
      <c r="J740" s="559"/>
      <c r="K740" s="559"/>
      <c r="L740" s="559"/>
      <c r="M740" s="559"/>
      <c r="N740" s="559"/>
      <c r="O740" s="559"/>
      <c r="P740" s="559"/>
      <c r="Q740" s="559"/>
      <c r="R740" s="559"/>
      <c r="S740" s="559"/>
      <c r="T740" s="559"/>
      <c r="U740" s="559"/>
      <c r="V740" s="559"/>
      <c r="W740" s="559"/>
      <c r="X740" s="559"/>
      <c r="Y740" s="559"/>
      <c r="Z740" s="559"/>
      <c r="AA740" s="559"/>
      <c r="AB740" s="559"/>
      <c r="AC740" s="559"/>
      <c r="AD740" s="559"/>
      <c r="AE740" s="559"/>
      <c r="AF740" s="559"/>
      <c r="AG740" s="559"/>
      <c r="AH740" s="559"/>
      <c r="AI740" s="559"/>
      <c r="AJ740" s="559"/>
      <c r="AK740" s="559"/>
      <c r="AL740" s="559"/>
      <c r="AM740" s="559"/>
      <c r="AN740" s="559"/>
    </row>
    <row r="741">
      <c r="A741" s="559"/>
      <c r="B741" s="559"/>
      <c r="C741" s="559"/>
      <c r="D741" s="559"/>
      <c r="E741" s="559"/>
      <c r="F741" s="559"/>
      <c r="G741" s="559"/>
      <c r="H741" s="559"/>
      <c r="I741" s="559"/>
      <c r="J741" s="559"/>
      <c r="K741" s="559"/>
      <c r="L741" s="559"/>
      <c r="M741" s="559"/>
      <c r="N741" s="559"/>
      <c r="O741" s="559"/>
      <c r="P741" s="559"/>
      <c r="Q741" s="559"/>
      <c r="R741" s="559"/>
      <c r="S741" s="559"/>
      <c r="T741" s="559"/>
      <c r="U741" s="559"/>
      <c r="V741" s="559"/>
      <c r="W741" s="559"/>
      <c r="X741" s="559"/>
      <c r="Y741" s="559"/>
      <c r="Z741" s="559"/>
      <c r="AA741" s="559"/>
      <c r="AB741" s="559"/>
      <c r="AC741" s="559"/>
      <c r="AD741" s="559"/>
      <c r="AE741" s="559"/>
      <c r="AF741" s="559"/>
      <c r="AG741" s="559"/>
      <c r="AH741" s="559"/>
      <c r="AI741" s="559"/>
      <c r="AJ741" s="559"/>
      <c r="AK741" s="559"/>
      <c r="AL741" s="559"/>
      <c r="AM741" s="559"/>
      <c r="AN741" s="559"/>
    </row>
    <row r="742">
      <c r="A742" s="559"/>
      <c r="B742" s="559"/>
      <c r="C742" s="559"/>
      <c r="D742" s="559"/>
      <c r="E742" s="559"/>
      <c r="F742" s="559"/>
      <c r="G742" s="559"/>
      <c r="H742" s="559"/>
      <c r="I742" s="559"/>
      <c r="J742" s="559"/>
      <c r="K742" s="559"/>
      <c r="L742" s="559"/>
      <c r="M742" s="559"/>
      <c r="N742" s="559"/>
      <c r="O742" s="559"/>
      <c r="P742" s="559"/>
      <c r="Q742" s="559"/>
      <c r="R742" s="559"/>
      <c r="S742" s="559"/>
      <c r="T742" s="559"/>
      <c r="U742" s="559"/>
      <c r="V742" s="559"/>
      <c r="W742" s="559"/>
      <c r="X742" s="559"/>
      <c r="Y742" s="559"/>
      <c r="Z742" s="559"/>
      <c r="AA742" s="559"/>
      <c r="AB742" s="559"/>
      <c r="AC742" s="559"/>
      <c r="AD742" s="559"/>
      <c r="AE742" s="559"/>
      <c r="AF742" s="559"/>
      <c r="AG742" s="559"/>
      <c r="AH742" s="559"/>
      <c r="AI742" s="559"/>
      <c r="AJ742" s="559"/>
      <c r="AK742" s="559"/>
      <c r="AL742" s="559"/>
      <c r="AM742" s="559"/>
      <c r="AN742" s="559"/>
    </row>
    <row r="743">
      <c r="A743" s="559"/>
      <c r="B743" s="559"/>
      <c r="C743" s="559"/>
      <c r="D743" s="559"/>
      <c r="E743" s="559"/>
      <c r="F743" s="559"/>
      <c r="G743" s="559"/>
      <c r="H743" s="559"/>
      <c r="I743" s="559"/>
      <c r="J743" s="559"/>
      <c r="K743" s="559"/>
      <c r="L743" s="559"/>
      <c r="M743" s="559"/>
      <c r="N743" s="559"/>
      <c r="O743" s="559"/>
      <c r="P743" s="559"/>
      <c r="Q743" s="559"/>
      <c r="R743" s="559"/>
      <c r="S743" s="559"/>
      <c r="T743" s="559"/>
      <c r="U743" s="559"/>
      <c r="V743" s="559"/>
      <c r="W743" s="559"/>
      <c r="X743" s="559"/>
      <c r="Y743" s="559"/>
      <c r="Z743" s="559"/>
      <c r="AA743" s="559"/>
      <c r="AB743" s="559"/>
      <c r="AC743" s="559"/>
      <c r="AD743" s="559"/>
      <c r="AE743" s="559"/>
      <c r="AF743" s="559"/>
      <c r="AG743" s="559"/>
      <c r="AH743" s="559"/>
      <c r="AI743" s="559"/>
      <c r="AJ743" s="559"/>
      <c r="AK743" s="559"/>
      <c r="AL743" s="559"/>
      <c r="AM743" s="559"/>
      <c r="AN743" s="559"/>
    </row>
    <row r="744">
      <c r="A744" s="559"/>
      <c r="B744" s="559"/>
      <c r="C744" s="559"/>
      <c r="D744" s="559"/>
      <c r="E744" s="559"/>
      <c r="F744" s="559"/>
      <c r="G744" s="559"/>
      <c r="H744" s="559"/>
      <c r="I744" s="559"/>
      <c r="J744" s="559"/>
      <c r="K744" s="559"/>
      <c r="L744" s="559"/>
      <c r="M744" s="559"/>
      <c r="N744" s="559"/>
      <c r="O744" s="559"/>
      <c r="P744" s="559"/>
      <c r="Q744" s="559"/>
      <c r="R744" s="559"/>
      <c r="S744" s="559"/>
      <c r="T744" s="559"/>
      <c r="U744" s="559"/>
      <c r="V744" s="559"/>
      <c r="W744" s="559"/>
      <c r="X744" s="559"/>
      <c r="Y744" s="559"/>
      <c r="Z744" s="559"/>
      <c r="AA744" s="559"/>
      <c r="AB744" s="559"/>
      <c r="AC744" s="559"/>
      <c r="AD744" s="559"/>
      <c r="AE744" s="559"/>
      <c r="AF744" s="559"/>
      <c r="AG744" s="559"/>
      <c r="AH744" s="559"/>
      <c r="AI744" s="559"/>
      <c r="AJ744" s="559"/>
      <c r="AK744" s="559"/>
      <c r="AL744" s="559"/>
      <c r="AM744" s="559"/>
      <c r="AN744" s="559"/>
    </row>
    <row r="745">
      <c r="A745" s="559"/>
      <c r="B745" s="559"/>
      <c r="C745" s="559"/>
      <c r="D745" s="559"/>
      <c r="E745" s="559"/>
      <c r="F745" s="559"/>
      <c r="G745" s="559"/>
      <c r="H745" s="559"/>
      <c r="I745" s="559"/>
      <c r="J745" s="559"/>
      <c r="K745" s="559"/>
      <c r="L745" s="559"/>
      <c r="M745" s="559"/>
      <c r="N745" s="559"/>
      <c r="O745" s="559"/>
      <c r="P745" s="559"/>
      <c r="Q745" s="559"/>
      <c r="R745" s="559"/>
      <c r="S745" s="559"/>
      <c r="T745" s="559"/>
      <c r="U745" s="559"/>
      <c r="V745" s="559"/>
      <c r="W745" s="559"/>
      <c r="X745" s="559"/>
      <c r="Y745" s="559"/>
      <c r="Z745" s="559"/>
      <c r="AA745" s="559"/>
      <c r="AB745" s="559"/>
      <c r="AC745" s="559"/>
      <c r="AD745" s="559"/>
      <c r="AE745" s="559"/>
      <c r="AF745" s="559"/>
      <c r="AG745" s="559"/>
      <c r="AH745" s="559"/>
      <c r="AI745" s="559"/>
      <c r="AJ745" s="559"/>
      <c r="AK745" s="559"/>
      <c r="AL745" s="559"/>
      <c r="AM745" s="559"/>
      <c r="AN745" s="559"/>
    </row>
    <row r="746">
      <c r="A746" s="559"/>
      <c r="B746" s="559"/>
      <c r="C746" s="559"/>
      <c r="D746" s="559"/>
      <c r="E746" s="559"/>
      <c r="F746" s="559"/>
      <c r="G746" s="559"/>
      <c r="H746" s="559"/>
      <c r="I746" s="559"/>
      <c r="J746" s="559"/>
      <c r="K746" s="559"/>
      <c r="L746" s="559"/>
      <c r="M746" s="559"/>
      <c r="N746" s="559"/>
      <c r="O746" s="559"/>
      <c r="P746" s="559"/>
      <c r="Q746" s="559"/>
      <c r="R746" s="559"/>
      <c r="S746" s="559"/>
      <c r="T746" s="559"/>
      <c r="U746" s="559"/>
      <c r="V746" s="559"/>
      <c r="W746" s="559"/>
      <c r="X746" s="559"/>
      <c r="Y746" s="559"/>
      <c r="Z746" s="559"/>
      <c r="AA746" s="559"/>
      <c r="AB746" s="559"/>
      <c r="AC746" s="559"/>
      <c r="AD746" s="559"/>
      <c r="AE746" s="559"/>
      <c r="AF746" s="559"/>
      <c r="AG746" s="559"/>
      <c r="AH746" s="559"/>
      <c r="AI746" s="559"/>
      <c r="AJ746" s="559"/>
      <c r="AK746" s="559"/>
      <c r="AL746" s="559"/>
      <c r="AM746" s="559"/>
      <c r="AN746" s="559"/>
    </row>
    <row r="747">
      <c r="A747" s="559"/>
      <c r="B747" s="559"/>
      <c r="C747" s="559"/>
      <c r="D747" s="559"/>
      <c r="E747" s="559"/>
      <c r="F747" s="559"/>
      <c r="G747" s="559"/>
      <c r="H747" s="559"/>
      <c r="I747" s="559"/>
      <c r="J747" s="559"/>
      <c r="K747" s="559"/>
      <c r="L747" s="559"/>
      <c r="M747" s="559"/>
      <c r="N747" s="559"/>
      <c r="O747" s="559"/>
      <c r="P747" s="559"/>
      <c r="Q747" s="559"/>
      <c r="R747" s="559"/>
      <c r="S747" s="559"/>
      <c r="T747" s="559"/>
      <c r="U747" s="559"/>
      <c r="V747" s="559"/>
      <c r="W747" s="559"/>
      <c r="X747" s="559"/>
      <c r="Y747" s="559"/>
      <c r="Z747" s="559"/>
      <c r="AA747" s="559"/>
      <c r="AB747" s="559"/>
      <c r="AC747" s="559"/>
      <c r="AD747" s="559"/>
      <c r="AE747" s="559"/>
      <c r="AF747" s="559"/>
      <c r="AG747" s="559"/>
      <c r="AH747" s="559"/>
      <c r="AI747" s="559"/>
      <c r="AJ747" s="559"/>
      <c r="AK747" s="559"/>
      <c r="AL747" s="559"/>
      <c r="AM747" s="559"/>
      <c r="AN747" s="559"/>
    </row>
    <row r="748">
      <c r="A748" s="559"/>
      <c r="B748" s="559"/>
      <c r="C748" s="559"/>
      <c r="D748" s="559"/>
      <c r="E748" s="559"/>
      <c r="F748" s="559"/>
      <c r="G748" s="559"/>
      <c r="H748" s="559"/>
      <c r="I748" s="559"/>
      <c r="J748" s="559"/>
      <c r="K748" s="559"/>
      <c r="L748" s="559"/>
      <c r="M748" s="559"/>
      <c r="N748" s="559"/>
      <c r="O748" s="559"/>
      <c r="P748" s="559"/>
      <c r="Q748" s="559"/>
      <c r="R748" s="559"/>
      <c r="S748" s="559"/>
      <c r="T748" s="559"/>
      <c r="U748" s="559"/>
      <c r="V748" s="559"/>
      <c r="W748" s="559"/>
      <c r="X748" s="559"/>
      <c r="Y748" s="559"/>
      <c r="Z748" s="559"/>
      <c r="AA748" s="559"/>
      <c r="AB748" s="559"/>
      <c r="AC748" s="559"/>
      <c r="AD748" s="559"/>
      <c r="AE748" s="559"/>
      <c r="AF748" s="559"/>
      <c r="AG748" s="559"/>
      <c r="AH748" s="559"/>
      <c r="AI748" s="559"/>
      <c r="AJ748" s="559"/>
      <c r="AK748" s="559"/>
      <c r="AL748" s="559"/>
      <c r="AM748" s="559"/>
      <c r="AN748" s="559"/>
    </row>
    <row r="749">
      <c r="A749" s="559"/>
      <c r="B749" s="559"/>
      <c r="C749" s="559"/>
      <c r="D749" s="559"/>
      <c r="E749" s="559"/>
      <c r="F749" s="559"/>
      <c r="G749" s="559"/>
      <c r="H749" s="559"/>
      <c r="I749" s="559"/>
      <c r="J749" s="559"/>
      <c r="K749" s="559"/>
      <c r="L749" s="559"/>
      <c r="M749" s="559"/>
      <c r="N749" s="559"/>
      <c r="O749" s="559"/>
      <c r="P749" s="559"/>
      <c r="Q749" s="559"/>
      <c r="R749" s="559"/>
      <c r="S749" s="559"/>
      <c r="T749" s="559"/>
      <c r="U749" s="559"/>
      <c r="V749" s="559"/>
      <c r="W749" s="559"/>
      <c r="X749" s="559"/>
      <c r="Y749" s="559"/>
      <c r="Z749" s="559"/>
      <c r="AA749" s="559"/>
      <c r="AB749" s="559"/>
      <c r="AC749" s="559"/>
      <c r="AD749" s="559"/>
      <c r="AE749" s="559"/>
      <c r="AF749" s="559"/>
      <c r="AG749" s="559"/>
      <c r="AH749" s="559"/>
      <c r="AI749" s="559"/>
      <c r="AJ749" s="559"/>
      <c r="AK749" s="559"/>
      <c r="AL749" s="559"/>
      <c r="AM749" s="559"/>
      <c r="AN749" s="559"/>
    </row>
    <row r="750">
      <c r="A750" s="559"/>
      <c r="B750" s="559"/>
      <c r="C750" s="559"/>
      <c r="D750" s="559"/>
      <c r="E750" s="559"/>
      <c r="F750" s="559"/>
      <c r="G750" s="559"/>
      <c r="H750" s="559"/>
      <c r="I750" s="559"/>
      <c r="J750" s="559"/>
      <c r="K750" s="559"/>
      <c r="L750" s="559"/>
      <c r="M750" s="559"/>
      <c r="N750" s="559"/>
      <c r="O750" s="559"/>
      <c r="P750" s="559"/>
      <c r="Q750" s="559"/>
      <c r="R750" s="559"/>
      <c r="S750" s="559"/>
      <c r="T750" s="559"/>
      <c r="U750" s="559"/>
      <c r="V750" s="559"/>
      <c r="W750" s="559"/>
      <c r="X750" s="559"/>
      <c r="Y750" s="559"/>
      <c r="Z750" s="559"/>
      <c r="AA750" s="559"/>
      <c r="AB750" s="559"/>
      <c r="AC750" s="559"/>
      <c r="AD750" s="559"/>
      <c r="AE750" s="559"/>
      <c r="AF750" s="559"/>
      <c r="AG750" s="559"/>
      <c r="AH750" s="559"/>
      <c r="AI750" s="559"/>
      <c r="AJ750" s="559"/>
      <c r="AK750" s="559"/>
      <c r="AL750" s="559"/>
      <c r="AM750" s="559"/>
      <c r="AN750" s="559"/>
    </row>
    <row r="751">
      <c r="A751" s="559"/>
      <c r="B751" s="559"/>
      <c r="C751" s="559"/>
      <c r="D751" s="559"/>
      <c r="E751" s="559"/>
      <c r="F751" s="559"/>
      <c r="G751" s="559"/>
      <c r="H751" s="559"/>
      <c r="I751" s="559"/>
      <c r="J751" s="559"/>
      <c r="K751" s="559"/>
      <c r="L751" s="559"/>
      <c r="M751" s="559"/>
      <c r="N751" s="559"/>
      <c r="O751" s="559"/>
      <c r="P751" s="559"/>
      <c r="Q751" s="559"/>
      <c r="R751" s="559"/>
      <c r="S751" s="559"/>
      <c r="T751" s="559"/>
      <c r="U751" s="559"/>
      <c r="V751" s="559"/>
      <c r="W751" s="559"/>
      <c r="X751" s="559"/>
      <c r="Y751" s="559"/>
      <c r="Z751" s="559"/>
      <c r="AA751" s="559"/>
      <c r="AB751" s="559"/>
      <c r="AC751" s="559"/>
      <c r="AD751" s="559"/>
      <c r="AE751" s="559"/>
      <c r="AF751" s="559"/>
      <c r="AG751" s="559"/>
      <c r="AH751" s="559"/>
      <c r="AI751" s="559"/>
      <c r="AJ751" s="559"/>
      <c r="AK751" s="559"/>
      <c r="AL751" s="559"/>
      <c r="AM751" s="559"/>
      <c r="AN751" s="559"/>
    </row>
    <row r="752">
      <c r="A752" s="559"/>
      <c r="B752" s="559"/>
      <c r="C752" s="559"/>
      <c r="D752" s="559"/>
      <c r="E752" s="559"/>
      <c r="F752" s="559"/>
      <c r="G752" s="559"/>
      <c r="H752" s="559"/>
      <c r="I752" s="559"/>
      <c r="J752" s="559"/>
      <c r="K752" s="559"/>
      <c r="L752" s="559"/>
      <c r="M752" s="559"/>
      <c r="N752" s="559"/>
      <c r="O752" s="559"/>
      <c r="P752" s="559"/>
      <c r="Q752" s="559"/>
      <c r="R752" s="559"/>
      <c r="S752" s="559"/>
      <c r="T752" s="559"/>
      <c r="U752" s="559"/>
      <c r="V752" s="559"/>
      <c r="W752" s="559"/>
      <c r="X752" s="559"/>
      <c r="Y752" s="559"/>
      <c r="Z752" s="559"/>
      <c r="AA752" s="559"/>
      <c r="AB752" s="559"/>
      <c r="AC752" s="559"/>
      <c r="AD752" s="559"/>
      <c r="AE752" s="559"/>
      <c r="AF752" s="559"/>
      <c r="AG752" s="559"/>
      <c r="AH752" s="559"/>
      <c r="AI752" s="559"/>
      <c r="AJ752" s="559"/>
      <c r="AK752" s="559"/>
      <c r="AL752" s="559"/>
      <c r="AM752" s="559"/>
      <c r="AN752" s="559"/>
    </row>
    <row r="753">
      <c r="A753" s="559"/>
      <c r="B753" s="559"/>
      <c r="C753" s="559"/>
      <c r="D753" s="559"/>
      <c r="E753" s="559"/>
      <c r="F753" s="559"/>
      <c r="G753" s="559"/>
      <c r="H753" s="559"/>
      <c r="I753" s="559"/>
      <c r="J753" s="559"/>
      <c r="K753" s="559"/>
      <c r="L753" s="559"/>
      <c r="M753" s="559"/>
      <c r="N753" s="559"/>
      <c r="O753" s="559"/>
      <c r="P753" s="559"/>
      <c r="Q753" s="559"/>
      <c r="R753" s="559"/>
      <c r="S753" s="559"/>
      <c r="T753" s="559"/>
      <c r="U753" s="559"/>
      <c r="V753" s="559"/>
      <c r="W753" s="559"/>
      <c r="X753" s="559"/>
      <c r="Y753" s="559"/>
      <c r="Z753" s="559"/>
      <c r="AA753" s="559"/>
      <c r="AB753" s="559"/>
      <c r="AC753" s="559"/>
      <c r="AD753" s="559"/>
      <c r="AE753" s="559"/>
      <c r="AF753" s="559"/>
      <c r="AG753" s="559"/>
      <c r="AH753" s="559"/>
      <c r="AI753" s="559"/>
      <c r="AJ753" s="559"/>
      <c r="AK753" s="559"/>
      <c r="AL753" s="559"/>
      <c r="AM753" s="559"/>
      <c r="AN753" s="559"/>
    </row>
    <row r="754">
      <c r="A754" s="559"/>
      <c r="B754" s="559"/>
      <c r="C754" s="559"/>
      <c r="D754" s="559"/>
      <c r="E754" s="559"/>
      <c r="F754" s="559"/>
      <c r="G754" s="559"/>
      <c r="H754" s="559"/>
      <c r="I754" s="559"/>
      <c r="J754" s="559"/>
      <c r="K754" s="559"/>
      <c r="L754" s="559"/>
      <c r="M754" s="559"/>
      <c r="N754" s="559"/>
      <c r="O754" s="559"/>
      <c r="P754" s="559"/>
      <c r="Q754" s="559"/>
      <c r="R754" s="559"/>
      <c r="S754" s="559"/>
      <c r="T754" s="559"/>
      <c r="U754" s="559"/>
      <c r="V754" s="559"/>
      <c r="W754" s="559"/>
      <c r="X754" s="559"/>
      <c r="Y754" s="559"/>
      <c r="Z754" s="559"/>
      <c r="AA754" s="559"/>
      <c r="AB754" s="559"/>
      <c r="AC754" s="559"/>
      <c r="AD754" s="559"/>
      <c r="AE754" s="559"/>
      <c r="AF754" s="559"/>
      <c r="AG754" s="559"/>
      <c r="AH754" s="559"/>
      <c r="AI754" s="559"/>
      <c r="AJ754" s="559"/>
      <c r="AK754" s="559"/>
      <c r="AL754" s="559"/>
      <c r="AM754" s="559"/>
      <c r="AN754" s="559"/>
    </row>
    <row r="755">
      <c r="A755" s="559"/>
      <c r="B755" s="559"/>
      <c r="C755" s="559"/>
      <c r="D755" s="559"/>
      <c r="E755" s="559"/>
      <c r="F755" s="559"/>
      <c r="G755" s="559"/>
      <c r="H755" s="559"/>
      <c r="I755" s="559"/>
      <c r="J755" s="559"/>
      <c r="K755" s="559"/>
      <c r="L755" s="559"/>
      <c r="M755" s="559"/>
      <c r="N755" s="559"/>
      <c r="O755" s="559"/>
      <c r="P755" s="559"/>
      <c r="Q755" s="559"/>
      <c r="R755" s="559"/>
      <c r="S755" s="559"/>
      <c r="T755" s="559"/>
      <c r="U755" s="559"/>
      <c r="V755" s="559"/>
      <c r="W755" s="559"/>
      <c r="X755" s="559"/>
      <c r="Y755" s="559"/>
      <c r="Z755" s="559"/>
      <c r="AA755" s="559"/>
      <c r="AB755" s="559"/>
      <c r="AC755" s="559"/>
      <c r="AD755" s="559"/>
      <c r="AE755" s="559"/>
      <c r="AF755" s="559"/>
      <c r="AG755" s="559"/>
      <c r="AH755" s="559"/>
      <c r="AI755" s="559"/>
      <c r="AJ755" s="559"/>
      <c r="AK755" s="559"/>
      <c r="AL755" s="559"/>
      <c r="AM755" s="559"/>
      <c r="AN755" s="559"/>
    </row>
    <row r="756">
      <c r="A756" s="559"/>
      <c r="B756" s="559"/>
      <c r="C756" s="559"/>
      <c r="D756" s="559"/>
      <c r="E756" s="559"/>
      <c r="F756" s="559"/>
      <c r="G756" s="559"/>
      <c r="H756" s="559"/>
      <c r="I756" s="559"/>
      <c r="J756" s="559"/>
      <c r="K756" s="559"/>
      <c r="L756" s="559"/>
      <c r="M756" s="559"/>
      <c r="N756" s="559"/>
      <c r="O756" s="559"/>
      <c r="P756" s="559"/>
      <c r="Q756" s="559"/>
      <c r="R756" s="559"/>
      <c r="S756" s="559"/>
      <c r="T756" s="559"/>
      <c r="U756" s="559"/>
      <c r="V756" s="559"/>
      <c r="W756" s="559"/>
      <c r="X756" s="559"/>
      <c r="Y756" s="559"/>
      <c r="Z756" s="559"/>
      <c r="AA756" s="559"/>
      <c r="AB756" s="559"/>
      <c r="AC756" s="559"/>
      <c r="AD756" s="559"/>
      <c r="AE756" s="559"/>
      <c r="AF756" s="559"/>
      <c r="AG756" s="559"/>
      <c r="AH756" s="559"/>
      <c r="AI756" s="559"/>
      <c r="AJ756" s="559"/>
      <c r="AK756" s="559"/>
      <c r="AL756" s="559"/>
      <c r="AM756" s="559"/>
      <c r="AN756" s="559"/>
    </row>
    <row r="757">
      <c r="A757" s="559"/>
      <c r="B757" s="559"/>
      <c r="C757" s="559"/>
      <c r="D757" s="559"/>
      <c r="E757" s="559"/>
      <c r="F757" s="559"/>
      <c r="G757" s="559"/>
      <c r="H757" s="559"/>
      <c r="I757" s="559"/>
      <c r="J757" s="559"/>
      <c r="K757" s="559"/>
      <c r="L757" s="559"/>
      <c r="M757" s="559"/>
      <c r="N757" s="559"/>
      <c r="O757" s="559"/>
      <c r="P757" s="559"/>
      <c r="Q757" s="559"/>
      <c r="R757" s="559"/>
      <c r="S757" s="559"/>
      <c r="T757" s="559"/>
      <c r="U757" s="559"/>
      <c r="V757" s="559"/>
      <c r="W757" s="559"/>
      <c r="X757" s="559"/>
      <c r="Y757" s="559"/>
      <c r="Z757" s="559"/>
      <c r="AA757" s="559"/>
      <c r="AB757" s="559"/>
      <c r="AC757" s="559"/>
      <c r="AD757" s="559"/>
      <c r="AE757" s="559"/>
      <c r="AF757" s="559"/>
      <c r="AG757" s="559"/>
      <c r="AH757" s="559"/>
      <c r="AI757" s="559"/>
      <c r="AJ757" s="559"/>
      <c r="AK757" s="559"/>
      <c r="AL757" s="559"/>
      <c r="AM757" s="559"/>
      <c r="AN757" s="559"/>
    </row>
    <row r="758">
      <c r="A758" s="559"/>
      <c r="B758" s="559"/>
      <c r="C758" s="559"/>
      <c r="D758" s="559"/>
      <c r="E758" s="559"/>
      <c r="F758" s="559"/>
      <c r="G758" s="559"/>
      <c r="H758" s="559"/>
      <c r="I758" s="559"/>
      <c r="J758" s="559"/>
      <c r="K758" s="559"/>
      <c r="L758" s="559"/>
      <c r="M758" s="559"/>
      <c r="N758" s="559"/>
      <c r="O758" s="559"/>
      <c r="P758" s="559"/>
      <c r="Q758" s="559"/>
      <c r="R758" s="559"/>
      <c r="S758" s="559"/>
      <c r="T758" s="559"/>
      <c r="U758" s="559"/>
      <c r="V758" s="559"/>
      <c r="W758" s="559"/>
      <c r="X758" s="559"/>
      <c r="Y758" s="559"/>
      <c r="Z758" s="559"/>
      <c r="AA758" s="559"/>
      <c r="AB758" s="559"/>
      <c r="AC758" s="559"/>
      <c r="AD758" s="559"/>
      <c r="AE758" s="559"/>
      <c r="AF758" s="559"/>
      <c r="AG758" s="559"/>
      <c r="AH758" s="559"/>
      <c r="AI758" s="559"/>
      <c r="AJ758" s="559"/>
      <c r="AK758" s="559"/>
      <c r="AL758" s="559"/>
      <c r="AM758" s="559"/>
      <c r="AN758" s="559"/>
    </row>
    <row r="759">
      <c r="A759" s="559"/>
      <c r="B759" s="559"/>
      <c r="C759" s="559"/>
      <c r="D759" s="559"/>
      <c r="E759" s="559"/>
      <c r="F759" s="559"/>
      <c r="G759" s="559"/>
      <c r="H759" s="559"/>
      <c r="I759" s="559"/>
      <c r="J759" s="559"/>
      <c r="K759" s="559"/>
      <c r="L759" s="559"/>
      <c r="M759" s="559"/>
      <c r="N759" s="559"/>
      <c r="O759" s="559"/>
      <c r="P759" s="559"/>
      <c r="Q759" s="559"/>
      <c r="R759" s="559"/>
      <c r="S759" s="559"/>
      <c r="T759" s="559"/>
      <c r="U759" s="559"/>
      <c r="V759" s="559"/>
      <c r="W759" s="559"/>
      <c r="X759" s="559"/>
      <c r="Y759" s="559"/>
      <c r="Z759" s="559"/>
      <c r="AA759" s="559"/>
      <c r="AB759" s="559"/>
      <c r="AC759" s="559"/>
      <c r="AD759" s="559"/>
      <c r="AE759" s="559"/>
      <c r="AF759" s="559"/>
      <c r="AG759" s="559"/>
      <c r="AH759" s="559"/>
      <c r="AI759" s="559"/>
      <c r="AJ759" s="559"/>
      <c r="AK759" s="559"/>
      <c r="AL759" s="559"/>
      <c r="AM759" s="559"/>
      <c r="AN759" s="559"/>
    </row>
    <row r="760">
      <c r="A760" s="559"/>
      <c r="B760" s="559"/>
      <c r="C760" s="559"/>
      <c r="D760" s="559"/>
      <c r="E760" s="559"/>
      <c r="F760" s="559"/>
      <c r="G760" s="559"/>
      <c r="H760" s="559"/>
      <c r="I760" s="559"/>
      <c r="J760" s="559"/>
      <c r="K760" s="559"/>
      <c r="L760" s="559"/>
      <c r="M760" s="559"/>
      <c r="N760" s="559"/>
      <c r="O760" s="559"/>
      <c r="P760" s="559"/>
      <c r="Q760" s="559"/>
      <c r="R760" s="559"/>
      <c r="S760" s="559"/>
      <c r="T760" s="559"/>
      <c r="U760" s="559"/>
      <c r="V760" s="559"/>
      <c r="W760" s="559"/>
      <c r="X760" s="559"/>
      <c r="Y760" s="559"/>
      <c r="Z760" s="559"/>
      <c r="AA760" s="559"/>
      <c r="AB760" s="559"/>
      <c r="AC760" s="559"/>
      <c r="AD760" s="559"/>
      <c r="AE760" s="559"/>
      <c r="AF760" s="559"/>
      <c r="AG760" s="559"/>
      <c r="AH760" s="559"/>
      <c r="AI760" s="559"/>
      <c r="AJ760" s="559"/>
      <c r="AK760" s="559"/>
      <c r="AL760" s="559"/>
      <c r="AM760" s="559"/>
      <c r="AN760" s="559"/>
    </row>
    <row r="761">
      <c r="A761" s="559"/>
      <c r="B761" s="559"/>
      <c r="C761" s="559"/>
      <c r="D761" s="559"/>
      <c r="E761" s="559"/>
      <c r="F761" s="559"/>
      <c r="G761" s="559"/>
      <c r="H761" s="559"/>
      <c r="I761" s="559"/>
      <c r="J761" s="559"/>
      <c r="K761" s="559"/>
      <c r="L761" s="559"/>
      <c r="M761" s="559"/>
      <c r="N761" s="559"/>
      <c r="O761" s="559"/>
      <c r="P761" s="559"/>
      <c r="Q761" s="559"/>
      <c r="R761" s="559"/>
      <c r="S761" s="559"/>
      <c r="T761" s="559"/>
      <c r="U761" s="559"/>
      <c r="V761" s="559"/>
      <c r="W761" s="559"/>
      <c r="X761" s="559"/>
      <c r="Y761" s="559"/>
      <c r="Z761" s="559"/>
      <c r="AA761" s="559"/>
      <c r="AB761" s="559"/>
      <c r="AC761" s="559"/>
      <c r="AD761" s="559"/>
      <c r="AE761" s="559"/>
      <c r="AF761" s="559"/>
      <c r="AG761" s="559"/>
      <c r="AH761" s="559"/>
      <c r="AI761" s="559"/>
      <c r="AJ761" s="559"/>
      <c r="AK761" s="559"/>
      <c r="AL761" s="559"/>
      <c r="AM761" s="559"/>
      <c r="AN761" s="559"/>
    </row>
    <row r="762">
      <c r="A762" s="559"/>
      <c r="B762" s="559"/>
      <c r="C762" s="559"/>
      <c r="D762" s="559"/>
      <c r="E762" s="559"/>
      <c r="F762" s="559"/>
      <c r="G762" s="559"/>
      <c r="H762" s="559"/>
      <c r="I762" s="559"/>
      <c r="J762" s="559"/>
      <c r="K762" s="559"/>
      <c r="L762" s="559"/>
      <c r="M762" s="559"/>
      <c r="N762" s="559"/>
      <c r="O762" s="559"/>
      <c r="P762" s="559"/>
      <c r="Q762" s="559"/>
      <c r="R762" s="559"/>
      <c r="S762" s="559"/>
      <c r="T762" s="559"/>
      <c r="U762" s="559"/>
      <c r="V762" s="559"/>
      <c r="W762" s="559"/>
      <c r="X762" s="559"/>
      <c r="Y762" s="559"/>
      <c r="Z762" s="559"/>
      <c r="AA762" s="559"/>
      <c r="AB762" s="559"/>
      <c r="AC762" s="559"/>
      <c r="AD762" s="559"/>
      <c r="AE762" s="559"/>
      <c r="AF762" s="559"/>
      <c r="AG762" s="559"/>
      <c r="AH762" s="559"/>
      <c r="AI762" s="559"/>
      <c r="AJ762" s="559"/>
      <c r="AK762" s="559"/>
      <c r="AL762" s="559"/>
      <c r="AM762" s="559"/>
      <c r="AN762" s="559"/>
    </row>
    <row r="763">
      <c r="A763" s="559"/>
      <c r="B763" s="559"/>
      <c r="C763" s="559"/>
      <c r="D763" s="559"/>
      <c r="E763" s="559"/>
      <c r="F763" s="559"/>
      <c r="G763" s="559"/>
      <c r="H763" s="559"/>
      <c r="I763" s="559"/>
      <c r="J763" s="559"/>
      <c r="K763" s="559"/>
      <c r="L763" s="559"/>
      <c r="M763" s="559"/>
      <c r="N763" s="559"/>
      <c r="O763" s="559"/>
      <c r="P763" s="559"/>
      <c r="Q763" s="559"/>
      <c r="R763" s="559"/>
      <c r="S763" s="559"/>
      <c r="T763" s="559"/>
      <c r="U763" s="559"/>
      <c r="V763" s="559"/>
      <c r="W763" s="559"/>
      <c r="X763" s="559"/>
      <c r="Y763" s="559"/>
      <c r="Z763" s="559"/>
      <c r="AA763" s="559"/>
      <c r="AB763" s="559"/>
      <c r="AC763" s="559"/>
      <c r="AD763" s="559"/>
      <c r="AE763" s="559"/>
      <c r="AF763" s="559"/>
      <c r="AG763" s="559"/>
      <c r="AH763" s="559"/>
      <c r="AI763" s="559"/>
      <c r="AJ763" s="559"/>
      <c r="AK763" s="559"/>
      <c r="AL763" s="559"/>
      <c r="AM763" s="559"/>
      <c r="AN763" s="559"/>
    </row>
    <row r="764">
      <c r="A764" s="559"/>
      <c r="B764" s="559"/>
      <c r="C764" s="559"/>
      <c r="D764" s="559"/>
      <c r="E764" s="559"/>
      <c r="F764" s="559"/>
      <c r="G764" s="559"/>
      <c r="H764" s="559"/>
      <c r="I764" s="559"/>
      <c r="J764" s="559"/>
      <c r="K764" s="559"/>
      <c r="L764" s="559"/>
      <c r="M764" s="559"/>
      <c r="N764" s="559"/>
      <c r="O764" s="559"/>
      <c r="P764" s="559"/>
      <c r="Q764" s="559"/>
      <c r="R764" s="559"/>
      <c r="S764" s="559"/>
      <c r="T764" s="559"/>
      <c r="U764" s="559"/>
      <c r="V764" s="559"/>
      <c r="W764" s="559"/>
      <c r="X764" s="559"/>
      <c r="Y764" s="559"/>
      <c r="Z764" s="559"/>
      <c r="AA764" s="559"/>
      <c r="AB764" s="559"/>
      <c r="AC764" s="559"/>
      <c r="AD764" s="559"/>
      <c r="AE764" s="559"/>
      <c r="AF764" s="559"/>
      <c r="AG764" s="559"/>
      <c r="AH764" s="559"/>
      <c r="AI764" s="559"/>
      <c r="AJ764" s="559"/>
      <c r="AK764" s="559"/>
      <c r="AL764" s="559"/>
      <c r="AM764" s="559"/>
      <c r="AN764" s="559"/>
    </row>
    <row r="765">
      <c r="A765" s="559"/>
      <c r="B765" s="559"/>
      <c r="C765" s="559"/>
      <c r="D765" s="559"/>
      <c r="E765" s="559"/>
      <c r="F765" s="559"/>
      <c r="G765" s="559"/>
      <c r="H765" s="559"/>
      <c r="I765" s="559"/>
      <c r="J765" s="559"/>
      <c r="K765" s="559"/>
      <c r="L765" s="559"/>
      <c r="M765" s="559"/>
      <c r="N765" s="559"/>
      <c r="O765" s="559"/>
      <c r="P765" s="559"/>
      <c r="Q765" s="559"/>
      <c r="R765" s="559"/>
      <c r="S765" s="559"/>
      <c r="T765" s="559"/>
      <c r="U765" s="559"/>
      <c r="V765" s="559"/>
      <c r="W765" s="559"/>
      <c r="X765" s="559"/>
      <c r="Y765" s="559"/>
      <c r="Z765" s="559"/>
      <c r="AA765" s="559"/>
      <c r="AB765" s="559"/>
      <c r="AC765" s="559"/>
      <c r="AD765" s="559"/>
      <c r="AE765" s="559"/>
      <c r="AF765" s="559"/>
      <c r="AG765" s="559"/>
      <c r="AH765" s="559"/>
      <c r="AI765" s="559"/>
      <c r="AJ765" s="559"/>
      <c r="AK765" s="559"/>
      <c r="AL765" s="559"/>
      <c r="AM765" s="559"/>
      <c r="AN765" s="559"/>
    </row>
    <row r="766">
      <c r="A766" s="559"/>
      <c r="B766" s="559"/>
      <c r="C766" s="559"/>
      <c r="D766" s="559"/>
      <c r="E766" s="559"/>
      <c r="F766" s="559"/>
      <c r="G766" s="559"/>
      <c r="H766" s="559"/>
      <c r="I766" s="559"/>
      <c r="J766" s="559"/>
      <c r="K766" s="559"/>
      <c r="L766" s="559"/>
      <c r="M766" s="559"/>
      <c r="N766" s="559"/>
      <c r="O766" s="559"/>
      <c r="P766" s="559"/>
      <c r="Q766" s="559"/>
      <c r="R766" s="559"/>
      <c r="S766" s="559"/>
      <c r="T766" s="559"/>
      <c r="U766" s="559"/>
      <c r="V766" s="559"/>
      <c r="W766" s="559"/>
      <c r="X766" s="559"/>
      <c r="Y766" s="559"/>
      <c r="Z766" s="559"/>
      <c r="AA766" s="559"/>
      <c r="AB766" s="559"/>
      <c r="AC766" s="559"/>
      <c r="AD766" s="559"/>
      <c r="AE766" s="559"/>
      <c r="AF766" s="559"/>
      <c r="AG766" s="559"/>
      <c r="AH766" s="559"/>
      <c r="AI766" s="559"/>
      <c r="AJ766" s="559"/>
      <c r="AK766" s="559"/>
      <c r="AL766" s="559"/>
      <c r="AM766" s="559"/>
      <c r="AN766" s="559"/>
    </row>
    <row r="767">
      <c r="A767" s="559"/>
      <c r="B767" s="559"/>
      <c r="C767" s="559"/>
      <c r="D767" s="559"/>
      <c r="E767" s="559"/>
      <c r="F767" s="559"/>
      <c r="G767" s="559"/>
      <c r="H767" s="559"/>
      <c r="I767" s="559"/>
      <c r="J767" s="559"/>
      <c r="K767" s="559"/>
      <c r="L767" s="559"/>
      <c r="M767" s="559"/>
      <c r="N767" s="559"/>
      <c r="O767" s="559"/>
      <c r="P767" s="559"/>
      <c r="Q767" s="559"/>
      <c r="R767" s="559"/>
      <c r="S767" s="559"/>
      <c r="T767" s="559"/>
      <c r="U767" s="559"/>
      <c r="V767" s="559"/>
      <c r="W767" s="559"/>
      <c r="X767" s="559"/>
      <c r="Y767" s="559"/>
      <c r="Z767" s="559"/>
      <c r="AA767" s="559"/>
      <c r="AB767" s="559"/>
      <c r="AC767" s="559"/>
      <c r="AD767" s="559"/>
      <c r="AE767" s="559"/>
      <c r="AF767" s="559"/>
      <c r="AG767" s="559"/>
      <c r="AH767" s="559"/>
      <c r="AI767" s="559"/>
      <c r="AJ767" s="559"/>
      <c r="AK767" s="559"/>
      <c r="AL767" s="559"/>
      <c r="AM767" s="559"/>
      <c r="AN767" s="559"/>
    </row>
    <row r="768">
      <c r="A768" s="559"/>
      <c r="B768" s="559"/>
      <c r="C768" s="559"/>
      <c r="D768" s="559"/>
      <c r="E768" s="559"/>
      <c r="F768" s="559"/>
      <c r="G768" s="559"/>
      <c r="H768" s="559"/>
      <c r="I768" s="559"/>
      <c r="J768" s="559"/>
      <c r="K768" s="559"/>
      <c r="L768" s="559"/>
      <c r="M768" s="559"/>
      <c r="N768" s="559"/>
      <c r="O768" s="559"/>
      <c r="P768" s="559"/>
      <c r="Q768" s="559"/>
      <c r="R768" s="559"/>
      <c r="S768" s="559"/>
      <c r="T768" s="559"/>
      <c r="U768" s="559"/>
      <c r="V768" s="559"/>
      <c r="W768" s="559"/>
      <c r="X768" s="559"/>
      <c r="Y768" s="559"/>
      <c r="Z768" s="559"/>
      <c r="AA768" s="559"/>
      <c r="AB768" s="559"/>
      <c r="AC768" s="559"/>
      <c r="AD768" s="559"/>
      <c r="AE768" s="559"/>
      <c r="AF768" s="559"/>
      <c r="AG768" s="559"/>
      <c r="AH768" s="559"/>
      <c r="AI768" s="559"/>
      <c r="AJ768" s="559"/>
      <c r="AK768" s="559"/>
      <c r="AL768" s="559"/>
      <c r="AM768" s="559"/>
      <c r="AN768" s="559"/>
    </row>
    <row r="769">
      <c r="A769" s="559"/>
      <c r="B769" s="559"/>
      <c r="C769" s="559"/>
      <c r="D769" s="559"/>
      <c r="E769" s="559"/>
      <c r="F769" s="559"/>
      <c r="G769" s="559"/>
      <c r="H769" s="559"/>
      <c r="I769" s="559"/>
      <c r="J769" s="559"/>
      <c r="K769" s="559"/>
      <c r="L769" s="559"/>
      <c r="M769" s="559"/>
      <c r="N769" s="559"/>
      <c r="O769" s="559"/>
      <c r="P769" s="559"/>
      <c r="Q769" s="559"/>
      <c r="R769" s="559"/>
      <c r="S769" s="559"/>
      <c r="T769" s="559"/>
      <c r="U769" s="559"/>
      <c r="V769" s="559"/>
      <c r="W769" s="559"/>
      <c r="X769" s="559"/>
      <c r="Y769" s="559"/>
      <c r="Z769" s="559"/>
      <c r="AA769" s="559"/>
      <c r="AB769" s="559"/>
      <c r="AC769" s="559"/>
      <c r="AD769" s="559"/>
      <c r="AE769" s="559"/>
      <c r="AF769" s="559"/>
      <c r="AG769" s="559"/>
      <c r="AH769" s="559"/>
      <c r="AI769" s="559"/>
      <c r="AJ769" s="559"/>
      <c r="AK769" s="559"/>
      <c r="AL769" s="559"/>
      <c r="AM769" s="559"/>
      <c r="AN769" s="559"/>
    </row>
    <row r="770">
      <c r="A770" s="559"/>
      <c r="B770" s="559"/>
      <c r="C770" s="559"/>
      <c r="D770" s="559"/>
      <c r="E770" s="559"/>
      <c r="F770" s="559"/>
      <c r="G770" s="559"/>
      <c r="H770" s="559"/>
      <c r="I770" s="559"/>
      <c r="J770" s="559"/>
      <c r="K770" s="559"/>
      <c r="L770" s="559"/>
      <c r="M770" s="559"/>
      <c r="N770" s="559"/>
      <c r="O770" s="559"/>
      <c r="P770" s="559"/>
      <c r="Q770" s="559"/>
      <c r="R770" s="559"/>
      <c r="S770" s="559"/>
      <c r="T770" s="559"/>
      <c r="U770" s="559"/>
      <c r="V770" s="559"/>
      <c r="W770" s="559"/>
      <c r="X770" s="559"/>
      <c r="Y770" s="559"/>
      <c r="Z770" s="559"/>
      <c r="AA770" s="559"/>
      <c r="AB770" s="559"/>
      <c r="AC770" s="559"/>
      <c r="AD770" s="559"/>
      <c r="AE770" s="559"/>
      <c r="AF770" s="559"/>
      <c r="AG770" s="559"/>
      <c r="AH770" s="559"/>
      <c r="AI770" s="559"/>
      <c r="AJ770" s="559"/>
      <c r="AK770" s="559"/>
      <c r="AL770" s="559"/>
      <c r="AM770" s="559"/>
      <c r="AN770" s="559"/>
    </row>
    <row r="771">
      <c r="A771" s="559"/>
      <c r="B771" s="559"/>
      <c r="C771" s="559"/>
      <c r="D771" s="559"/>
      <c r="E771" s="559"/>
      <c r="F771" s="559"/>
      <c r="G771" s="559"/>
      <c r="H771" s="559"/>
      <c r="I771" s="559"/>
      <c r="J771" s="559"/>
      <c r="K771" s="559"/>
      <c r="L771" s="559"/>
      <c r="M771" s="559"/>
      <c r="N771" s="559"/>
      <c r="O771" s="559"/>
      <c r="P771" s="559"/>
      <c r="Q771" s="559"/>
      <c r="R771" s="559"/>
      <c r="S771" s="559"/>
      <c r="T771" s="559"/>
      <c r="U771" s="559"/>
      <c r="V771" s="559"/>
      <c r="W771" s="559"/>
      <c r="X771" s="559"/>
      <c r="Y771" s="559"/>
      <c r="Z771" s="559"/>
      <c r="AA771" s="559"/>
      <c r="AB771" s="559"/>
      <c r="AC771" s="559"/>
      <c r="AD771" s="559"/>
      <c r="AE771" s="559"/>
      <c r="AF771" s="559"/>
      <c r="AG771" s="559"/>
      <c r="AH771" s="559"/>
      <c r="AI771" s="559"/>
      <c r="AJ771" s="559"/>
      <c r="AK771" s="559"/>
      <c r="AL771" s="559"/>
      <c r="AM771" s="559"/>
      <c r="AN771" s="559"/>
    </row>
    <row r="772">
      <c r="A772" s="559"/>
      <c r="B772" s="559"/>
      <c r="C772" s="559"/>
      <c r="D772" s="559"/>
      <c r="E772" s="559"/>
      <c r="F772" s="559"/>
      <c r="G772" s="559"/>
      <c r="H772" s="559"/>
      <c r="I772" s="559"/>
      <c r="J772" s="559"/>
      <c r="K772" s="559"/>
      <c r="L772" s="559"/>
      <c r="M772" s="559"/>
      <c r="N772" s="559"/>
      <c r="O772" s="559"/>
      <c r="P772" s="559"/>
      <c r="Q772" s="559"/>
      <c r="R772" s="559"/>
      <c r="S772" s="559"/>
      <c r="T772" s="559"/>
      <c r="U772" s="559"/>
      <c r="V772" s="559"/>
      <c r="W772" s="559"/>
      <c r="X772" s="559"/>
      <c r="Y772" s="559"/>
      <c r="Z772" s="559"/>
      <c r="AA772" s="559"/>
      <c r="AB772" s="559"/>
      <c r="AC772" s="559"/>
      <c r="AD772" s="559"/>
      <c r="AE772" s="559"/>
      <c r="AF772" s="559"/>
      <c r="AG772" s="559"/>
      <c r="AH772" s="559"/>
      <c r="AI772" s="559"/>
      <c r="AJ772" s="559"/>
      <c r="AK772" s="559"/>
      <c r="AL772" s="559"/>
      <c r="AM772" s="559"/>
      <c r="AN772" s="559"/>
    </row>
    <row r="773">
      <c r="A773" s="559"/>
      <c r="B773" s="559"/>
      <c r="C773" s="559"/>
      <c r="D773" s="559"/>
      <c r="E773" s="559"/>
      <c r="F773" s="559"/>
      <c r="G773" s="559"/>
      <c r="H773" s="559"/>
      <c r="I773" s="559"/>
      <c r="J773" s="559"/>
      <c r="K773" s="559"/>
      <c r="L773" s="559"/>
      <c r="M773" s="559"/>
      <c r="N773" s="559"/>
      <c r="O773" s="559"/>
      <c r="P773" s="559"/>
      <c r="Q773" s="559"/>
      <c r="R773" s="559"/>
      <c r="S773" s="559"/>
      <c r="T773" s="559"/>
      <c r="U773" s="559"/>
      <c r="V773" s="559"/>
      <c r="W773" s="559"/>
      <c r="X773" s="559"/>
      <c r="Y773" s="559"/>
      <c r="Z773" s="559"/>
      <c r="AA773" s="559"/>
      <c r="AB773" s="559"/>
      <c r="AC773" s="559"/>
      <c r="AD773" s="559"/>
      <c r="AE773" s="559"/>
      <c r="AF773" s="559"/>
      <c r="AG773" s="559"/>
      <c r="AH773" s="559"/>
      <c r="AI773" s="559"/>
      <c r="AJ773" s="559"/>
      <c r="AK773" s="559"/>
      <c r="AL773" s="559"/>
      <c r="AM773" s="559"/>
      <c r="AN773" s="559"/>
    </row>
    <row r="774">
      <c r="A774" s="559"/>
      <c r="B774" s="559"/>
      <c r="C774" s="559"/>
      <c r="D774" s="559"/>
      <c r="E774" s="559"/>
      <c r="F774" s="559"/>
      <c r="G774" s="559"/>
      <c r="H774" s="559"/>
      <c r="I774" s="559"/>
      <c r="J774" s="559"/>
      <c r="K774" s="559"/>
      <c r="L774" s="559"/>
      <c r="M774" s="559"/>
      <c r="N774" s="559"/>
      <c r="O774" s="559"/>
      <c r="P774" s="559"/>
      <c r="Q774" s="559"/>
      <c r="R774" s="559"/>
      <c r="S774" s="559"/>
      <c r="T774" s="559"/>
      <c r="U774" s="559"/>
      <c r="V774" s="559"/>
      <c r="W774" s="559"/>
      <c r="X774" s="559"/>
      <c r="Y774" s="559"/>
      <c r="Z774" s="559"/>
      <c r="AA774" s="559"/>
      <c r="AB774" s="559"/>
      <c r="AC774" s="559"/>
      <c r="AD774" s="559"/>
      <c r="AE774" s="559"/>
      <c r="AF774" s="559"/>
      <c r="AG774" s="559"/>
      <c r="AH774" s="559"/>
      <c r="AI774" s="559"/>
      <c r="AJ774" s="559"/>
      <c r="AK774" s="559"/>
      <c r="AL774" s="559"/>
      <c r="AM774" s="559"/>
      <c r="AN774" s="559"/>
    </row>
    <row r="775">
      <c r="A775" s="559"/>
      <c r="B775" s="559"/>
      <c r="C775" s="559"/>
      <c r="D775" s="559"/>
      <c r="E775" s="559"/>
      <c r="F775" s="559"/>
      <c r="G775" s="559"/>
      <c r="H775" s="559"/>
      <c r="I775" s="559"/>
      <c r="J775" s="559"/>
      <c r="K775" s="559"/>
      <c r="L775" s="559"/>
      <c r="M775" s="559"/>
      <c r="N775" s="559"/>
      <c r="O775" s="559"/>
      <c r="P775" s="559"/>
      <c r="Q775" s="559"/>
      <c r="R775" s="559"/>
      <c r="S775" s="559"/>
      <c r="T775" s="559"/>
      <c r="U775" s="559"/>
      <c r="V775" s="559"/>
      <c r="W775" s="559"/>
      <c r="X775" s="559"/>
      <c r="Y775" s="559"/>
      <c r="Z775" s="559"/>
      <c r="AA775" s="559"/>
      <c r="AB775" s="559"/>
      <c r="AC775" s="559"/>
      <c r="AD775" s="559"/>
      <c r="AE775" s="559"/>
      <c r="AF775" s="559"/>
      <c r="AG775" s="559"/>
      <c r="AH775" s="559"/>
      <c r="AI775" s="559"/>
      <c r="AJ775" s="559"/>
      <c r="AK775" s="559"/>
      <c r="AL775" s="559"/>
      <c r="AM775" s="559"/>
      <c r="AN775" s="559"/>
    </row>
    <row r="776">
      <c r="A776" s="559"/>
      <c r="B776" s="559"/>
      <c r="C776" s="559"/>
      <c r="D776" s="559"/>
      <c r="E776" s="559"/>
      <c r="F776" s="559"/>
      <c r="G776" s="559"/>
      <c r="H776" s="559"/>
      <c r="I776" s="559"/>
      <c r="J776" s="559"/>
      <c r="K776" s="559"/>
      <c r="L776" s="559"/>
      <c r="M776" s="559"/>
      <c r="N776" s="559"/>
      <c r="O776" s="559"/>
      <c r="P776" s="559"/>
      <c r="Q776" s="559"/>
      <c r="R776" s="559"/>
      <c r="S776" s="559"/>
      <c r="T776" s="559"/>
      <c r="U776" s="559"/>
      <c r="V776" s="559"/>
      <c r="W776" s="559"/>
      <c r="X776" s="559"/>
      <c r="Y776" s="559"/>
      <c r="Z776" s="559"/>
      <c r="AA776" s="559"/>
      <c r="AB776" s="559"/>
      <c r="AC776" s="559"/>
      <c r="AD776" s="559"/>
      <c r="AE776" s="559"/>
      <c r="AF776" s="559"/>
      <c r="AG776" s="559"/>
      <c r="AH776" s="559"/>
      <c r="AI776" s="559"/>
      <c r="AJ776" s="559"/>
      <c r="AK776" s="559"/>
      <c r="AL776" s="559"/>
      <c r="AM776" s="559"/>
      <c r="AN776" s="559"/>
    </row>
    <row r="777">
      <c r="A777" s="559"/>
      <c r="B777" s="559"/>
      <c r="C777" s="559"/>
      <c r="D777" s="559"/>
      <c r="E777" s="559"/>
      <c r="F777" s="559"/>
      <c r="G777" s="559"/>
      <c r="H777" s="559"/>
      <c r="I777" s="559"/>
      <c r="J777" s="559"/>
      <c r="K777" s="559"/>
      <c r="L777" s="559"/>
      <c r="M777" s="559"/>
      <c r="N777" s="559"/>
      <c r="O777" s="559"/>
      <c r="P777" s="559"/>
      <c r="Q777" s="559"/>
      <c r="R777" s="559"/>
      <c r="S777" s="559"/>
      <c r="T777" s="559"/>
      <c r="U777" s="559"/>
      <c r="V777" s="559"/>
      <c r="W777" s="559"/>
      <c r="X777" s="559"/>
      <c r="Y777" s="559"/>
      <c r="Z777" s="559"/>
      <c r="AA777" s="559"/>
      <c r="AB777" s="559"/>
      <c r="AC777" s="559"/>
      <c r="AD777" s="559"/>
      <c r="AE777" s="559"/>
      <c r="AF777" s="559"/>
      <c r="AG777" s="559"/>
      <c r="AH777" s="559"/>
      <c r="AI777" s="559"/>
      <c r="AJ777" s="559"/>
      <c r="AK777" s="559"/>
      <c r="AL777" s="559"/>
      <c r="AM777" s="559"/>
      <c r="AN777" s="559"/>
    </row>
    <row r="778">
      <c r="A778" s="559"/>
      <c r="B778" s="559"/>
      <c r="C778" s="559"/>
      <c r="D778" s="559"/>
      <c r="E778" s="559"/>
      <c r="F778" s="559"/>
      <c r="G778" s="559"/>
      <c r="H778" s="559"/>
      <c r="I778" s="559"/>
      <c r="J778" s="559"/>
      <c r="K778" s="559"/>
      <c r="L778" s="559"/>
      <c r="M778" s="559"/>
      <c r="N778" s="559"/>
      <c r="O778" s="559"/>
      <c r="P778" s="559"/>
      <c r="Q778" s="559"/>
      <c r="R778" s="559"/>
      <c r="S778" s="559"/>
      <c r="T778" s="559"/>
      <c r="U778" s="559"/>
      <c r="V778" s="559"/>
      <c r="W778" s="559"/>
      <c r="X778" s="559"/>
      <c r="Y778" s="559"/>
      <c r="Z778" s="559"/>
      <c r="AA778" s="559"/>
      <c r="AB778" s="559"/>
      <c r="AC778" s="559"/>
      <c r="AD778" s="559"/>
      <c r="AE778" s="559"/>
      <c r="AF778" s="559"/>
      <c r="AG778" s="559"/>
      <c r="AH778" s="559"/>
      <c r="AI778" s="559"/>
      <c r="AJ778" s="559"/>
      <c r="AK778" s="559"/>
      <c r="AL778" s="559"/>
      <c r="AM778" s="559"/>
      <c r="AN778" s="559"/>
    </row>
    <row r="779">
      <c r="A779" s="559"/>
      <c r="B779" s="559"/>
      <c r="C779" s="559"/>
      <c r="D779" s="559"/>
      <c r="E779" s="559"/>
      <c r="F779" s="559"/>
      <c r="G779" s="559"/>
      <c r="H779" s="559"/>
      <c r="I779" s="559"/>
      <c r="J779" s="559"/>
      <c r="K779" s="559"/>
      <c r="L779" s="559"/>
      <c r="M779" s="559"/>
      <c r="N779" s="559"/>
      <c r="O779" s="559"/>
      <c r="P779" s="559"/>
      <c r="Q779" s="559"/>
      <c r="R779" s="559"/>
      <c r="S779" s="559"/>
      <c r="T779" s="559"/>
      <c r="U779" s="559"/>
      <c r="V779" s="559"/>
      <c r="W779" s="559"/>
      <c r="X779" s="559"/>
      <c r="Y779" s="559"/>
      <c r="Z779" s="559"/>
      <c r="AA779" s="559"/>
      <c r="AB779" s="559"/>
      <c r="AC779" s="559"/>
      <c r="AD779" s="559"/>
      <c r="AE779" s="559"/>
      <c r="AF779" s="559"/>
      <c r="AG779" s="559"/>
      <c r="AH779" s="559"/>
      <c r="AI779" s="559"/>
      <c r="AJ779" s="559"/>
      <c r="AK779" s="559"/>
      <c r="AL779" s="559"/>
      <c r="AM779" s="559"/>
      <c r="AN779" s="559"/>
    </row>
    <row r="780">
      <c r="A780" s="559"/>
      <c r="B780" s="559"/>
      <c r="C780" s="559"/>
      <c r="D780" s="559"/>
      <c r="E780" s="559"/>
      <c r="F780" s="559"/>
      <c r="G780" s="559"/>
      <c r="H780" s="559"/>
      <c r="I780" s="559"/>
      <c r="J780" s="559"/>
      <c r="K780" s="559"/>
      <c r="L780" s="559"/>
      <c r="M780" s="559"/>
      <c r="N780" s="559"/>
      <c r="O780" s="559"/>
      <c r="P780" s="559"/>
      <c r="Q780" s="559"/>
      <c r="R780" s="559"/>
      <c r="S780" s="559"/>
      <c r="T780" s="559"/>
      <c r="U780" s="559"/>
      <c r="V780" s="559"/>
      <c r="W780" s="559"/>
      <c r="X780" s="559"/>
      <c r="Y780" s="559"/>
      <c r="Z780" s="559"/>
      <c r="AA780" s="559"/>
      <c r="AB780" s="559"/>
      <c r="AC780" s="559"/>
      <c r="AD780" s="559"/>
      <c r="AE780" s="559"/>
      <c r="AF780" s="559"/>
      <c r="AG780" s="559"/>
      <c r="AH780" s="559"/>
      <c r="AI780" s="559"/>
      <c r="AJ780" s="559"/>
      <c r="AK780" s="559"/>
      <c r="AL780" s="559"/>
      <c r="AM780" s="559"/>
      <c r="AN780" s="559"/>
    </row>
    <row r="781">
      <c r="A781" s="559"/>
      <c r="B781" s="559"/>
      <c r="C781" s="559"/>
      <c r="D781" s="559"/>
      <c r="E781" s="559"/>
      <c r="F781" s="559"/>
      <c r="G781" s="559"/>
      <c r="H781" s="559"/>
      <c r="I781" s="559"/>
      <c r="J781" s="559"/>
      <c r="K781" s="559"/>
      <c r="L781" s="559"/>
      <c r="M781" s="559"/>
      <c r="N781" s="559"/>
      <c r="O781" s="559"/>
      <c r="P781" s="559"/>
      <c r="Q781" s="559"/>
      <c r="R781" s="559"/>
      <c r="S781" s="559"/>
      <c r="T781" s="559"/>
      <c r="U781" s="559"/>
      <c r="V781" s="559"/>
      <c r="W781" s="559"/>
      <c r="X781" s="559"/>
      <c r="Y781" s="559"/>
      <c r="Z781" s="559"/>
      <c r="AA781" s="559"/>
      <c r="AB781" s="559"/>
      <c r="AC781" s="559"/>
      <c r="AD781" s="559"/>
      <c r="AE781" s="559"/>
      <c r="AF781" s="559"/>
      <c r="AG781" s="559"/>
      <c r="AH781" s="559"/>
      <c r="AI781" s="559"/>
      <c r="AJ781" s="559"/>
      <c r="AK781" s="559"/>
      <c r="AL781" s="559"/>
      <c r="AM781" s="559"/>
      <c r="AN781" s="559"/>
    </row>
    <row r="782">
      <c r="A782" s="559"/>
      <c r="B782" s="559"/>
      <c r="C782" s="559"/>
      <c r="D782" s="559"/>
      <c r="E782" s="559"/>
      <c r="F782" s="559"/>
      <c r="G782" s="559"/>
      <c r="H782" s="559"/>
      <c r="I782" s="559"/>
      <c r="J782" s="559"/>
      <c r="K782" s="559"/>
      <c r="L782" s="559"/>
      <c r="M782" s="559"/>
      <c r="N782" s="559"/>
      <c r="O782" s="559"/>
      <c r="P782" s="559"/>
      <c r="Q782" s="559"/>
      <c r="R782" s="559"/>
      <c r="S782" s="559"/>
      <c r="T782" s="559"/>
      <c r="U782" s="559"/>
      <c r="V782" s="559"/>
      <c r="W782" s="559"/>
      <c r="X782" s="559"/>
      <c r="Y782" s="559"/>
      <c r="Z782" s="559"/>
      <c r="AA782" s="559"/>
      <c r="AB782" s="559"/>
      <c r="AC782" s="559"/>
      <c r="AD782" s="559"/>
      <c r="AE782" s="559"/>
      <c r="AF782" s="559"/>
      <c r="AG782" s="559"/>
      <c r="AH782" s="559"/>
      <c r="AI782" s="559"/>
      <c r="AJ782" s="559"/>
      <c r="AK782" s="559"/>
      <c r="AL782" s="559"/>
      <c r="AM782" s="559"/>
      <c r="AN782" s="559"/>
    </row>
    <row r="783">
      <c r="A783" s="559"/>
      <c r="B783" s="559"/>
      <c r="C783" s="559"/>
      <c r="D783" s="559"/>
      <c r="E783" s="559"/>
      <c r="F783" s="559"/>
      <c r="G783" s="559"/>
      <c r="H783" s="559"/>
      <c r="I783" s="559"/>
      <c r="J783" s="559"/>
      <c r="K783" s="559"/>
      <c r="L783" s="559"/>
      <c r="M783" s="559"/>
      <c r="N783" s="559"/>
      <c r="O783" s="559"/>
      <c r="P783" s="559"/>
      <c r="Q783" s="559"/>
      <c r="R783" s="559"/>
      <c r="S783" s="559"/>
      <c r="T783" s="559"/>
      <c r="U783" s="559"/>
      <c r="V783" s="559"/>
      <c r="W783" s="559"/>
      <c r="X783" s="559"/>
      <c r="Y783" s="559"/>
      <c r="Z783" s="559"/>
      <c r="AA783" s="559"/>
      <c r="AB783" s="559"/>
      <c r="AC783" s="559"/>
      <c r="AD783" s="559"/>
      <c r="AE783" s="559"/>
      <c r="AF783" s="559"/>
      <c r="AG783" s="559"/>
      <c r="AH783" s="559"/>
      <c r="AI783" s="559"/>
      <c r="AJ783" s="559"/>
      <c r="AK783" s="559"/>
      <c r="AL783" s="559"/>
      <c r="AM783" s="559"/>
      <c r="AN783" s="559"/>
    </row>
    <row r="784">
      <c r="A784" s="559"/>
      <c r="B784" s="559"/>
      <c r="C784" s="559"/>
      <c r="D784" s="559"/>
      <c r="E784" s="559"/>
      <c r="F784" s="559"/>
      <c r="G784" s="559"/>
      <c r="H784" s="559"/>
      <c r="I784" s="559"/>
      <c r="J784" s="559"/>
      <c r="K784" s="559"/>
      <c r="L784" s="559"/>
      <c r="M784" s="559"/>
      <c r="N784" s="559"/>
      <c r="O784" s="559"/>
      <c r="P784" s="559"/>
      <c r="Q784" s="559"/>
      <c r="R784" s="559"/>
      <c r="S784" s="559"/>
      <c r="T784" s="559"/>
      <c r="U784" s="559"/>
      <c r="V784" s="559"/>
      <c r="W784" s="559"/>
      <c r="X784" s="559"/>
      <c r="Y784" s="559"/>
      <c r="Z784" s="559"/>
      <c r="AA784" s="559"/>
      <c r="AB784" s="559"/>
      <c r="AC784" s="559"/>
      <c r="AD784" s="559"/>
      <c r="AE784" s="559"/>
      <c r="AF784" s="559"/>
      <c r="AG784" s="559"/>
      <c r="AH784" s="559"/>
      <c r="AI784" s="559"/>
      <c r="AJ784" s="559"/>
      <c r="AK784" s="559"/>
      <c r="AL784" s="559"/>
      <c r="AM784" s="559"/>
      <c r="AN784" s="559"/>
    </row>
    <row r="785">
      <c r="A785" s="559"/>
      <c r="B785" s="559"/>
      <c r="C785" s="559"/>
      <c r="D785" s="559"/>
      <c r="E785" s="559"/>
      <c r="F785" s="559"/>
      <c r="G785" s="559"/>
      <c r="H785" s="559"/>
      <c r="I785" s="559"/>
      <c r="J785" s="559"/>
      <c r="K785" s="559"/>
      <c r="L785" s="559"/>
      <c r="M785" s="559"/>
      <c r="N785" s="559"/>
      <c r="O785" s="559"/>
      <c r="P785" s="559"/>
      <c r="Q785" s="559"/>
      <c r="R785" s="559"/>
      <c r="S785" s="559"/>
      <c r="T785" s="559"/>
      <c r="U785" s="559"/>
      <c r="V785" s="559"/>
      <c r="W785" s="559"/>
      <c r="X785" s="559"/>
      <c r="Y785" s="559"/>
      <c r="Z785" s="559"/>
      <c r="AA785" s="559"/>
      <c r="AB785" s="559"/>
      <c r="AC785" s="559"/>
      <c r="AD785" s="559"/>
      <c r="AE785" s="559"/>
      <c r="AF785" s="559"/>
      <c r="AG785" s="559"/>
      <c r="AH785" s="559"/>
      <c r="AI785" s="559"/>
      <c r="AJ785" s="559"/>
      <c r="AK785" s="559"/>
      <c r="AL785" s="559"/>
      <c r="AM785" s="559"/>
      <c r="AN785" s="559"/>
    </row>
    <row r="786">
      <c r="A786" s="559"/>
      <c r="B786" s="559"/>
      <c r="C786" s="559"/>
      <c r="D786" s="559"/>
      <c r="E786" s="559"/>
      <c r="F786" s="559"/>
      <c r="G786" s="559"/>
      <c r="H786" s="559"/>
      <c r="I786" s="559"/>
      <c r="J786" s="559"/>
      <c r="K786" s="559"/>
      <c r="L786" s="559"/>
      <c r="M786" s="559"/>
      <c r="N786" s="559"/>
      <c r="O786" s="559"/>
      <c r="P786" s="559"/>
      <c r="Q786" s="559"/>
      <c r="R786" s="559"/>
      <c r="S786" s="559"/>
      <c r="T786" s="559"/>
      <c r="U786" s="559"/>
      <c r="V786" s="559"/>
      <c r="W786" s="559"/>
      <c r="X786" s="559"/>
      <c r="Y786" s="559"/>
      <c r="Z786" s="559"/>
      <c r="AA786" s="559"/>
      <c r="AB786" s="559"/>
      <c r="AC786" s="559"/>
      <c r="AD786" s="559"/>
      <c r="AE786" s="559"/>
      <c r="AF786" s="559"/>
      <c r="AG786" s="559"/>
      <c r="AH786" s="559"/>
      <c r="AI786" s="559"/>
      <c r="AJ786" s="559"/>
      <c r="AK786" s="559"/>
      <c r="AL786" s="559"/>
      <c r="AM786" s="559"/>
      <c r="AN786" s="559"/>
    </row>
    <row r="787">
      <c r="A787" s="559"/>
      <c r="B787" s="559"/>
      <c r="C787" s="559"/>
      <c r="D787" s="559"/>
      <c r="E787" s="559"/>
      <c r="F787" s="559"/>
      <c r="G787" s="559"/>
      <c r="H787" s="559"/>
      <c r="I787" s="559"/>
      <c r="J787" s="559"/>
      <c r="K787" s="559"/>
      <c r="L787" s="559"/>
      <c r="M787" s="559"/>
      <c r="N787" s="559"/>
      <c r="O787" s="559"/>
      <c r="P787" s="559"/>
      <c r="Q787" s="559"/>
      <c r="R787" s="559"/>
      <c r="S787" s="559"/>
      <c r="T787" s="559"/>
      <c r="U787" s="559"/>
      <c r="V787" s="559"/>
      <c r="W787" s="559"/>
      <c r="X787" s="559"/>
      <c r="Y787" s="559"/>
      <c r="Z787" s="559"/>
      <c r="AA787" s="559"/>
      <c r="AB787" s="559"/>
      <c r="AC787" s="559"/>
      <c r="AD787" s="559"/>
      <c r="AE787" s="559"/>
      <c r="AF787" s="559"/>
      <c r="AG787" s="559"/>
      <c r="AH787" s="559"/>
      <c r="AI787" s="559"/>
      <c r="AJ787" s="559"/>
      <c r="AK787" s="559"/>
      <c r="AL787" s="559"/>
      <c r="AM787" s="559"/>
      <c r="AN787" s="559"/>
    </row>
    <row r="788">
      <c r="A788" s="559"/>
      <c r="B788" s="559"/>
      <c r="C788" s="559"/>
      <c r="D788" s="559"/>
      <c r="E788" s="559"/>
      <c r="F788" s="559"/>
      <c r="G788" s="559"/>
      <c r="H788" s="559"/>
      <c r="I788" s="559"/>
      <c r="J788" s="559"/>
      <c r="K788" s="559"/>
      <c r="L788" s="559"/>
      <c r="M788" s="559"/>
      <c r="N788" s="559"/>
      <c r="O788" s="559"/>
      <c r="P788" s="559"/>
      <c r="Q788" s="559"/>
      <c r="R788" s="559"/>
      <c r="S788" s="559"/>
      <c r="T788" s="559"/>
      <c r="U788" s="559"/>
      <c r="V788" s="559"/>
      <c r="W788" s="559"/>
      <c r="X788" s="559"/>
      <c r="Y788" s="559"/>
      <c r="Z788" s="559"/>
      <c r="AA788" s="559"/>
      <c r="AB788" s="559"/>
      <c r="AC788" s="559"/>
      <c r="AD788" s="559"/>
      <c r="AE788" s="559"/>
      <c r="AF788" s="559"/>
      <c r="AG788" s="559"/>
      <c r="AH788" s="559"/>
      <c r="AI788" s="559"/>
      <c r="AJ788" s="559"/>
      <c r="AK788" s="559"/>
      <c r="AL788" s="559"/>
      <c r="AM788" s="559"/>
      <c r="AN788" s="559"/>
    </row>
    <row r="789">
      <c r="A789" s="559"/>
      <c r="B789" s="559"/>
      <c r="C789" s="559"/>
      <c r="D789" s="559"/>
      <c r="E789" s="559"/>
      <c r="F789" s="559"/>
      <c r="G789" s="559"/>
      <c r="H789" s="559"/>
      <c r="I789" s="559"/>
      <c r="J789" s="559"/>
      <c r="K789" s="559"/>
      <c r="L789" s="559"/>
      <c r="M789" s="559"/>
      <c r="N789" s="559"/>
      <c r="O789" s="559"/>
      <c r="P789" s="559"/>
      <c r="Q789" s="559"/>
      <c r="R789" s="559"/>
      <c r="S789" s="559"/>
      <c r="T789" s="559"/>
      <c r="U789" s="559"/>
      <c r="V789" s="559"/>
      <c r="W789" s="559"/>
      <c r="X789" s="559"/>
      <c r="Y789" s="559"/>
      <c r="Z789" s="559"/>
      <c r="AA789" s="559"/>
      <c r="AB789" s="559"/>
      <c r="AC789" s="559"/>
      <c r="AD789" s="559"/>
      <c r="AE789" s="559"/>
      <c r="AF789" s="559"/>
      <c r="AG789" s="559"/>
      <c r="AH789" s="559"/>
      <c r="AI789" s="559"/>
      <c r="AJ789" s="559"/>
      <c r="AK789" s="559"/>
      <c r="AL789" s="559"/>
      <c r="AM789" s="559"/>
      <c r="AN789" s="559"/>
    </row>
    <row r="790">
      <c r="A790" s="559"/>
      <c r="B790" s="559"/>
      <c r="C790" s="559"/>
      <c r="D790" s="559"/>
      <c r="E790" s="559"/>
      <c r="F790" s="559"/>
      <c r="G790" s="559"/>
      <c r="H790" s="559"/>
      <c r="I790" s="559"/>
      <c r="J790" s="559"/>
      <c r="K790" s="559"/>
      <c r="L790" s="559"/>
      <c r="M790" s="559"/>
      <c r="N790" s="559"/>
      <c r="O790" s="559"/>
      <c r="P790" s="559"/>
      <c r="Q790" s="559"/>
      <c r="R790" s="559"/>
      <c r="S790" s="559"/>
      <c r="T790" s="559"/>
      <c r="U790" s="559"/>
      <c r="V790" s="559"/>
      <c r="W790" s="559"/>
      <c r="X790" s="559"/>
      <c r="Y790" s="559"/>
      <c r="Z790" s="559"/>
      <c r="AA790" s="559"/>
      <c r="AB790" s="559"/>
      <c r="AC790" s="559"/>
      <c r="AD790" s="559"/>
      <c r="AE790" s="559"/>
      <c r="AF790" s="559"/>
      <c r="AG790" s="559"/>
      <c r="AH790" s="559"/>
      <c r="AI790" s="559"/>
      <c r="AJ790" s="559"/>
      <c r="AK790" s="559"/>
      <c r="AL790" s="559"/>
      <c r="AM790" s="559"/>
      <c r="AN790" s="559"/>
    </row>
    <row r="791">
      <c r="A791" s="559"/>
      <c r="B791" s="559"/>
      <c r="C791" s="559"/>
      <c r="D791" s="559"/>
      <c r="E791" s="559"/>
      <c r="F791" s="559"/>
      <c r="G791" s="559"/>
      <c r="H791" s="559"/>
      <c r="I791" s="559"/>
      <c r="J791" s="559"/>
      <c r="K791" s="559"/>
      <c r="L791" s="559"/>
      <c r="M791" s="559"/>
      <c r="N791" s="559"/>
      <c r="O791" s="559"/>
      <c r="P791" s="559"/>
      <c r="Q791" s="559"/>
      <c r="R791" s="559"/>
      <c r="S791" s="559"/>
      <c r="T791" s="559"/>
      <c r="U791" s="559"/>
      <c r="V791" s="559"/>
      <c r="W791" s="559"/>
      <c r="X791" s="559"/>
      <c r="Y791" s="559"/>
      <c r="Z791" s="559"/>
      <c r="AA791" s="559"/>
      <c r="AB791" s="559"/>
      <c r="AC791" s="559"/>
      <c r="AD791" s="559"/>
      <c r="AE791" s="559"/>
      <c r="AF791" s="559"/>
      <c r="AG791" s="559"/>
      <c r="AH791" s="559"/>
      <c r="AI791" s="559"/>
      <c r="AJ791" s="559"/>
      <c r="AK791" s="559"/>
      <c r="AL791" s="559"/>
      <c r="AM791" s="559"/>
      <c r="AN791" s="559"/>
    </row>
    <row r="792">
      <c r="A792" s="559"/>
      <c r="B792" s="559"/>
      <c r="C792" s="559"/>
      <c r="D792" s="559"/>
      <c r="E792" s="559"/>
      <c r="F792" s="559"/>
      <c r="G792" s="559"/>
      <c r="H792" s="559"/>
      <c r="I792" s="559"/>
      <c r="J792" s="559"/>
      <c r="K792" s="559"/>
      <c r="L792" s="559"/>
      <c r="M792" s="559"/>
      <c r="N792" s="559"/>
      <c r="O792" s="559"/>
      <c r="P792" s="559"/>
      <c r="Q792" s="559"/>
      <c r="R792" s="559"/>
      <c r="S792" s="559"/>
      <c r="T792" s="559"/>
      <c r="U792" s="559"/>
      <c r="V792" s="559"/>
      <c r="W792" s="559"/>
      <c r="X792" s="559"/>
      <c r="Y792" s="559"/>
      <c r="Z792" s="559"/>
      <c r="AA792" s="559"/>
      <c r="AB792" s="559"/>
      <c r="AC792" s="559"/>
      <c r="AD792" s="559"/>
      <c r="AE792" s="559"/>
      <c r="AF792" s="559"/>
      <c r="AG792" s="559"/>
      <c r="AH792" s="559"/>
      <c r="AI792" s="559"/>
      <c r="AJ792" s="559"/>
      <c r="AK792" s="559"/>
      <c r="AL792" s="559"/>
      <c r="AM792" s="559"/>
      <c r="AN792" s="559"/>
    </row>
    <row r="793">
      <c r="A793" s="559"/>
      <c r="B793" s="559"/>
      <c r="C793" s="559"/>
      <c r="D793" s="559"/>
      <c r="E793" s="559"/>
      <c r="F793" s="559"/>
      <c r="G793" s="559"/>
      <c r="H793" s="559"/>
      <c r="I793" s="559"/>
      <c r="J793" s="559"/>
      <c r="K793" s="559"/>
      <c r="L793" s="559"/>
      <c r="M793" s="559"/>
      <c r="N793" s="559"/>
      <c r="O793" s="559"/>
      <c r="P793" s="559"/>
      <c r="Q793" s="559"/>
      <c r="R793" s="559"/>
      <c r="S793" s="559"/>
      <c r="T793" s="559"/>
      <c r="U793" s="559"/>
      <c r="V793" s="559"/>
      <c r="W793" s="559"/>
      <c r="X793" s="559"/>
      <c r="Y793" s="559"/>
      <c r="Z793" s="559"/>
      <c r="AA793" s="559"/>
      <c r="AB793" s="559"/>
      <c r="AC793" s="559"/>
      <c r="AD793" s="559"/>
      <c r="AE793" s="559"/>
      <c r="AF793" s="559"/>
      <c r="AG793" s="559"/>
      <c r="AH793" s="559"/>
      <c r="AI793" s="559"/>
      <c r="AJ793" s="559"/>
      <c r="AK793" s="559"/>
      <c r="AL793" s="559"/>
      <c r="AM793" s="559"/>
      <c r="AN793" s="559"/>
    </row>
    <row r="794">
      <c r="A794" s="559"/>
      <c r="B794" s="559"/>
      <c r="C794" s="559"/>
      <c r="D794" s="559"/>
      <c r="E794" s="559"/>
      <c r="F794" s="559"/>
      <c r="G794" s="559"/>
      <c r="H794" s="559"/>
      <c r="I794" s="559"/>
      <c r="J794" s="559"/>
      <c r="K794" s="559"/>
      <c r="L794" s="559"/>
      <c r="M794" s="559"/>
      <c r="N794" s="559"/>
      <c r="O794" s="559"/>
      <c r="P794" s="559"/>
      <c r="Q794" s="559"/>
      <c r="R794" s="559"/>
      <c r="S794" s="559"/>
      <c r="T794" s="559"/>
      <c r="U794" s="559"/>
      <c r="V794" s="559"/>
      <c r="W794" s="559"/>
      <c r="X794" s="559"/>
      <c r="Y794" s="559"/>
      <c r="Z794" s="559"/>
      <c r="AA794" s="559"/>
      <c r="AB794" s="559"/>
      <c r="AC794" s="559"/>
      <c r="AD794" s="559"/>
      <c r="AE794" s="559"/>
      <c r="AF794" s="559"/>
      <c r="AG794" s="559"/>
      <c r="AH794" s="559"/>
      <c r="AI794" s="559"/>
      <c r="AJ794" s="559"/>
      <c r="AK794" s="559"/>
      <c r="AL794" s="559"/>
      <c r="AM794" s="559"/>
      <c r="AN794" s="559"/>
    </row>
    <row r="795">
      <c r="A795" s="559"/>
      <c r="B795" s="559"/>
      <c r="C795" s="559"/>
      <c r="D795" s="559"/>
      <c r="E795" s="559"/>
      <c r="F795" s="559"/>
      <c r="G795" s="559"/>
      <c r="H795" s="559"/>
      <c r="I795" s="559"/>
      <c r="J795" s="559"/>
      <c r="K795" s="559"/>
      <c r="L795" s="559"/>
      <c r="M795" s="559"/>
      <c r="N795" s="559"/>
      <c r="O795" s="559"/>
      <c r="P795" s="559"/>
      <c r="Q795" s="559"/>
      <c r="R795" s="559"/>
      <c r="S795" s="559"/>
      <c r="T795" s="559"/>
      <c r="U795" s="559"/>
      <c r="V795" s="559"/>
      <c r="W795" s="559"/>
      <c r="X795" s="559"/>
      <c r="Y795" s="559"/>
      <c r="Z795" s="559"/>
      <c r="AA795" s="559"/>
      <c r="AB795" s="559"/>
      <c r="AC795" s="559"/>
      <c r="AD795" s="559"/>
      <c r="AE795" s="559"/>
      <c r="AF795" s="559"/>
      <c r="AG795" s="559"/>
      <c r="AH795" s="559"/>
      <c r="AI795" s="559"/>
      <c r="AJ795" s="559"/>
      <c r="AK795" s="559"/>
      <c r="AL795" s="559"/>
      <c r="AM795" s="559"/>
      <c r="AN795" s="559"/>
    </row>
    <row r="796">
      <c r="A796" s="559"/>
      <c r="B796" s="559"/>
      <c r="C796" s="559"/>
      <c r="D796" s="559"/>
      <c r="E796" s="559"/>
      <c r="F796" s="559"/>
      <c r="G796" s="559"/>
      <c r="H796" s="559"/>
      <c r="I796" s="559"/>
      <c r="J796" s="559"/>
      <c r="K796" s="559"/>
      <c r="L796" s="559"/>
      <c r="M796" s="559"/>
      <c r="N796" s="559"/>
      <c r="O796" s="559"/>
      <c r="P796" s="559"/>
      <c r="Q796" s="559"/>
      <c r="R796" s="559"/>
      <c r="S796" s="559"/>
      <c r="T796" s="559"/>
      <c r="U796" s="559"/>
      <c r="V796" s="559"/>
      <c r="W796" s="559"/>
      <c r="X796" s="559"/>
      <c r="Y796" s="559"/>
      <c r="Z796" s="559"/>
      <c r="AA796" s="559"/>
      <c r="AB796" s="559"/>
      <c r="AC796" s="559"/>
      <c r="AD796" s="559"/>
      <c r="AE796" s="559"/>
      <c r="AF796" s="559"/>
      <c r="AG796" s="559"/>
      <c r="AH796" s="559"/>
      <c r="AI796" s="559"/>
      <c r="AJ796" s="559"/>
      <c r="AK796" s="559"/>
      <c r="AL796" s="559"/>
      <c r="AM796" s="559"/>
      <c r="AN796" s="559"/>
    </row>
    <row r="797">
      <c r="A797" s="559"/>
      <c r="B797" s="559"/>
      <c r="C797" s="559"/>
      <c r="D797" s="559"/>
      <c r="E797" s="559"/>
      <c r="F797" s="559"/>
      <c r="G797" s="559"/>
      <c r="H797" s="559"/>
      <c r="I797" s="559"/>
      <c r="J797" s="559"/>
      <c r="K797" s="559"/>
      <c r="L797" s="559"/>
      <c r="M797" s="559"/>
      <c r="N797" s="559"/>
      <c r="O797" s="559"/>
      <c r="P797" s="559"/>
      <c r="Q797" s="559"/>
      <c r="R797" s="559"/>
      <c r="S797" s="559"/>
      <c r="T797" s="559"/>
      <c r="U797" s="559"/>
      <c r="V797" s="559"/>
      <c r="W797" s="559"/>
      <c r="X797" s="559"/>
      <c r="Y797" s="559"/>
      <c r="Z797" s="559"/>
      <c r="AA797" s="559"/>
      <c r="AB797" s="559"/>
      <c r="AC797" s="559"/>
      <c r="AD797" s="559"/>
      <c r="AE797" s="559"/>
      <c r="AF797" s="559"/>
      <c r="AG797" s="559"/>
      <c r="AH797" s="559"/>
      <c r="AI797" s="559"/>
      <c r="AJ797" s="559"/>
      <c r="AK797" s="559"/>
      <c r="AL797" s="559"/>
      <c r="AM797" s="559"/>
      <c r="AN797" s="559"/>
    </row>
    <row r="798">
      <c r="A798" s="559"/>
      <c r="B798" s="559"/>
      <c r="C798" s="559"/>
      <c r="D798" s="559"/>
      <c r="E798" s="559"/>
      <c r="F798" s="559"/>
      <c r="G798" s="559"/>
      <c r="H798" s="559"/>
      <c r="I798" s="559"/>
      <c r="J798" s="559"/>
      <c r="K798" s="559"/>
      <c r="L798" s="559"/>
      <c r="M798" s="559"/>
      <c r="N798" s="559"/>
      <c r="O798" s="559"/>
      <c r="P798" s="559"/>
      <c r="Q798" s="559"/>
      <c r="R798" s="559"/>
      <c r="S798" s="559"/>
      <c r="T798" s="559"/>
      <c r="U798" s="559"/>
      <c r="V798" s="559"/>
      <c r="W798" s="559"/>
      <c r="X798" s="559"/>
      <c r="Y798" s="559"/>
      <c r="Z798" s="559"/>
      <c r="AA798" s="559"/>
      <c r="AB798" s="559"/>
      <c r="AC798" s="559"/>
      <c r="AD798" s="559"/>
      <c r="AE798" s="559"/>
      <c r="AF798" s="559"/>
      <c r="AG798" s="559"/>
      <c r="AH798" s="559"/>
      <c r="AI798" s="559"/>
      <c r="AJ798" s="559"/>
      <c r="AK798" s="559"/>
      <c r="AL798" s="559"/>
      <c r="AM798" s="559"/>
      <c r="AN798" s="559"/>
    </row>
    <row r="799">
      <c r="A799" s="559"/>
      <c r="B799" s="559"/>
      <c r="C799" s="559"/>
      <c r="D799" s="559"/>
      <c r="E799" s="559"/>
      <c r="F799" s="559"/>
      <c r="G799" s="559"/>
      <c r="H799" s="559"/>
      <c r="I799" s="559"/>
      <c r="J799" s="559"/>
      <c r="K799" s="559"/>
      <c r="L799" s="559"/>
      <c r="M799" s="559"/>
      <c r="N799" s="559"/>
      <c r="O799" s="559"/>
      <c r="P799" s="559"/>
      <c r="Q799" s="559"/>
      <c r="R799" s="559"/>
      <c r="S799" s="559"/>
      <c r="T799" s="559"/>
      <c r="U799" s="559"/>
      <c r="V799" s="559"/>
      <c r="W799" s="559"/>
      <c r="X799" s="559"/>
      <c r="Y799" s="559"/>
      <c r="Z799" s="559"/>
      <c r="AA799" s="559"/>
      <c r="AB799" s="559"/>
      <c r="AC799" s="559"/>
      <c r="AD799" s="559"/>
      <c r="AE799" s="559"/>
      <c r="AF799" s="559"/>
      <c r="AG799" s="559"/>
      <c r="AH799" s="559"/>
      <c r="AI799" s="559"/>
      <c r="AJ799" s="559"/>
      <c r="AK799" s="559"/>
      <c r="AL799" s="559"/>
      <c r="AM799" s="559"/>
      <c r="AN799" s="559"/>
    </row>
    <row r="800">
      <c r="A800" s="559"/>
      <c r="B800" s="559"/>
      <c r="C800" s="559"/>
      <c r="D800" s="559"/>
      <c r="E800" s="559"/>
      <c r="F800" s="559"/>
      <c r="G800" s="559"/>
      <c r="H800" s="559"/>
      <c r="I800" s="559"/>
      <c r="J800" s="559"/>
      <c r="K800" s="559"/>
      <c r="L800" s="559"/>
      <c r="M800" s="559"/>
      <c r="N800" s="559"/>
      <c r="O800" s="559"/>
      <c r="P800" s="559"/>
      <c r="Q800" s="559"/>
      <c r="R800" s="559"/>
      <c r="S800" s="559"/>
      <c r="T800" s="559"/>
      <c r="U800" s="559"/>
      <c r="V800" s="559"/>
      <c r="W800" s="559"/>
      <c r="X800" s="559"/>
      <c r="Y800" s="559"/>
      <c r="Z800" s="559"/>
      <c r="AA800" s="559"/>
      <c r="AB800" s="559"/>
      <c r="AC800" s="559"/>
      <c r="AD800" s="559"/>
      <c r="AE800" s="559"/>
      <c r="AF800" s="559"/>
      <c r="AG800" s="559"/>
      <c r="AH800" s="559"/>
      <c r="AI800" s="559"/>
      <c r="AJ800" s="559"/>
      <c r="AK800" s="559"/>
      <c r="AL800" s="559"/>
      <c r="AM800" s="559"/>
      <c r="AN800" s="559"/>
    </row>
    <row r="801">
      <c r="A801" s="559"/>
      <c r="B801" s="559"/>
      <c r="C801" s="559"/>
      <c r="D801" s="559"/>
      <c r="E801" s="559"/>
      <c r="F801" s="559"/>
      <c r="G801" s="559"/>
      <c r="H801" s="559"/>
      <c r="I801" s="559"/>
      <c r="J801" s="559"/>
      <c r="K801" s="559"/>
      <c r="L801" s="559"/>
      <c r="M801" s="559"/>
      <c r="N801" s="559"/>
      <c r="O801" s="559"/>
      <c r="P801" s="559"/>
      <c r="Q801" s="559"/>
      <c r="R801" s="559"/>
      <c r="S801" s="559"/>
      <c r="T801" s="559"/>
      <c r="U801" s="559"/>
      <c r="V801" s="559"/>
      <c r="W801" s="559"/>
      <c r="X801" s="559"/>
      <c r="Y801" s="559"/>
      <c r="Z801" s="559"/>
      <c r="AA801" s="559"/>
      <c r="AB801" s="559"/>
      <c r="AC801" s="559"/>
      <c r="AD801" s="559"/>
      <c r="AE801" s="559"/>
      <c r="AF801" s="559"/>
      <c r="AG801" s="559"/>
      <c r="AH801" s="559"/>
      <c r="AI801" s="559"/>
      <c r="AJ801" s="559"/>
      <c r="AK801" s="559"/>
      <c r="AL801" s="559"/>
      <c r="AM801" s="559"/>
      <c r="AN801" s="559"/>
    </row>
    <row r="802">
      <c r="A802" s="559"/>
      <c r="B802" s="559"/>
      <c r="C802" s="559"/>
      <c r="D802" s="559"/>
      <c r="E802" s="559"/>
      <c r="F802" s="559"/>
      <c r="G802" s="559"/>
      <c r="H802" s="559"/>
      <c r="I802" s="559"/>
      <c r="J802" s="559"/>
      <c r="K802" s="559"/>
      <c r="L802" s="559"/>
      <c r="M802" s="559"/>
      <c r="N802" s="559"/>
      <c r="O802" s="559"/>
      <c r="P802" s="559"/>
      <c r="Q802" s="559"/>
      <c r="R802" s="559"/>
      <c r="S802" s="559"/>
      <c r="T802" s="559"/>
      <c r="U802" s="559"/>
      <c r="V802" s="559"/>
      <c r="W802" s="559"/>
      <c r="X802" s="559"/>
      <c r="Y802" s="559"/>
      <c r="Z802" s="559"/>
      <c r="AA802" s="559"/>
      <c r="AB802" s="559"/>
      <c r="AC802" s="559"/>
      <c r="AD802" s="559"/>
      <c r="AE802" s="559"/>
      <c r="AF802" s="559"/>
      <c r="AG802" s="559"/>
      <c r="AH802" s="559"/>
      <c r="AI802" s="559"/>
      <c r="AJ802" s="559"/>
      <c r="AK802" s="559"/>
      <c r="AL802" s="559"/>
      <c r="AM802" s="559"/>
      <c r="AN802" s="559"/>
    </row>
    <row r="803">
      <c r="A803" s="559"/>
      <c r="B803" s="559"/>
      <c r="C803" s="559"/>
      <c r="D803" s="559"/>
      <c r="E803" s="559"/>
      <c r="F803" s="559"/>
      <c r="G803" s="559"/>
      <c r="H803" s="559"/>
      <c r="I803" s="559"/>
      <c r="J803" s="559"/>
      <c r="K803" s="559"/>
      <c r="L803" s="559"/>
      <c r="M803" s="559"/>
      <c r="N803" s="559"/>
      <c r="O803" s="559"/>
      <c r="P803" s="559"/>
      <c r="Q803" s="559"/>
      <c r="R803" s="559"/>
      <c r="S803" s="559"/>
      <c r="T803" s="559"/>
      <c r="U803" s="559"/>
      <c r="V803" s="559"/>
      <c r="W803" s="559"/>
      <c r="X803" s="559"/>
      <c r="Y803" s="559"/>
      <c r="Z803" s="559"/>
      <c r="AA803" s="559"/>
      <c r="AB803" s="559"/>
      <c r="AC803" s="559"/>
      <c r="AD803" s="559"/>
      <c r="AE803" s="559"/>
      <c r="AF803" s="559"/>
      <c r="AG803" s="559"/>
      <c r="AH803" s="559"/>
      <c r="AI803" s="559"/>
      <c r="AJ803" s="559"/>
      <c r="AK803" s="559"/>
      <c r="AL803" s="559"/>
      <c r="AM803" s="559"/>
      <c r="AN803" s="559"/>
    </row>
    <row r="804">
      <c r="A804" s="559"/>
      <c r="B804" s="559"/>
      <c r="C804" s="559"/>
      <c r="D804" s="559"/>
      <c r="E804" s="559"/>
      <c r="F804" s="559"/>
      <c r="G804" s="559"/>
      <c r="H804" s="559"/>
      <c r="I804" s="559"/>
      <c r="J804" s="559"/>
      <c r="K804" s="559"/>
      <c r="L804" s="559"/>
      <c r="M804" s="559"/>
      <c r="N804" s="559"/>
      <c r="O804" s="559"/>
      <c r="P804" s="559"/>
      <c r="Q804" s="559"/>
      <c r="R804" s="559"/>
      <c r="S804" s="559"/>
      <c r="T804" s="559"/>
      <c r="U804" s="559"/>
      <c r="V804" s="559"/>
      <c r="W804" s="559"/>
      <c r="X804" s="559"/>
      <c r="Y804" s="559"/>
      <c r="Z804" s="559"/>
      <c r="AA804" s="559"/>
      <c r="AB804" s="559"/>
      <c r="AC804" s="559"/>
      <c r="AD804" s="559"/>
      <c r="AE804" s="559"/>
      <c r="AF804" s="559"/>
      <c r="AG804" s="559"/>
      <c r="AH804" s="559"/>
      <c r="AI804" s="559"/>
      <c r="AJ804" s="559"/>
      <c r="AK804" s="559"/>
      <c r="AL804" s="559"/>
      <c r="AM804" s="559"/>
      <c r="AN804" s="559"/>
    </row>
    <row r="805">
      <c r="A805" s="559"/>
      <c r="B805" s="559"/>
      <c r="C805" s="559"/>
      <c r="D805" s="559"/>
      <c r="E805" s="559"/>
      <c r="F805" s="559"/>
      <c r="G805" s="559"/>
      <c r="H805" s="559"/>
      <c r="I805" s="559"/>
      <c r="J805" s="559"/>
      <c r="K805" s="559"/>
      <c r="L805" s="559"/>
      <c r="M805" s="559"/>
      <c r="N805" s="559"/>
      <c r="O805" s="559"/>
      <c r="P805" s="559"/>
      <c r="Q805" s="559"/>
      <c r="R805" s="559"/>
      <c r="S805" s="559"/>
      <c r="T805" s="559"/>
      <c r="U805" s="559"/>
      <c r="V805" s="559"/>
      <c r="W805" s="559"/>
      <c r="X805" s="559"/>
      <c r="Y805" s="559"/>
      <c r="Z805" s="559"/>
      <c r="AA805" s="559"/>
      <c r="AB805" s="559"/>
      <c r="AC805" s="559"/>
      <c r="AD805" s="559"/>
      <c r="AE805" s="559"/>
      <c r="AF805" s="559"/>
      <c r="AG805" s="559"/>
      <c r="AH805" s="559"/>
      <c r="AI805" s="559"/>
      <c r="AJ805" s="559"/>
      <c r="AK805" s="559"/>
      <c r="AL805" s="559"/>
      <c r="AM805" s="559"/>
      <c r="AN805" s="559"/>
    </row>
    <row r="806">
      <c r="A806" s="559"/>
      <c r="B806" s="559"/>
      <c r="C806" s="559"/>
      <c r="D806" s="559"/>
      <c r="E806" s="559"/>
      <c r="F806" s="559"/>
      <c r="G806" s="559"/>
      <c r="H806" s="559"/>
      <c r="I806" s="559"/>
      <c r="J806" s="559"/>
      <c r="K806" s="559"/>
      <c r="L806" s="559"/>
      <c r="M806" s="559"/>
      <c r="N806" s="559"/>
      <c r="O806" s="559"/>
      <c r="P806" s="559"/>
      <c r="Q806" s="559"/>
      <c r="R806" s="559"/>
      <c r="S806" s="559"/>
      <c r="T806" s="559"/>
      <c r="U806" s="559"/>
      <c r="V806" s="559"/>
      <c r="W806" s="559"/>
      <c r="X806" s="559"/>
      <c r="Y806" s="559"/>
      <c r="Z806" s="559"/>
      <c r="AA806" s="559"/>
      <c r="AB806" s="559"/>
      <c r="AC806" s="559"/>
      <c r="AD806" s="559"/>
      <c r="AE806" s="559"/>
      <c r="AF806" s="559"/>
      <c r="AG806" s="559"/>
      <c r="AH806" s="559"/>
      <c r="AI806" s="559"/>
      <c r="AJ806" s="559"/>
      <c r="AK806" s="559"/>
      <c r="AL806" s="559"/>
      <c r="AM806" s="559"/>
      <c r="AN806" s="559"/>
    </row>
    <row r="807">
      <c r="A807" s="559"/>
      <c r="B807" s="559"/>
      <c r="C807" s="559"/>
      <c r="D807" s="559"/>
      <c r="E807" s="559"/>
      <c r="F807" s="559"/>
      <c r="G807" s="559"/>
      <c r="H807" s="559"/>
      <c r="I807" s="559"/>
      <c r="J807" s="559"/>
      <c r="K807" s="559"/>
      <c r="L807" s="559"/>
      <c r="M807" s="559"/>
      <c r="N807" s="559"/>
      <c r="O807" s="559"/>
      <c r="P807" s="559"/>
      <c r="Q807" s="559"/>
      <c r="R807" s="559"/>
      <c r="S807" s="559"/>
      <c r="T807" s="559"/>
      <c r="U807" s="559"/>
      <c r="V807" s="559"/>
      <c r="W807" s="559"/>
      <c r="X807" s="559"/>
      <c r="Y807" s="559"/>
      <c r="Z807" s="559"/>
      <c r="AA807" s="559"/>
      <c r="AB807" s="559"/>
      <c r="AC807" s="559"/>
      <c r="AD807" s="559"/>
      <c r="AE807" s="559"/>
      <c r="AF807" s="559"/>
      <c r="AG807" s="559"/>
      <c r="AH807" s="559"/>
      <c r="AI807" s="559"/>
      <c r="AJ807" s="559"/>
      <c r="AK807" s="559"/>
      <c r="AL807" s="559"/>
      <c r="AM807" s="559"/>
      <c r="AN807" s="559"/>
    </row>
    <row r="808">
      <c r="A808" s="559"/>
      <c r="B808" s="559"/>
      <c r="C808" s="559"/>
      <c r="D808" s="559"/>
      <c r="E808" s="559"/>
      <c r="F808" s="559"/>
      <c r="G808" s="559"/>
      <c r="H808" s="559"/>
      <c r="I808" s="559"/>
      <c r="J808" s="559"/>
      <c r="K808" s="559"/>
      <c r="L808" s="559"/>
      <c r="M808" s="559"/>
      <c r="N808" s="559"/>
      <c r="O808" s="559"/>
      <c r="P808" s="559"/>
      <c r="Q808" s="559"/>
      <c r="R808" s="559"/>
      <c r="S808" s="559"/>
      <c r="T808" s="559"/>
      <c r="U808" s="559"/>
      <c r="V808" s="559"/>
      <c r="W808" s="559"/>
      <c r="X808" s="559"/>
      <c r="Y808" s="559"/>
      <c r="Z808" s="559"/>
      <c r="AA808" s="559"/>
      <c r="AB808" s="559"/>
      <c r="AC808" s="559"/>
      <c r="AD808" s="559"/>
      <c r="AE808" s="559"/>
      <c r="AF808" s="559"/>
      <c r="AG808" s="559"/>
      <c r="AH808" s="559"/>
      <c r="AI808" s="559"/>
      <c r="AJ808" s="559"/>
      <c r="AK808" s="559"/>
      <c r="AL808" s="559"/>
      <c r="AM808" s="559"/>
      <c r="AN808" s="559"/>
    </row>
    <row r="809">
      <c r="A809" s="559"/>
      <c r="B809" s="559"/>
      <c r="C809" s="559"/>
      <c r="D809" s="559"/>
      <c r="E809" s="559"/>
      <c r="F809" s="559"/>
      <c r="G809" s="559"/>
      <c r="H809" s="559"/>
      <c r="I809" s="559"/>
      <c r="J809" s="559"/>
      <c r="K809" s="559"/>
      <c r="L809" s="559"/>
      <c r="M809" s="559"/>
      <c r="N809" s="559"/>
      <c r="O809" s="559"/>
      <c r="P809" s="559"/>
      <c r="Q809" s="559"/>
      <c r="R809" s="559"/>
      <c r="S809" s="559"/>
      <c r="T809" s="559"/>
      <c r="U809" s="559"/>
      <c r="V809" s="559"/>
      <c r="W809" s="559"/>
      <c r="X809" s="559"/>
      <c r="Y809" s="559"/>
      <c r="Z809" s="559"/>
      <c r="AA809" s="559"/>
      <c r="AB809" s="559"/>
      <c r="AC809" s="559"/>
      <c r="AD809" s="559"/>
      <c r="AE809" s="559"/>
      <c r="AF809" s="559"/>
      <c r="AG809" s="559"/>
      <c r="AH809" s="559"/>
      <c r="AI809" s="559"/>
      <c r="AJ809" s="559"/>
      <c r="AK809" s="559"/>
      <c r="AL809" s="559"/>
      <c r="AM809" s="559"/>
      <c r="AN809" s="559"/>
    </row>
    <row r="810">
      <c r="A810" s="559"/>
      <c r="B810" s="559"/>
      <c r="C810" s="559"/>
      <c r="D810" s="559"/>
      <c r="E810" s="559"/>
      <c r="F810" s="559"/>
      <c r="G810" s="559"/>
      <c r="H810" s="559"/>
      <c r="I810" s="559"/>
      <c r="J810" s="559"/>
      <c r="K810" s="559"/>
      <c r="L810" s="559"/>
      <c r="M810" s="559"/>
      <c r="N810" s="559"/>
      <c r="O810" s="559"/>
      <c r="P810" s="559"/>
      <c r="Q810" s="559"/>
      <c r="R810" s="559"/>
      <c r="S810" s="559"/>
      <c r="T810" s="559"/>
      <c r="U810" s="559"/>
      <c r="V810" s="559"/>
      <c r="W810" s="559"/>
      <c r="X810" s="559"/>
      <c r="Y810" s="559"/>
      <c r="Z810" s="559"/>
      <c r="AA810" s="559"/>
      <c r="AB810" s="559"/>
      <c r="AC810" s="559"/>
      <c r="AD810" s="559"/>
      <c r="AE810" s="559"/>
      <c r="AF810" s="559"/>
      <c r="AG810" s="559"/>
      <c r="AH810" s="559"/>
      <c r="AI810" s="559"/>
      <c r="AJ810" s="559"/>
      <c r="AK810" s="559"/>
      <c r="AL810" s="559"/>
      <c r="AM810" s="559"/>
      <c r="AN810" s="559"/>
    </row>
    <row r="811">
      <c r="A811" s="559"/>
      <c r="B811" s="559"/>
      <c r="C811" s="559"/>
      <c r="D811" s="559"/>
      <c r="E811" s="559"/>
      <c r="F811" s="559"/>
      <c r="G811" s="559"/>
      <c r="H811" s="559"/>
      <c r="I811" s="559"/>
      <c r="J811" s="559"/>
      <c r="K811" s="559"/>
      <c r="L811" s="559"/>
      <c r="M811" s="559"/>
      <c r="N811" s="559"/>
      <c r="O811" s="559"/>
      <c r="P811" s="559"/>
      <c r="Q811" s="559"/>
      <c r="R811" s="559"/>
      <c r="S811" s="559"/>
      <c r="T811" s="559"/>
      <c r="U811" s="559"/>
      <c r="V811" s="559"/>
      <c r="W811" s="559"/>
      <c r="X811" s="559"/>
      <c r="Y811" s="559"/>
      <c r="Z811" s="559"/>
      <c r="AA811" s="559"/>
      <c r="AB811" s="559"/>
      <c r="AC811" s="559"/>
      <c r="AD811" s="559"/>
      <c r="AE811" s="559"/>
      <c r="AF811" s="559"/>
      <c r="AG811" s="559"/>
      <c r="AH811" s="559"/>
      <c r="AI811" s="559"/>
      <c r="AJ811" s="559"/>
      <c r="AK811" s="559"/>
      <c r="AL811" s="559"/>
      <c r="AM811" s="559"/>
      <c r="AN811" s="559"/>
    </row>
    <row r="812">
      <c r="A812" s="559"/>
      <c r="B812" s="559"/>
      <c r="C812" s="559"/>
      <c r="D812" s="559"/>
      <c r="E812" s="559"/>
      <c r="F812" s="559"/>
      <c r="G812" s="559"/>
      <c r="H812" s="559"/>
      <c r="I812" s="559"/>
      <c r="J812" s="559"/>
      <c r="K812" s="559"/>
      <c r="L812" s="559"/>
      <c r="M812" s="559"/>
      <c r="N812" s="559"/>
      <c r="O812" s="559"/>
      <c r="P812" s="559"/>
      <c r="Q812" s="559"/>
      <c r="R812" s="559"/>
      <c r="S812" s="559"/>
      <c r="T812" s="559"/>
      <c r="U812" s="559"/>
      <c r="V812" s="559"/>
      <c r="W812" s="559"/>
      <c r="X812" s="559"/>
      <c r="Y812" s="559"/>
      <c r="Z812" s="559"/>
      <c r="AA812" s="559"/>
      <c r="AB812" s="559"/>
      <c r="AC812" s="559"/>
      <c r="AD812" s="559"/>
      <c r="AE812" s="559"/>
      <c r="AF812" s="559"/>
      <c r="AG812" s="559"/>
      <c r="AH812" s="559"/>
      <c r="AI812" s="559"/>
      <c r="AJ812" s="559"/>
      <c r="AK812" s="559"/>
      <c r="AL812" s="559"/>
      <c r="AM812" s="559"/>
      <c r="AN812" s="559"/>
    </row>
    <row r="813">
      <c r="A813" s="559"/>
      <c r="B813" s="559"/>
      <c r="C813" s="559"/>
      <c r="D813" s="559"/>
      <c r="E813" s="559"/>
      <c r="F813" s="559"/>
      <c r="G813" s="559"/>
      <c r="H813" s="559"/>
      <c r="I813" s="559"/>
      <c r="J813" s="559"/>
      <c r="K813" s="559"/>
      <c r="L813" s="559"/>
      <c r="M813" s="559"/>
      <c r="N813" s="559"/>
      <c r="O813" s="559"/>
      <c r="P813" s="559"/>
      <c r="Q813" s="559"/>
      <c r="R813" s="559"/>
      <c r="S813" s="559"/>
      <c r="T813" s="559"/>
      <c r="U813" s="559"/>
      <c r="V813" s="559"/>
      <c r="W813" s="559"/>
      <c r="X813" s="559"/>
      <c r="Y813" s="559"/>
      <c r="Z813" s="559"/>
      <c r="AA813" s="559"/>
      <c r="AB813" s="559"/>
      <c r="AC813" s="559"/>
      <c r="AD813" s="559"/>
      <c r="AE813" s="559"/>
      <c r="AF813" s="559"/>
      <c r="AG813" s="559"/>
      <c r="AH813" s="559"/>
      <c r="AI813" s="559"/>
      <c r="AJ813" s="559"/>
      <c r="AK813" s="559"/>
      <c r="AL813" s="559"/>
      <c r="AM813" s="559"/>
      <c r="AN813" s="559"/>
    </row>
    <row r="814">
      <c r="A814" s="559"/>
      <c r="B814" s="559"/>
      <c r="C814" s="559"/>
      <c r="D814" s="559"/>
      <c r="E814" s="559"/>
      <c r="F814" s="559"/>
      <c r="G814" s="559"/>
      <c r="H814" s="559"/>
      <c r="I814" s="559"/>
      <c r="J814" s="559"/>
      <c r="K814" s="559"/>
      <c r="L814" s="559"/>
      <c r="M814" s="559"/>
      <c r="N814" s="559"/>
      <c r="O814" s="559"/>
      <c r="P814" s="559"/>
      <c r="Q814" s="559"/>
      <c r="R814" s="559"/>
      <c r="S814" s="559"/>
      <c r="T814" s="559"/>
      <c r="U814" s="559"/>
      <c r="V814" s="559"/>
      <c r="W814" s="559"/>
      <c r="X814" s="559"/>
      <c r="Y814" s="559"/>
      <c r="Z814" s="559"/>
      <c r="AA814" s="559"/>
      <c r="AB814" s="559"/>
      <c r="AC814" s="559"/>
      <c r="AD814" s="559"/>
      <c r="AE814" s="559"/>
      <c r="AF814" s="559"/>
      <c r="AG814" s="559"/>
      <c r="AH814" s="559"/>
      <c r="AI814" s="559"/>
      <c r="AJ814" s="559"/>
      <c r="AK814" s="559"/>
      <c r="AL814" s="559"/>
      <c r="AM814" s="559"/>
      <c r="AN814" s="559"/>
    </row>
    <row r="815">
      <c r="A815" s="559"/>
      <c r="B815" s="559"/>
      <c r="C815" s="559"/>
      <c r="D815" s="559"/>
      <c r="E815" s="559"/>
      <c r="F815" s="559"/>
      <c r="G815" s="559"/>
      <c r="H815" s="559"/>
      <c r="I815" s="559"/>
      <c r="J815" s="559"/>
      <c r="K815" s="559"/>
      <c r="L815" s="559"/>
      <c r="M815" s="559"/>
      <c r="N815" s="559"/>
      <c r="O815" s="559"/>
      <c r="P815" s="559"/>
      <c r="Q815" s="559"/>
      <c r="R815" s="559"/>
      <c r="S815" s="559"/>
      <c r="T815" s="559"/>
      <c r="U815" s="559"/>
      <c r="V815" s="559"/>
      <c r="W815" s="559"/>
      <c r="X815" s="559"/>
      <c r="Y815" s="559"/>
      <c r="Z815" s="559"/>
      <c r="AA815" s="559"/>
      <c r="AB815" s="559"/>
      <c r="AC815" s="559"/>
      <c r="AD815" s="559"/>
      <c r="AE815" s="559"/>
      <c r="AF815" s="559"/>
      <c r="AG815" s="559"/>
      <c r="AH815" s="559"/>
      <c r="AI815" s="559"/>
      <c r="AJ815" s="559"/>
      <c r="AK815" s="559"/>
      <c r="AL815" s="559"/>
      <c r="AM815" s="559"/>
      <c r="AN815" s="559"/>
    </row>
    <row r="816">
      <c r="A816" s="559"/>
      <c r="B816" s="559"/>
      <c r="C816" s="559"/>
      <c r="D816" s="559"/>
      <c r="E816" s="559"/>
      <c r="F816" s="559"/>
      <c r="G816" s="559"/>
      <c r="H816" s="559"/>
      <c r="I816" s="559"/>
      <c r="J816" s="559"/>
      <c r="K816" s="559"/>
      <c r="L816" s="559"/>
      <c r="M816" s="559"/>
      <c r="N816" s="559"/>
      <c r="O816" s="559"/>
      <c r="P816" s="559"/>
      <c r="Q816" s="559"/>
      <c r="R816" s="559"/>
      <c r="S816" s="559"/>
      <c r="T816" s="559"/>
      <c r="U816" s="559"/>
      <c r="V816" s="559"/>
      <c r="W816" s="559"/>
      <c r="X816" s="559"/>
      <c r="Y816" s="559"/>
      <c r="Z816" s="559"/>
      <c r="AA816" s="559"/>
      <c r="AB816" s="559"/>
      <c r="AC816" s="559"/>
      <c r="AD816" s="559"/>
      <c r="AE816" s="559"/>
      <c r="AF816" s="559"/>
      <c r="AG816" s="559"/>
      <c r="AH816" s="559"/>
      <c r="AI816" s="559"/>
      <c r="AJ816" s="559"/>
      <c r="AK816" s="559"/>
      <c r="AL816" s="559"/>
      <c r="AM816" s="559"/>
      <c r="AN816" s="559"/>
    </row>
    <row r="817">
      <c r="A817" s="559"/>
      <c r="B817" s="559"/>
      <c r="C817" s="559"/>
      <c r="D817" s="559"/>
      <c r="E817" s="559"/>
      <c r="F817" s="559"/>
      <c r="G817" s="559"/>
      <c r="H817" s="559"/>
      <c r="I817" s="559"/>
      <c r="J817" s="559"/>
      <c r="K817" s="559"/>
      <c r="L817" s="559"/>
      <c r="M817" s="559"/>
      <c r="N817" s="559"/>
      <c r="O817" s="559"/>
      <c r="P817" s="559"/>
      <c r="Q817" s="559"/>
      <c r="R817" s="559"/>
      <c r="S817" s="559"/>
      <c r="T817" s="559"/>
      <c r="U817" s="559"/>
      <c r="V817" s="559"/>
      <c r="W817" s="559"/>
      <c r="X817" s="559"/>
      <c r="Y817" s="559"/>
      <c r="Z817" s="559"/>
      <c r="AA817" s="559"/>
      <c r="AB817" s="559"/>
      <c r="AC817" s="559"/>
      <c r="AD817" s="559"/>
      <c r="AE817" s="559"/>
      <c r="AF817" s="559"/>
      <c r="AG817" s="559"/>
      <c r="AH817" s="559"/>
      <c r="AI817" s="559"/>
      <c r="AJ817" s="559"/>
      <c r="AK817" s="559"/>
      <c r="AL817" s="559"/>
      <c r="AM817" s="559"/>
      <c r="AN817" s="559"/>
    </row>
    <row r="818">
      <c r="A818" s="559"/>
      <c r="B818" s="559"/>
      <c r="C818" s="559"/>
      <c r="D818" s="559"/>
      <c r="E818" s="559"/>
      <c r="F818" s="559"/>
      <c r="G818" s="559"/>
      <c r="H818" s="559"/>
      <c r="I818" s="559"/>
      <c r="J818" s="559"/>
      <c r="K818" s="559"/>
      <c r="L818" s="559"/>
      <c r="M818" s="559"/>
      <c r="N818" s="559"/>
      <c r="O818" s="559"/>
      <c r="P818" s="559"/>
      <c r="Q818" s="559"/>
      <c r="R818" s="559"/>
      <c r="S818" s="559"/>
      <c r="T818" s="559"/>
      <c r="U818" s="559"/>
      <c r="V818" s="559"/>
      <c r="W818" s="559"/>
      <c r="X818" s="559"/>
      <c r="Y818" s="559"/>
      <c r="Z818" s="559"/>
      <c r="AA818" s="559"/>
      <c r="AB818" s="559"/>
      <c r="AC818" s="559"/>
      <c r="AD818" s="559"/>
      <c r="AE818" s="559"/>
      <c r="AF818" s="559"/>
      <c r="AG818" s="559"/>
      <c r="AH818" s="559"/>
      <c r="AI818" s="559"/>
      <c r="AJ818" s="559"/>
      <c r="AK818" s="559"/>
      <c r="AL818" s="559"/>
      <c r="AM818" s="559"/>
      <c r="AN818" s="559"/>
    </row>
    <row r="819">
      <c r="A819" s="559"/>
      <c r="B819" s="559"/>
      <c r="C819" s="559"/>
      <c r="D819" s="559"/>
      <c r="E819" s="559"/>
      <c r="F819" s="559"/>
      <c r="G819" s="559"/>
      <c r="H819" s="559"/>
      <c r="I819" s="559"/>
      <c r="J819" s="559"/>
      <c r="K819" s="559"/>
      <c r="L819" s="559"/>
      <c r="M819" s="559"/>
      <c r="N819" s="559"/>
      <c r="O819" s="559"/>
      <c r="P819" s="559"/>
      <c r="Q819" s="559"/>
      <c r="R819" s="559"/>
      <c r="S819" s="559"/>
      <c r="T819" s="559"/>
      <c r="U819" s="559"/>
      <c r="V819" s="559"/>
      <c r="W819" s="559"/>
      <c r="X819" s="559"/>
      <c r="Y819" s="559"/>
      <c r="Z819" s="559"/>
      <c r="AA819" s="559"/>
      <c r="AB819" s="559"/>
      <c r="AC819" s="559"/>
      <c r="AD819" s="559"/>
      <c r="AE819" s="559"/>
      <c r="AF819" s="559"/>
      <c r="AG819" s="559"/>
      <c r="AH819" s="559"/>
      <c r="AI819" s="559"/>
      <c r="AJ819" s="559"/>
      <c r="AK819" s="559"/>
      <c r="AL819" s="559"/>
      <c r="AM819" s="559"/>
      <c r="AN819" s="559"/>
    </row>
    <row r="820">
      <c r="A820" s="559"/>
      <c r="B820" s="559"/>
      <c r="C820" s="559"/>
      <c r="D820" s="559"/>
      <c r="E820" s="559"/>
      <c r="F820" s="559"/>
      <c r="G820" s="559"/>
      <c r="H820" s="559"/>
      <c r="I820" s="559"/>
      <c r="J820" s="559"/>
      <c r="K820" s="559"/>
      <c r="L820" s="559"/>
      <c r="M820" s="559"/>
      <c r="N820" s="559"/>
      <c r="O820" s="559"/>
      <c r="P820" s="559"/>
      <c r="Q820" s="559"/>
      <c r="R820" s="559"/>
      <c r="S820" s="559"/>
      <c r="T820" s="559"/>
      <c r="U820" s="559"/>
      <c r="V820" s="559"/>
      <c r="W820" s="559"/>
      <c r="X820" s="559"/>
      <c r="Y820" s="559"/>
      <c r="Z820" s="559"/>
      <c r="AA820" s="559"/>
      <c r="AB820" s="559"/>
      <c r="AC820" s="559"/>
      <c r="AD820" s="559"/>
      <c r="AE820" s="559"/>
      <c r="AF820" s="559"/>
      <c r="AG820" s="559"/>
      <c r="AH820" s="559"/>
      <c r="AI820" s="559"/>
      <c r="AJ820" s="559"/>
      <c r="AK820" s="559"/>
      <c r="AL820" s="559"/>
      <c r="AM820" s="559"/>
      <c r="AN820" s="559"/>
    </row>
    <row r="821">
      <c r="A821" s="559"/>
      <c r="B821" s="559"/>
      <c r="C821" s="559"/>
      <c r="D821" s="559"/>
      <c r="E821" s="559"/>
      <c r="F821" s="559"/>
      <c r="G821" s="559"/>
      <c r="H821" s="559"/>
      <c r="I821" s="559"/>
      <c r="J821" s="559"/>
      <c r="K821" s="559"/>
      <c r="L821" s="559"/>
      <c r="M821" s="559"/>
      <c r="N821" s="559"/>
      <c r="O821" s="559"/>
      <c r="P821" s="559"/>
      <c r="Q821" s="559"/>
      <c r="R821" s="559"/>
      <c r="S821" s="559"/>
      <c r="T821" s="559"/>
      <c r="U821" s="559"/>
      <c r="V821" s="559"/>
      <c r="W821" s="559"/>
      <c r="X821" s="559"/>
      <c r="Y821" s="559"/>
      <c r="Z821" s="559"/>
      <c r="AA821" s="559"/>
      <c r="AB821" s="559"/>
      <c r="AC821" s="559"/>
      <c r="AD821" s="559"/>
      <c r="AE821" s="559"/>
      <c r="AF821" s="559"/>
      <c r="AG821" s="559"/>
      <c r="AH821" s="559"/>
      <c r="AI821" s="559"/>
      <c r="AJ821" s="559"/>
      <c r="AK821" s="559"/>
      <c r="AL821" s="559"/>
      <c r="AM821" s="559"/>
      <c r="AN821" s="559"/>
    </row>
    <row r="822">
      <c r="A822" s="559"/>
      <c r="B822" s="559"/>
      <c r="C822" s="559"/>
      <c r="D822" s="559"/>
      <c r="E822" s="559"/>
      <c r="F822" s="559"/>
      <c r="G822" s="559"/>
      <c r="H822" s="559"/>
      <c r="I822" s="559"/>
      <c r="J822" s="559"/>
      <c r="K822" s="559"/>
      <c r="L822" s="559"/>
      <c r="M822" s="559"/>
      <c r="N822" s="559"/>
      <c r="O822" s="559"/>
      <c r="P822" s="559"/>
      <c r="Q822" s="559"/>
      <c r="R822" s="559"/>
      <c r="S822" s="559"/>
      <c r="T822" s="559"/>
      <c r="U822" s="559"/>
      <c r="V822" s="559"/>
      <c r="W822" s="559"/>
      <c r="X822" s="559"/>
      <c r="Y822" s="559"/>
      <c r="Z822" s="559"/>
      <c r="AA822" s="559"/>
      <c r="AB822" s="559"/>
      <c r="AC822" s="559"/>
      <c r="AD822" s="559"/>
      <c r="AE822" s="559"/>
      <c r="AF822" s="559"/>
      <c r="AG822" s="559"/>
      <c r="AH822" s="559"/>
      <c r="AI822" s="559"/>
      <c r="AJ822" s="559"/>
      <c r="AK822" s="559"/>
      <c r="AL822" s="559"/>
      <c r="AM822" s="559"/>
      <c r="AN822" s="559"/>
    </row>
    <row r="823">
      <c r="A823" s="559"/>
      <c r="B823" s="559"/>
      <c r="C823" s="559"/>
      <c r="D823" s="559"/>
      <c r="E823" s="559"/>
      <c r="F823" s="559"/>
      <c r="G823" s="559"/>
      <c r="H823" s="559"/>
      <c r="I823" s="559"/>
      <c r="J823" s="559"/>
      <c r="K823" s="559"/>
      <c r="L823" s="559"/>
      <c r="M823" s="559"/>
      <c r="N823" s="559"/>
      <c r="O823" s="559"/>
      <c r="P823" s="559"/>
      <c r="Q823" s="559"/>
      <c r="R823" s="559"/>
      <c r="S823" s="559"/>
      <c r="T823" s="559"/>
      <c r="U823" s="559"/>
      <c r="V823" s="559"/>
      <c r="W823" s="559"/>
      <c r="X823" s="559"/>
      <c r="Y823" s="559"/>
      <c r="Z823" s="559"/>
      <c r="AA823" s="559"/>
      <c r="AB823" s="559"/>
      <c r="AC823" s="559"/>
      <c r="AD823" s="559"/>
      <c r="AE823" s="559"/>
      <c r="AF823" s="559"/>
      <c r="AG823" s="559"/>
      <c r="AH823" s="559"/>
      <c r="AI823" s="559"/>
      <c r="AJ823" s="559"/>
      <c r="AK823" s="559"/>
      <c r="AL823" s="559"/>
      <c r="AM823" s="559"/>
      <c r="AN823" s="559"/>
    </row>
    <row r="824">
      <c r="A824" s="559"/>
      <c r="B824" s="559"/>
      <c r="C824" s="559"/>
      <c r="D824" s="559"/>
      <c r="E824" s="559"/>
      <c r="F824" s="559"/>
      <c r="G824" s="559"/>
      <c r="H824" s="559"/>
      <c r="I824" s="559"/>
      <c r="J824" s="559"/>
      <c r="K824" s="559"/>
      <c r="L824" s="559"/>
      <c r="M824" s="559"/>
      <c r="N824" s="559"/>
      <c r="O824" s="559"/>
      <c r="P824" s="559"/>
      <c r="Q824" s="559"/>
      <c r="R824" s="559"/>
      <c r="S824" s="559"/>
      <c r="T824" s="559"/>
      <c r="U824" s="559"/>
      <c r="V824" s="559"/>
      <c r="W824" s="559"/>
      <c r="X824" s="559"/>
      <c r="Y824" s="559"/>
      <c r="Z824" s="559"/>
      <c r="AA824" s="559"/>
      <c r="AB824" s="559"/>
      <c r="AC824" s="559"/>
      <c r="AD824" s="559"/>
      <c r="AE824" s="559"/>
      <c r="AF824" s="559"/>
      <c r="AG824" s="559"/>
      <c r="AH824" s="559"/>
      <c r="AI824" s="559"/>
      <c r="AJ824" s="559"/>
      <c r="AK824" s="559"/>
      <c r="AL824" s="559"/>
      <c r="AM824" s="559"/>
      <c r="AN824" s="559"/>
    </row>
    <row r="825">
      <c r="A825" s="559"/>
      <c r="B825" s="559"/>
      <c r="C825" s="559"/>
      <c r="D825" s="559"/>
      <c r="E825" s="559"/>
      <c r="F825" s="559"/>
      <c r="G825" s="559"/>
      <c r="H825" s="559"/>
      <c r="I825" s="559"/>
      <c r="J825" s="559"/>
      <c r="K825" s="559"/>
      <c r="L825" s="559"/>
      <c r="M825" s="559"/>
      <c r="N825" s="559"/>
      <c r="O825" s="559"/>
      <c r="P825" s="559"/>
      <c r="Q825" s="559"/>
      <c r="R825" s="559"/>
      <c r="S825" s="559"/>
      <c r="T825" s="559"/>
      <c r="U825" s="559"/>
      <c r="V825" s="559"/>
      <c r="W825" s="559"/>
      <c r="X825" s="559"/>
      <c r="Y825" s="559"/>
      <c r="Z825" s="559"/>
      <c r="AA825" s="559"/>
      <c r="AB825" s="559"/>
      <c r="AC825" s="559"/>
      <c r="AD825" s="559"/>
      <c r="AE825" s="559"/>
      <c r="AF825" s="559"/>
      <c r="AG825" s="559"/>
      <c r="AH825" s="559"/>
      <c r="AI825" s="559"/>
      <c r="AJ825" s="559"/>
      <c r="AK825" s="559"/>
      <c r="AL825" s="559"/>
      <c r="AM825" s="559"/>
      <c r="AN825" s="559"/>
    </row>
    <row r="826">
      <c r="A826" s="559"/>
      <c r="B826" s="559"/>
      <c r="C826" s="559"/>
      <c r="D826" s="559"/>
      <c r="E826" s="559"/>
      <c r="F826" s="559"/>
      <c r="G826" s="559"/>
      <c r="H826" s="559"/>
      <c r="I826" s="559"/>
      <c r="J826" s="559"/>
      <c r="K826" s="559"/>
      <c r="L826" s="559"/>
      <c r="M826" s="559"/>
      <c r="N826" s="559"/>
      <c r="O826" s="559"/>
      <c r="P826" s="559"/>
      <c r="Q826" s="559"/>
      <c r="R826" s="559"/>
      <c r="S826" s="559"/>
      <c r="T826" s="559"/>
      <c r="U826" s="559"/>
      <c r="V826" s="559"/>
      <c r="W826" s="559"/>
      <c r="X826" s="559"/>
      <c r="Y826" s="559"/>
      <c r="Z826" s="559"/>
      <c r="AA826" s="559"/>
      <c r="AB826" s="559"/>
      <c r="AC826" s="559"/>
      <c r="AD826" s="559"/>
      <c r="AE826" s="559"/>
      <c r="AF826" s="559"/>
      <c r="AG826" s="559"/>
      <c r="AH826" s="559"/>
      <c r="AI826" s="559"/>
      <c r="AJ826" s="559"/>
      <c r="AK826" s="559"/>
      <c r="AL826" s="559"/>
      <c r="AM826" s="559"/>
      <c r="AN826" s="559"/>
    </row>
    <row r="827">
      <c r="A827" s="559"/>
      <c r="B827" s="559"/>
      <c r="C827" s="559"/>
      <c r="D827" s="559"/>
      <c r="E827" s="559"/>
      <c r="F827" s="559"/>
      <c r="G827" s="559"/>
      <c r="H827" s="559"/>
      <c r="I827" s="559"/>
      <c r="J827" s="559"/>
      <c r="K827" s="559"/>
      <c r="L827" s="559"/>
      <c r="M827" s="559"/>
      <c r="N827" s="559"/>
      <c r="O827" s="559"/>
      <c r="P827" s="559"/>
      <c r="Q827" s="559"/>
      <c r="R827" s="559"/>
      <c r="S827" s="559"/>
      <c r="T827" s="559"/>
      <c r="U827" s="559"/>
      <c r="V827" s="559"/>
      <c r="W827" s="559"/>
      <c r="X827" s="559"/>
      <c r="Y827" s="559"/>
      <c r="Z827" s="559"/>
      <c r="AA827" s="559"/>
      <c r="AB827" s="559"/>
      <c r="AC827" s="559"/>
      <c r="AD827" s="559"/>
      <c r="AE827" s="559"/>
      <c r="AF827" s="559"/>
      <c r="AG827" s="559"/>
      <c r="AH827" s="559"/>
      <c r="AI827" s="559"/>
      <c r="AJ827" s="559"/>
      <c r="AK827" s="559"/>
      <c r="AL827" s="559"/>
      <c r="AM827" s="559"/>
      <c r="AN827" s="559"/>
    </row>
    <row r="828">
      <c r="A828" s="559"/>
      <c r="B828" s="559"/>
      <c r="C828" s="559"/>
      <c r="D828" s="559"/>
      <c r="E828" s="559"/>
      <c r="F828" s="559"/>
      <c r="G828" s="559"/>
      <c r="H828" s="559"/>
      <c r="I828" s="559"/>
      <c r="J828" s="559"/>
      <c r="K828" s="559"/>
      <c r="L828" s="559"/>
      <c r="M828" s="559"/>
      <c r="N828" s="559"/>
      <c r="O828" s="559"/>
      <c r="P828" s="559"/>
      <c r="Q828" s="559"/>
      <c r="R828" s="559"/>
      <c r="S828" s="559"/>
      <c r="T828" s="559"/>
      <c r="U828" s="559"/>
      <c r="V828" s="559"/>
      <c r="W828" s="559"/>
      <c r="X828" s="559"/>
      <c r="Y828" s="559"/>
      <c r="Z828" s="559"/>
      <c r="AA828" s="559"/>
      <c r="AB828" s="559"/>
      <c r="AC828" s="559"/>
      <c r="AD828" s="559"/>
      <c r="AE828" s="559"/>
      <c r="AF828" s="559"/>
      <c r="AG828" s="559"/>
      <c r="AH828" s="559"/>
      <c r="AI828" s="559"/>
      <c r="AJ828" s="559"/>
      <c r="AK828" s="559"/>
      <c r="AL828" s="559"/>
      <c r="AM828" s="559"/>
      <c r="AN828" s="559"/>
    </row>
    <row r="829">
      <c r="A829" s="559"/>
      <c r="B829" s="559"/>
      <c r="C829" s="559"/>
      <c r="D829" s="559"/>
      <c r="E829" s="559"/>
      <c r="F829" s="559"/>
      <c r="G829" s="559"/>
      <c r="H829" s="559"/>
      <c r="I829" s="559"/>
      <c r="J829" s="559"/>
      <c r="K829" s="559"/>
      <c r="L829" s="559"/>
      <c r="M829" s="559"/>
      <c r="N829" s="559"/>
      <c r="O829" s="559"/>
      <c r="P829" s="559"/>
      <c r="Q829" s="559"/>
      <c r="R829" s="559"/>
      <c r="S829" s="559"/>
      <c r="T829" s="559"/>
      <c r="U829" s="559"/>
      <c r="V829" s="559"/>
      <c r="W829" s="559"/>
      <c r="X829" s="559"/>
      <c r="Y829" s="559"/>
      <c r="Z829" s="559"/>
      <c r="AA829" s="559"/>
      <c r="AB829" s="559"/>
      <c r="AC829" s="559"/>
      <c r="AD829" s="559"/>
      <c r="AE829" s="559"/>
      <c r="AF829" s="559"/>
      <c r="AG829" s="559"/>
      <c r="AH829" s="559"/>
      <c r="AI829" s="559"/>
      <c r="AJ829" s="559"/>
      <c r="AK829" s="559"/>
      <c r="AL829" s="559"/>
      <c r="AM829" s="559"/>
      <c r="AN829" s="559"/>
    </row>
    <row r="830">
      <c r="A830" s="559"/>
      <c r="B830" s="559"/>
      <c r="C830" s="559"/>
      <c r="D830" s="559"/>
      <c r="E830" s="559"/>
      <c r="F830" s="559"/>
      <c r="G830" s="559"/>
      <c r="H830" s="559"/>
      <c r="I830" s="559"/>
      <c r="J830" s="559"/>
      <c r="K830" s="559"/>
      <c r="L830" s="559"/>
      <c r="M830" s="559"/>
      <c r="N830" s="559"/>
      <c r="O830" s="559"/>
      <c r="P830" s="559"/>
      <c r="Q830" s="559"/>
      <c r="R830" s="559"/>
      <c r="S830" s="559"/>
      <c r="T830" s="559"/>
      <c r="U830" s="559"/>
      <c r="V830" s="559"/>
      <c r="W830" s="559"/>
      <c r="X830" s="559"/>
      <c r="Y830" s="559"/>
      <c r="Z830" s="559"/>
      <c r="AA830" s="559"/>
      <c r="AB830" s="559"/>
      <c r="AC830" s="559"/>
      <c r="AD830" s="559"/>
      <c r="AE830" s="559"/>
      <c r="AF830" s="559"/>
      <c r="AG830" s="559"/>
      <c r="AH830" s="559"/>
      <c r="AI830" s="559"/>
      <c r="AJ830" s="559"/>
      <c r="AK830" s="559"/>
      <c r="AL830" s="559"/>
      <c r="AM830" s="559"/>
      <c r="AN830" s="559"/>
    </row>
    <row r="831">
      <c r="A831" s="559"/>
      <c r="B831" s="559"/>
      <c r="C831" s="559"/>
      <c r="D831" s="559"/>
      <c r="E831" s="559"/>
      <c r="F831" s="559"/>
      <c r="G831" s="559"/>
      <c r="H831" s="559"/>
      <c r="I831" s="559"/>
      <c r="J831" s="559"/>
      <c r="K831" s="559"/>
      <c r="L831" s="559"/>
      <c r="M831" s="559"/>
      <c r="N831" s="559"/>
      <c r="O831" s="559"/>
      <c r="P831" s="559"/>
      <c r="Q831" s="559"/>
      <c r="R831" s="559"/>
      <c r="S831" s="559"/>
      <c r="T831" s="559"/>
      <c r="U831" s="559"/>
      <c r="V831" s="559"/>
      <c r="W831" s="559"/>
      <c r="X831" s="559"/>
      <c r="Y831" s="559"/>
      <c r="Z831" s="559"/>
      <c r="AA831" s="559"/>
      <c r="AB831" s="559"/>
      <c r="AC831" s="559"/>
      <c r="AD831" s="559"/>
      <c r="AE831" s="559"/>
      <c r="AF831" s="559"/>
      <c r="AG831" s="559"/>
      <c r="AH831" s="559"/>
      <c r="AI831" s="559"/>
      <c r="AJ831" s="559"/>
      <c r="AK831" s="559"/>
      <c r="AL831" s="559"/>
      <c r="AM831" s="559"/>
      <c r="AN831" s="559"/>
    </row>
    <row r="832">
      <c r="A832" s="559"/>
      <c r="B832" s="559"/>
      <c r="C832" s="559"/>
      <c r="D832" s="559"/>
      <c r="E832" s="559"/>
      <c r="F832" s="559"/>
      <c r="G832" s="559"/>
      <c r="H832" s="559"/>
      <c r="I832" s="559"/>
      <c r="J832" s="559"/>
      <c r="K832" s="559"/>
      <c r="L832" s="559"/>
      <c r="M832" s="559"/>
      <c r="N832" s="559"/>
      <c r="O832" s="559"/>
      <c r="P832" s="559"/>
      <c r="Q832" s="559"/>
      <c r="R832" s="559"/>
      <c r="S832" s="559"/>
      <c r="T832" s="559"/>
      <c r="U832" s="559"/>
      <c r="V832" s="559"/>
      <c r="W832" s="559"/>
      <c r="X832" s="559"/>
      <c r="Y832" s="559"/>
      <c r="Z832" s="559"/>
      <c r="AA832" s="559"/>
      <c r="AB832" s="559"/>
      <c r="AC832" s="559"/>
      <c r="AD832" s="559"/>
      <c r="AE832" s="559"/>
      <c r="AF832" s="559"/>
      <c r="AG832" s="559"/>
      <c r="AH832" s="559"/>
      <c r="AI832" s="559"/>
      <c r="AJ832" s="559"/>
      <c r="AK832" s="559"/>
      <c r="AL832" s="559"/>
      <c r="AM832" s="559"/>
      <c r="AN832" s="559"/>
    </row>
    <row r="833">
      <c r="A833" s="559"/>
      <c r="B833" s="559"/>
      <c r="C833" s="559"/>
      <c r="D833" s="559"/>
      <c r="E833" s="559"/>
      <c r="F833" s="559"/>
      <c r="G833" s="559"/>
      <c r="H833" s="559"/>
      <c r="I833" s="559"/>
      <c r="J833" s="559"/>
      <c r="K833" s="559"/>
      <c r="L833" s="559"/>
      <c r="M833" s="559"/>
      <c r="N833" s="559"/>
      <c r="O833" s="559"/>
      <c r="P833" s="559"/>
      <c r="Q833" s="559"/>
      <c r="R833" s="559"/>
      <c r="S833" s="559"/>
      <c r="T833" s="559"/>
      <c r="U833" s="559"/>
      <c r="V833" s="559"/>
      <c r="W833" s="559"/>
      <c r="X833" s="559"/>
      <c r="Y833" s="559"/>
      <c r="Z833" s="559"/>
      <c r="AA833" s="559"/>
      <c r="AB833" s="559"/>
      <c r="AC833" s="559"/>
      <c r="AD833" s="559"/>
      <c r="AE833" s="559"/>
      <c r="AF833" s="559"/>
      <c r="AG833" s="559"/>
      <c r="AH833" s="559"/>
      <c r="AI833" s="559"/>
      <c r="AJ833" s="559"/>
      <c r="AK833" s="559"/>
      <c r="AL833" s="559"/>
      <c r="AM833" s="559"/>
      <c r="AN833" s="559"/>
    </row>
    <row r="834">
      <c r="A834" s="559"/>
      <c r="B834" s="559"/>
      <c r="C834" s="559"/>
      <c r="D834" s="559"/>
      <c r="E834" s="559"/>
      <c r="F834" s="559"/>
      <c r="G834" s="559"/>
      <c r="H834" s="559"/>
      <c r="I834" s="559"/>
      <c r="J834" s="559"/>
      <c r="K834" s="559"/>
      <c r="L834" s="559"/>
      <c r="M834" s="559"/>
      <c r="N834" s="559"/>
      <c r="O834" s="559"/>
      <c r="P834" s="559"/>
      <c r="Q834" s="559"/>
      <c r="R834" s="559"/>
      <c r="S834" s="559"/>
      <c r="T834" s="559"/>
      <c r="U834" s="559"/>
      <c r="V834" s="559"/>
      <c r="W834" s="559"/>
      <c r="X834" s="559"/>
      <c r="Y834" s="559"/>
      <c r="Z834" s="559"/>
      <c r="AA834" s="559"/>
      <c r="AB834" s="559"/>
      <c r="AC834" s="559"/>
      <c r="AD834" s="559"/>
      <c r="AE834" s="559"/>
      <c r="AF834" s="559"/>
      <c r="AG834" s="559"/>
      <c r="AH834" s="559"/>
      <c r="AI834" s="559"/>
      <c r="AJ834" s="559"/>
      <c r="AK834" s="559"/>
      <c r="AL834" s="559"/>
      <c r="AM834" s="559"/>
      <c r="AN834" s="559"/>
    </row>
    <row r="835">
      <c r="A835" s="559"/>
      <c r="B835" s="559"/>
      <c r="C835" s="559"/>
      <c r="D835" s="559"/>
      <c r="E835" s="559"/>
      <c r="F835" s="559"/>
      <c r="G835" s="559"/>
      <c r="H835" s="559"/>
      <c r="I835" s="559"/>
      <c r="J835" s="559"/>
      <c r="K835" s="559"/>
      <c r="L835" s="559"/>
      <c r="M835" s="559"/>
      <c r="N835" s="559"/>
      <c r="O835" s="559"/>
      <c r="P835" s="559"/>
      <c r="Q835" s="559"/>
      <c r="R835" s="559"/>
      <c r="S835" s="559"/>
      <c r="T835" s="559"/>
      <c r="U835" s="559"/>
      <c r="V835" s="559"/>
      <c r="W835" s="559"/>
      <c r="X835" s="559"/>
      <c r="Y835" s="559"/>
      <c r="Z835" s="559"/>
      <c r="AA835" s="559"/>
      <c r="AB835" s="559"/>
      <c r="AC835" s="559"/>
      <c r="AD835" s="559"/>
      <c r="AE835" s="559"/>
      <c r="AF835" s="559"/>
      <c r="AG835" s="559"/>
      <c r="AH835" s="559"/>
      <c r="AI835" s="559"/>
      <c r="AJ835" s="559"/>
      <c r="AK835" s="559"/>
      <c r="AL835" s="559"/>
      <c r="AM835" s="559"/>
      <c r="AN835" s="559"/>
    </row>
    <row r="836">
      <c r="A836" s="559"/>
      <c r="B836" s="559"/>
      <c r="C836" s="559"/>
      <c r="D836" s="559"/>
      <c r="E836" s="559"/>
      <c r="F836" s="559"/>
      <c r="G836" s="559"/>
      <c r="H836" s="559"/>
      <c r="I836" s="559"/>
      <c r="J836" s="559"/>
      <c r="K836" s="559"/>
      <c r="L836" s="559"/>
      <c r="M836" s="559"/>
      <c r="N836" s="559"/>
      <c r="O836" s="559"/>
      <c r="P836" s="559"/>
      <c r="Q836" s="559"/>
      <c r="R836" s="559"/>
      <c r="S836" s="559"/>
      <c r="T836" s="559"/>
      <c r="U836" s="559"/>
      <c r="V836" s="559"/>
      <c r="W836" s="559"/>
      <c r="X836" s="559"/>
      <c r="Y836" s="559"/>
      <c r="Z836" s="559"/>
      <c r="AA836" s="559"/>
      <c r="AB836" s="559"/>
      <c r="AC836" s="559"/>
      <c r="AD836" s="559"/>
      <c r="AE836" s="559"/>
      <c r="AF836" s="559"/>
      <c r="AG836" s="559"/>
      <c r="AH836" s="559"/>
      <c r="AI836" s="559"/>
      <c r="AJ836" s="559"/>
      <c r="AK836" s="559"/>
      <c r="AL836" s="559"/>
      <c r="AM836" s="559"/>
      <c r="AN836" s="559"/>
    </row>
    <row r="837">
      <c r="A837" s="559"/>
      <c r="B837" s="559"/>
      <c r="C837" s="559"/>
      <c r="D837" s="559"/>
      <c r="E837" s="559"/>
      <c r="F837" s="559"/>
      <c r="G837" s="559"/>
      <c r="H837" s="559"/>
      <c r="I837" s="559"/>
      <c r="J837" s="559"/>
      <c r="K837" s="559"/>
      <c r="L837" s="559"/>
      <c r="M837" s="559"/>
      <c r="N837" s="559"/>
      <c r="O837" s="559"/>
      <c r="P837" s="559"/>
      <c r="Q837" s="559"/>
      <c r="R837" s="559"/>
      <c r="S837" s="559"/>
      <c r="T837" s="559"/>
      <c r="U837" s="559"/>
      <c r="V837" s="559"/>
      <c r="W837" s="559"/>
      <c r="X837" s="559"/>
      <c r="Y837" s="559"/>
      <c r="Z837" s="559"/>
      <c r="AA837" s="559"/>
      <c r="AB837" s="559"/>
      <c r="AC837" s="559"/>
      <c r="AD837" s="559"/>
      <c r="AE837" s="559"/>
      <c r="AF837" s="559"/>
      <c r="AG837" s="559"/>
      <c r="AH837" s="559"/>
      <c r="AI837" s="559"/>
      <c r="AJ837" s="559"/>
      <c r="AK837" s="559"/>
      <c r="AL837" s="559"/>
      <c r="AM837" s="559"/>
      <c r="AN837" s="559"/>
    </row>
    <row r="838">
      <c r="A838" s="559"/>
      <c r="B838" s="559"/>
      <c r="C838" s="559"/>
      <c r="D838" s="559"/>
      <c r="E838" s="559"/>
      <c r="F838" s="559"/>
      <c r="G838" s="559"/>
      <c r="H838" s="559"/>
      <c r="I838" s="559"/>
      <c r="J838" s="559"/>
      <c r="K838" s="559"/>
      <c r="L838" s="559"/>
      <c r="M838" s="559"/>
      <c r="N838" s="559"/>
      <c r="O838" s="559"/>
      <c r="P838" s="559"/>
      <c r="Q838" s="559"/>
      <c r="R838" s="559"/>
      <c r="S838" s="559"/>
      <c r="T838" s="559"/>
      <c r="U838" s="559"/>
      <c r="V838" s="559"/>
      <c r="W838" s="559"/>
      <c r="X838" s="559"/>
      <c r="Y838" s="559"/>
      <c r="Z838" s="559"/>
      <c r="AA838" s="559"/>
      <c r="AB838" s="559"/>
      <c r="AC838" s="559"/>
      <c r="AD838" s="559"/>
      <c r="AE838" s="559"/>
      <c r="AF838" s="559"/>
      <c r="AG838" s="559"/>
      <c r="AH838" s="559"/>
      <c r="AI838" s="559"/>
      <c r="AJ838" s="559"/>
      <c r="AK838" s="559"/>
      <c r="AL838" s="559"/>
      <c r="AM838" s="559"/>
      <c r="AN838" s="559"/>
    </row>
    <row r="839">
      <c r="A839" s="559"/>
      <c r="B839" s="559"/>
      <c r="C839" s="559"/>
      <c r="D839" s="559"/>
      <c r="E839" s="559"/>
      <c r="F839" s="559"/>
      <c r="G839" s="559"/>
      <c r="H839" s="559"/>
      <c r="I839" s="559"/>
      <c r="J839" s="559"/>
      <c r="K839" s="559"/>
      <c r="L839" s="559"/>
      <c r="M839" s="559"/>
      <c r="N839" s="559"/>
      <c r="O839" s="559"/>
      <c r="P839" s="559"/>
      <c r="Q839" s="559"/>
      <c r="R839" s="559"/>
      <c r="S839" s="559"/>
      <c r="T839" s="559"/>
      <c r="U839" s="559"/>
      <c r="V839" s="559"/>
      <c r="W839" s="559"/>
      <c r="X839" s="559"/>
      <c r="Y839" s="559"/>
      <c r="Z839" s="559"/>
      <c r="AA839" s="559"/>
      <c r="AB839" s="559"/>
      <c r="AC839" s="559"/>
      <c r="AD839" s="559"/>
      <c r="AE839" s="559"/>
      <c r="AF839" s="559"/>
      <c r="AG839" s="559"/>
      <c r="AH839" s="559"/>
      <c r="AI839" s="559"/>
      <c r="AJ839" s="559"/>
      <c r="AK839" s="559"/>
      <c r="AL839" s="559"/>
      <c r="AM839" s="559"/>
      <c r="AN839" s="559"/>
    </row>
    <row r="840">
      <c r="A840" s="559"/>
      <c r="B840" s="559"/>
      <c r="C840" s="559"/>
      <c r="D840" s="559"/>
      <c r="E840" s="559"/>
      <c r="F840" s="559"/>
      <c r="G840" s="559"/>
      <c r="H840" s="559"/>
      <c r="I840" s="559"/>
      <c r="J840" s="559"/>
      <c r="K840" s="559"/>
      <c r="L840" s="559"/>
      <c r="M840" s="559"/>
      <c r="N840" s="559"/>
      <c r="O840" s="559"/>
      <c r="P840" s="559"/>
      <c r="Q840" s="559"/>
      <c r="R840" s="559"/>
      <c r="S840" s="559"/>
      <c r="T840" s="559"/>
      <c r="U840" s="559"/>
      <c r="V840" s="559"/>
      <c r="W840" s="559"/>
      <c r="X840" s="559"/>
      <c r="Y840" s="559"/>
      <c r="Z840" s="559"/>
      <c r="AA840" s="559"/>
      <c r="AB840" s="559"/>
      <c r="AC840" s="559"/>
      <c r="AD840" s="559"/>
      <c r="AE840" s="559"/>
      <c r="AF840" s="559"/>
      <c r="AG840" s="559"/>
      <c r="AH840" s="559"/>
      <c r="AI840" s="559"/>
      <c r="AJ840" s="559"/>
      <c r="AK840" s="559"/>
      <c r="AL840" s="559"/>
      <c r="AM840" s="559"/>
      <c r="AN840" s="559"/>
    </row>
    <row r="841">
      <c r="A841" s="559"/>
      <c r="B841" s="559"/>
      <c r="C841" s="559"/>
      <c r="D841" s="559"/>
      <c r="E841" s="559"/>
      <c r="F841" s="559"/>
      <c r="G841" s="559"/>
      <c r="H841" s="559"/>
      <c r="I841" s="559"/>
      <c r="J841" s="559"/>
      <c r="K841" s="559"/>
      <c r="L841" s="559"/>
      <c r="M841" s="559"/>
      <c r="N841" s="559"/>
      <c r="O841" s="559"/>
      <c r="P841" s="559"/>
      <c r="Q841" s="559"/>
      <c r="R841" s="559"/>
      <c r="S841" s="559"/>
      <c r="T841" s="559"/>
      <c r="U841" s="559"/>
      <c r="V841" s="559"/>
      <c r="W841" s="559"/>
      <c r="X841" s="559"/>
      <c r="Y841" s="559"/>
      <c r="Z841" s="559"/>
      <c r="AA841" s="559"/>
      <c r="AB841" s="559"/>
      <c r="AC841" s="559"/>
      <c r="AD841" s="559"/>
      <c r="AE841" s="559"/>
      <c r="AF841" s="559"/>
      <c r="AG841" s="559"/>
      <c r="AH841" s="559"/>
      <c r="AI841" s="559"/>
      <c r="AJ841" s="559"/>
      <c r="AK841" s="559"/>
      <c r="AL841" s="559"/>
      <c r="AM841" s="559"/>
      <c r="AN841" s="559"/>
    </row>
    <row r="842">
      <c r="A842" s="559"/>
      <c r="B842" s="559"/>
      <c r="C842" s="559"/>
      <c r="D842" s="559"/>
      <c r="E842" s="559"/>
      <c r="F842" s="559"/>
      <c r="G842" s="559"/>
      <c r="H842" s="559"/>
      <c r="I842" s="559"/>
      <c r="J842" s="559"/>
      <c r="K842" s="559"/>
      <c r="L842" s="559"/>
      <c r="M842" s="559"/>
      <c r="N842" s="559"/>
      <c r="O842" s="559"/>
      <c r="P842" s="559"/>
      <c r="Q842" s="559"/>
      <c r="R842" s="559"/>
      <c r="S842" s="559"/>
      <c r="T842" s="559"/>
      <c r="U842" s="559"/>
      <c r="V842" s="559"/>
      <c r="W842" s="559"/>
      <c r="X842" s="559"/>
      <c r="Y842" s="559"/>
      <c r="Z842" s="559"/>
      <c r="AA842" s="559"/>
      <c r="AB842" s="559"/>
      <c r="AC842" s="559"/>
      <c r="AD842" s="559"/>
      <c r="AE842" s="559"/>
      <c r="AF842" s="559"/>
      <c r="AG842" s="559"/>
      <c r="AH842" s="559"/>
      <c r="AI842" s="559"/>
      <c r="AJ842" s="559"/>
      <c r="AK842" s="559"/>
      <c r="AL842" s="559"/>
      <c r="AM842" s="559"/>
      <c r="AN842" s="559"/>
    </row>
    <row r="843">
      <c r="A843" s="559"/>
      <c r="B843" s="559"/>
      <c r="C843" s="559"/>
      <c r="D843" s="559"/>
      <c r="E843" s="559"/>
      <c r="F843" s="559"/>
      <c r="G843" s="559"/>
      <c r="H843" s="559"/>
      <c r="I843" s="559"/>
      <c r="J843" s="559"/>
      <c r="K843" s="559"/>
      <c r="L843" s="559"/>
      <c r="M843" s="559"/>
      <c r="N843" s="559"/>
      <c r="O843" s="559"/>
      <c r="P843" s="559"/>
      <c r="Q843" s="559"/>
      <c r="R843" s="559"/>
      <c r="S843" s="559"/>
      <c r="T843" s="559"/>
      <c r="U843" s="559"/>
      <c r="V843" s="559"/>
      <c r="W843" s="559"/>
      <c r="X843" s="559"/>
      <c r="Y843" s="559"/>
      <c r="Z843" s="559"/>
      <c r="AA843" s="559"/>
      <c r="AB843" s="559"/>
      <c r="AC843" s="559"/>
      <c r="AD843" s="559"/>
      <c r="AE843" s="559"/>
      <c r="AF843" s="559"/>
      <c r="AG843" s="559"/>
      <c r="AH843" s="559"/>
      <c r="AI843" s="559"/>
      <c r="AJ843" s="559"/>
      <c r="AK843" s="559"/>
      <c r="AL843" s="559"/>
      <c r="AM843" s="559"/>
      <c r="AN843" s="559"/>
    </row>
    <row r="844">
      <c r="A844" s="559"/>
      <c r="B844" s="559"/>
      <c r="C844" s="559"/>
      <c r="D844" s="559"/>
      <c r="E844" s="559"/>
      <c r="F844" s="559"/>
      <c r="G844" s="559"/>
      <c r="H844" s="559"/>
      <c r="I844" s="559"/>
      <c r="J844" s="559"/>
      <c r="K844" s="559"/>
      <c r="L844" s="559"/>
      <c r="M844" s="559"/>
      <c r="N844" s="559"/>
      <c r="O844" s="559"/>
      <c r="P844" s="559"/>
      <c r="Q844" s="559"/>
      <c r="R844" s="559"/>
      <c r="S844" s="559"/>
      <c r="T844" s="559"/>
      <c r="U844" s="559"/>
      <c r="V844" s="559"/>
      <c r="W844" s="559"/>
      <c r="X844" s="559"/>
      <c r="Y844" s="559"/>
      <c r="Z844" s="559"/>
      <c r="AA844" s="559"/>
      <c r="AB844" s="559"/>
      <c r="AC844" s="559"/>
      <c r="AD844" s="559"/>
      <c r="AE844" s="559"/>
      <c r="AF844" s="559"/>
      <c r="AG844" s="559"/>
      <c r="AH844" s="559"/>
      <c r="AI844" s="559"/>
      <c r="AJ844" s="559"/>
      <c r="AK844" s="559"/>
      <c r="AL844" s="559"/>
      <c r="AM844" s="559"/>
      <c r="AN844" s="559"/>
    </row>
    <row r="845">
      <c r="A845" s="559"/>
      <c r="B845" s="559"/>
      <c r="C845" s="559"/>
      <c r="D845" s="559"/>
      <c r="E845" s="559"/>
      <c r="F845" s="559"/>
      <c r="G845" s="559"/>
      <c r="H845" s="559"/>
      <c r="I845" s="559"/>
      <c r="J845" s="559"/>
      <c r="K845" s="559"/>
      <c r="L845" s="559"/>
      <c r="M845" s="559"/>
      <c r="N845" s="559"/>
      <c r="O845" s="559"/>
      <c r="P845" s="559"/>
      <c r="Q845" s="559"/>
      <c r="R845" s="559"/>
      <c r="S845" s="559"/>
      <c r="T845" s="559"/>
      <c r="U845" s="559"/>
      <c r="V845" s="559"/>
      <c r="W845" s="559"/>
      <c r="X845" s="559"/>
      <c r="Y845" s="559"/>
      <c r="Z845" s="559"/>
      <c r="AA845" s="559"/>
      <c r="AB845" s="559"/>
      <c r="AC845" s="559"/>
      <c r="AD845" s="559"/>
      <c r="AE845" s="559"/>
      <c r="AF845" s="559"/>
      <c r="AG845" s="559"/>
      <c r="AH845" s="559"/>
      <c r="AI845" s="559"/>
      <c r="AJ845" s="559"/>
      <c r="AK845" s="559"/>
      <c r="AL845" s="559"/>
      <c r="AM845" s="559"/>
      <c r="AN845" s="559"/>
    </row>
    <row r="846">
      <c r="A846" s="559"/>
      <c r="B846" s="559"/>
      <c r="C846" s="559"/>
      <c r="D846" s="559"/>
      <c r="E846" s="559"/>
      <c r="F846" s="559"/>
      <c r="G846" s="559"/>
      <c r="H846" s="559"/>
      <c r="I846" s="559"/>
      <c r="J846" s="559"/>
      <c r="K846" s="559"/>
      <c r="L846" s="559"/>
      <c r="M846" s="559"/>
      <c r="N846" s="559"/>
      <c r="O846" s="559"/>
      <c r="P846" s="559"/>
      <c r="Q846" s="559"/>
      <c r="R846" s="559"/>
      <c r="S846" s="559"/>
      <c r="T846" s="559"/>
      <c r="U846" s="559"/>
      <c r="V846" s="559"/>
      <c r="W846" s="559"/>
      <c r="X846" s="559"/>
      <c r="Y846" s="559"/>
      <c r="Z846" s="559"/>
      <c r="AA846" s="559"/>
      <c r="AB846" s="559"/>
      <c r="AC846" s="559"/>
      <c r="AD846" s="559"/>
      <c r="AE846" s="559"/>
      <c r="AF846" s="559"/>
      <c r="AG846" s="559"/>
      <c r="AH846" s="559"/>
      <c r="AI846" s="559"/>
      <c r="AJ846" s="559"/>
      <c r="AK846" s="559"/>
      <c r="AL846" s="559"/>
      <c r="AM846" s="559"/>
      <c r="AN846" s="559"/>
    </row>
    <row r="847">
      <c r="A847" s="559"/>
      <c r="B847" s="559"/>
      <c r="C847" s="559"/>
      <c r="D847" s="559"/>
      <c r="E847" s="559"/>
      <c r="F847" s="559"/>
      <c r="G847" s="559"/>
      <c r="H847" s="559"/>
      <c r="I847" s="559"/>
      <c r="J847" s="559"/>
      <c r="K847" s="559"/>
      <c r="L847" s="559"/>
      <c r="M847" s="559"/>
      <c r="N847" s="559"/>
      <c r="O847" s="559"/>
      <c r="P847" s="559"/>
      <c r="Q847" s="559"/>
      <c r="R847" s="559"/>
      <c r="S847" s="559"/>
      <c r="T847" s="559"/>
      <c r="U847" s="559"/>
      <c r="V847" s="559"/>
      <c r="W847" s="559"/>
      <c r="X847" s="559"/>
      <c r="Y847" s="559"/>
      <c r="Z847" s="559"/>
      <c r="AA847" s="559"/>
      <c r="AB847" s="559"/>
      <c r="AC847" s="559"/>
      <c r="AD847" s="559"/>
      <c r="AE847" s="559"/>
      <c r="AF847" s="559"/>
      <c r="AG847" s="559"/>
      <c r="AH847" s="559"/>
      <c r="AI847" s="559"/>
      <c r="AJ847" s="559"/>
      <c r="AK847" s="559"/>
      <c r="AL847" s="559"/>
      <c r="AM847" s="559"/>
      <c r="AN847" s="559"/>
    </row>
    <row r="848">
      <c r="A848" s="559"/>
      <c r="B848" s="559"/>
      <c r="C848" s="559"/>
      <c r="D848" s="559"/>
      <c r="E848" s="559"/>
      <c r="F848" s="559"/>
      <c r="G848" s="559"/>
      <c r="H848" s="559"/>
      <c r="I848" s="559"/>
      <c r="J848" s="559"/>
      <c r="K848" s="559"/>
      <c r="L848" s="559"/>
      <c r="M848" s="559"/>
      <c r="N848" s="559"/>
      <c r="O848" s="559"/>
      <c r="P848" s="559"/>
      <c r="Q848" s="559"/>
      <c r="R848" s="559"/>
      <c r="S848" s="559"/>
      <c r="T848" s="559"/>
      <c r="U848" s="559"/>
      <c r="V848" s="559"/>
      <c r="W848" s="559"/>
      <c r="X848" s="559"/>
      <c r="Y848" s="559"/>
      <c r="Z848" s="559"/>
      <c r="AA848" s="559"/>
      <c r="AB848" s="559"/>
      <c r="AC848" s="559"/>
      <c r="AD848" s="559"/>
      <c r="AE848" s="559"/>
      <c r="AF848" s="559"/>
      <c r="AG848" s="559"/>
      <c r="AH848" s="559"/>
      <c r="AI848" s="559"/>
      <c r="AJ848" s="559"/>
      <c r="AK848" s="559"/>
      <c r="AL848" s="559"/>
      <c r="AM848" s="559"/>
      <c r="AN848" s="559"/>
    </row>
    <row r="849">
      <c r="A849" s="559"/>
      <c r="B849" s="559"/>
      <c r="C849" s="559"/>
      <c r="D849" s="559"/>
      <c r="E849" s="559"/>
      <c r="F849" s="559"/>
      <c r="G849" s="559"/>
      <c r="H849" s="559"/>
      <c r="I849" s="559"/>
      <c r="J849" s="559"/>
      <c r="K849" s="559"/>
      <c r="L849" s="559"/>
      <c r="M849" s="559"/>
      <c r="N849" s="559"/>
      <c r="O849" s="559"/>
      <c r="P849" s="559"/>
      <c r="Q849" s="559"/>
      <c r="R849" s="559"/>
      <c r="S849" s="559"/>
      <c r="T849" s="559"/>
      <c r="U849" s="559"/>
      <c r="V849" s="559"/>
      <c r="W849" s="559"/>
      <c r="X849" s="559"/>
      <c r="Y849" s="559"/>
      <c r="Z849" s="559"/>
      <c r="AA849" s="559"/>
      <c r="AB849" s="559"/>
      <c r="AC849" s="559"/>
      <c r="AD849" s="559"/>
      <c r="AE849" s="559"/>
      <c r="AF849" s="559"/>
      <c r="AG849" s="559"/>
      <c r="AH849" s="559"/>
      <c r="AI849" s="559"/>
      <c r="AJ849" s="559"/>
      <c r="AK849" s="559"/>
      <c r="AL849" s="559"/>
      <c r="AM849" s="559"/>
      <c r="AN849" s="559"/>
    </row>
    <row r="850">
      <c r="A850" s="559"/>
      <c r="B850" s="559"/>
      <c r="C850" s="559"/>
      <c r="D850" s="559"/>
      <c r="E850" s="559"/>
      <c r="F850" s="559"/>
      <c r="G850" s="559"/>
      <c r="H850" s="559"/>
      <c r="I850" s="559"/>
      <c r="J850" s="559"/>
      <c r="K850" s="559"/>
      <c r="L850" s="559"/>
      <c r="M850" s="559"/>
      <c r="N850" s="559"/>
      <c r="O850" s="559"/>
      <c r="P850" s="559"/>
      <c r="Q850" s="559"/>
      <c r="R850" s="559"/>
      <c r="S850" s="559"/>
      <c r="T850" s="559"/>
      <c r="U850" s="559"/>
      <c r="V850" s="559"/>
      <c r="W850" s="559"/>
      <c r="X850" s="559"/>
      <c r="Y850" s="559"/>
      <c r="Z850" s="559"/>
      <c r="AA850" s="559"/>
      <c r="AB850" s="559"/>
      <c r="AC850" s="559"/>
      <c r="AD850" s="559"/>
      <c r="AE850" s="559"/>
      <c r="AF850" s="559"/>
      <c r="AG850" s="559"/>
      <c r="AH850" s="559"/>
      <c r="AI850" s="559"/>
      <c r="AJ850" s="559"/>
      <c r="AK850" s="559"/>
      <c r="AL850" s="559"/>
      <c r="AM850" s="559"/>
      <c r="AN850" s="559"/>
    </row>
    <row r="851">
      <c r="A851" s="559"/>
      <c r="B851" s="559"/>
      <c r="C851" s="559"/>
      <c r="D851" s="559"/>
      <c r="E851" s="559"/>
      <c r="F851" s="559"/>
      <c r="G851" s="559"/>
      <c r="H851" s="559"/>
      <c r="I851" s="559"/>
      <c r="J851" s="559"/>
      <c r="K851" s="559"/>
      <c r="L851" s="559"/>
      <c r="M851" s="559"/>
      <c r="N851" s="559"/>
      <c r="O851" s="559"/>
      <c r="P851" s="559"/>
      <c r="Q851" s="559"/>
      <c r="R851" s="559"/>
      <c r="S851" s="559"/>
      <c r="T851" s="559"/>
      <c r="U851" s="559"/>
      <c r="V851" s="559"/>
      <c r="W851" s="559"/>
      <c r="X851" s="559"/>
      <c r="Y851" s="559"/>
      <c r="Z851" s="559"/>
      <c r="AA851" s="559"/>
      <c r="AB851" s="559"/>
      <c r="AC851" s="559"/>
      <c r="AD851" s="559"/>
      <c r="AE851" s="559"/>
      <c r="AF851" s="559"/>
      <c r="AG851" s="559"/>
      <c r="AH851" s="559"/>
      <c r="AI851" s="559"/>
      <c r="AJ851" s="559"/>
      <c r="AK851" s="559"/>
      <c r="AL851" s="559"/>
      <c r="AM851" s="559"/>
      <c r="AN851" s="559"/>
    </row>
    <row r="852">
      <c r="A852" s="559"/>
      <c r="B852" s="559"/>
      <c r="C852" s="559"/>
      <c r="D852" s="559"/>
      <c r="E852" s="559"/>
      <c r="F852" s="559"/>
      <c r="G852" s="559"/>
      <c r="H852" s="559"/>
      <c r="I852" s="559"/>
      <c r="J852" s="559"/>
      <c r="K852" s="559"/>
      <c r="L852" s="559"/>
      <c r="M852" s="559"/>
      <c r="N852" s="559"/>
      <c r="O852" s="559"/>
      <c r="P852" s="559"/>
      <c r="Q852" s="559"/>
      <c r="R852" s="559"/>
      <c r="S852" s="559"/>
      <c r="T852" s="559"/>
      <c r="U852" s="559"/>
      <c r="V852" s="559"/>
      <c r="W852" s="559"/>
      <c r="X852" s="559"/>
      <c r="Y852" s="559"/>
      <c r="Z852" s="559"/>
      <c r="AA852" s="559"/>
      <c r="AB852" s="559"/>
      <c r="AC852" s="559"/>
      <c r="AD852" s="559"/>
      <c r="AE852" s="559"/>
      <c r="AF852" s="559"/>
      <c r="AG852" s="559"/>
      <c r="AH852" s="559"/>
      <c r="AI852" s="559"/>
      <c r="AJ852" s="559"/>
      <c r="AK852" s="559"/>
      <c r="AL852" s="559"/>
      <c r="AM852" s="559"/>
      <c r="AN852" s="559"/>
    </row>
    <row r="853">
      <c r="A853" s="559"/>
      <c r="B853" s="559"/>
      <c r="C853" s="559"/>
      <c r="D853" s="559"/>
      <c r="E853" s="559"/>
      <c r="F853" s="559"/>
      <c r="G853" s="559"/>
      <c r="H853" s="559"/>
      <c r="I853" s="559"/>
      <c r="J853" s="559"/>
      <c r="K853" s="559"/>
      <c r="L853" s="559"/>
      <c r="M853" s="559"/>
      <c r="N853" s="559"/>
      <c r="O853" s="559"/>
      <c r="P853" s="559"/>
      <c r="Q853" s="559"/>
      <c r="R853" s="559"/>
      <c r="S853" s="559"/>
      <c r="T853" s="559"/>
      <c r="U853" s="559"/>
      <c r="V853" s="559"/>
      <c r="W853" s="559"/>
      <c r="X853" s="559"/>
      <c r="Y853" s="559"/>
      <c r="Z853" s="559"/>
      <c r="AA853" s="559"/>
      <c r="AB853" s="559"/>
      <c r="AC853" s="559"/>
      <c r="AD853" s="559"/>
      <c r="AE853" s="559"/>
      <c r="AF853" s="559"/>
      <c r="AG853" s="559"/>
      <c r="AH853" s="559"/>
      <c r="AI853" s="559"/>
      <c r="AJ853" s="559"/>
      <c r="AK853" s="559"/>
      <c r="AL853" s="559"/>
      <c r="AM853" s="559"/>
      <c r="AN853" s="559"/>
    </row>
    <row r="854">
      <c r="A854" s="559"/>
      <c r="B854" s="559"/>
      <c r="C854" s="559"/>
      <c r="D854" s="559"/>
      <c r="E854" s="559"/>
      <c r="F854" s="559"/>
      <c r="G854" s="559"/>
      <c r="H854" s="559"/>
      <c r="I854" s="559"/>
      <c r="J854" s="559"/>
      <c r="K854" s="559"/>
      <c r="L854" s="559"/>
      <c r="M854" s="559"/>
      <c r="N854" s="559"/>
      <c r="O854" s="559"/>
      <c r="P854" s="559"/>
      <c r="Q854" s="559"/>
      <c r="R854" s="559"/>
      <c r="S854" s="559"/>
      <c r="T854" s="559"/>
      <c r="U854" s="559"/>
      <c r="V854" s="559"/>
      <c r="W854" s="559"/>
      <c r="X854" s="559"/>
      <c r="Y854" s="559"/>
      <c r="Z854" s="559"/>
      <c r="AA854" s="559"/>
      <c r="AB854" s="559"/>
      <c r="AC854" s="559"/>
      <c r="AD854" s="559"/>
      <c r="AE854" s="559"/>
      <c r="AF854" s="559"/>
      <c r="AG854" s="559"/>
      <c r="AH854" s="559"/>
      <c r="AI854" s="559"/>
      <c r="AJ854" s="559"/>
      <c r="AK854" s="559"/>
      <c r="AL854" s="559"/>
      <c r="AM854" s="559"/>
      <c r="AN854" s="559"/>
    </row>
    <row r="855">
      <c r="A855" s="559"/>
      <c r="B855" s="559"/>
      <c r="C855" s="559"/>
      <c r="D855" s="559"/>
      <c r="E855" s="559"/>
      <c r="F855" s="559"/>
      <c r="G855" s="559"/>
      <c r="H855" s="559"/>
      <c r="I855" s="559"/>
      <c r="J855" s="559"/>
      <c r="K855" s="559"/>
      <c r="L855" s="559"/>
      <c r="M855" s="559"/>
      <c r="N855" s="559"/>
      <c r="O855" s="559"/>
      <c r="P855" s="559"/>
      <c r="Q855" s="559"/>
      <c r="R855" s="559"/>
      <c r="S855" s="559"/>
      <c r="T855" s="559"/>
      <c r="U855" s="559"/>
      <c r="V855" s="559"/>
      <c r="W855" s="559"/>
      <c r="X855" s="559"/>
      <c r="Y855" s="559"/>
      <c r="Z855" s="559"/>
      <c r="AA855" s="559"/>
      <c r="AB855" s="559"/>
      <c r="AC855" s="559"/>
      <c r="AD855" s="559"/>
      <c r="AE855" s="559"/>
      <c r="AF855" s="559"/>
      <c r="AG855" s="559"/>
      <c r="AH855" s="559"/>
      <c r="AI855" s="559"/>
      <c r="AJ855" s="559"/>
      <c r="AK855" s="559"/>
      <c r="AL855" s="559"/>
      <c r="AM855" s="559"/>
      <c r="AN855" s="559"/>
    </row>
    <row r="856">
      <c r="A856" s="559"/>
      <c r="B856" s="559"/>
      <c r="C856" s="559"/>
      <c r="D856" s="559"/>
      <c r="E856" s="559"/>
      <c r="F856" s="559"/>
      <c r="G856" s="559"/>
      <c r="H856" s="559"/>
      <c r="I856" s="559"/>
      <c r="J856" s="559"/>
      <c r="K856" s="559"/>
      <c r="L856" s="559"/>
      <c r="M856" s="559"/>
      <c r="N856" s="559"/>
      <c r="O856" s="559"/>
      <c r="P856" s="559"/>
      <c r="Q856" s="559"/>
      <c r="R856" s="559"/>
      <c r="S856" s="559"/>
      <c r="T856" s="559"/>
      <c r="U856" s="559"/>
      <c r="V856" s="559"/>
      <c r="W856" s="559"/>
      <c r="X856" s="559"/>
      <c r="Y856" s="559"/>
      <c r="Z856" s="559"/>
      <c r="AA856" s="559"/>
      <c r="AB856" s="559"/>
      <c r="AC856" s="559"/>
      <c r="AD856" s="559"/>
      <c r="AE856" s="559"/>
      <c r="AF856" s="559"/>
      <c r="AG856" s="559"/>
      <c r="AH856" s="559"/>
      <c r="AI856" s="559"/>
      <c r="AJ856" s="559"/>
      <c r="AK856" s="559"/>
      <c r="AL856" s="559"/>
      <c r="AM856" s="559"/>
      <c r="AN856" s="559"/>
    </row>
    <row r="857">
      <c r="A857" s="559"/>
      <c r="B857" s="559"/>
      <c r="C857" s="559"/>
      <c r="D857" s="559"/>
      <c r="E857" s="559"/>
      <c r="F857" s="559"/>
      <c r="G857" s="559"/>
      <c r="H857" s="559"/>
      <c r="I857" s="559"/>
      <c r="J857" s="559"/>
      <c r="K857" s="559"/>
      <c r="L857" s="559"/>
      <c r="M857" s="559"/>
      <c r="N857" s="559"/>
      <c r="O857" s="559"/>
      <c r="P857" s="559"/>
      <c r="Q857" s="559"/>
      <c r="R857" s="559"/>
      <c r="S857" s="559"/>
      <c r="T857" s="559"/>
      <c r="U857" s="559"/>
      <c r="V857" s="559"/>
      <c r="W857" s="559"/>
      <c r="X857" s="559"/>
      <c r="Y857" s="559"/>
      <c r="Z857" s="559"/>
      <c r="AA857" s="559"/>
      <c r="AB857" s="559"/>
      <c r="AC857" s="559"/>
      <c r="AD857" s="559"/>
      <c r="AE857" s="559"/>
      <c r="AF857" s="559"/>
      <c r="AG857" s="559"/>
      <c r="AH857" s="559"/>
      <c r="AI857" s="559"/>
      <c r="AJ857" s="559"/>
      <c r="AK857" s="559"/>
      <c r="AL857" s="559"/>
      <c r="AM857" s="559"/>
      <c r="AN857" s="559"/>
    </row>
    <row r="858">
      <c r="A858" s="559"/>
      <c r="B858" s="559"/>
      <c r="C858" s="559"/>
      <c r="D858" s="559"/>
      <c r="E858" s="559"/>
      <c r="F858" s="559"/>
      <c r="G858" s="559"/>
      <c r="H858" s="559"/>
      <c r="I858" s="559"/>
      <c r="J858" s="559"/>
      <c r="K858" s="559"/>
      <c r="L858" s="559"/>
      <c r="M858" s="559"/>
      <c r="N858" s="559"/>
      <c r="O858" s="559"/>
      <c r="P858" s="559"/>
      <c r="Q858" s="559"/>
      <c r="R858" s="559"/>
      <c r="S858" s="559"/>
      <c r="T858" s="559"/>
      <c r="U858" s="559"/>
      <c r="V858" s="559"/>
      <c r="W858" s="559"/>
      <c r="X858" s="559"/>
      <c r="Y858" s="559"/>
      <c r="Z858" s="559"/>
      <c r="AA858" s="559"/>
      <c r="AB858" s="559"/>
      <c r="AC858" s="559"/>
      <c r="AD858" s="559"/>
      <c r="AE858" s="559"/>
      <c r="AF858" s="559"/>
      <c r="AG858" s="559"/>
      <c r="AH858" s="559"/>
      <c r="AI858" s="559"/>
      <c r="AJ858" s="559"/>
      <c r="AK858" s="559"/>
      <c r="AL858" s="559"/>
      <c r="AM858" s="559"/>
      <c r="AN858" s="559"/>
    </row>
    <row r="859">
      <c r="A859" s="559"/>
      <c r="B859" s="559"/>
      <c r="C859" s="559"/>
      <c r="D859" s="559"/>
      <c r="E859" s="559"/>
      <c r="F859" s="559"/>
      <c r="G859" s="559"/>
      <c r="H859" s="559"/>
      <c r="I859" s="559"/>
      <c r="J859" s="559"/>
      <c r="K859" s="559"/>
      <c r="L859" s="559"/>
      <c r="M859" s="559"/>
      <c r="N859" s="559"/>
      <c r="O859" s="559"/>
      <c r="P859" s="559"/>
      <c r="Q859" s="559"/>
      <c r="R859" s="559"/>
      <c r="S859" s="559"/>
      <c r="T859" s="559"/>
      <c r="U859" s="559"/>
      <c r="V859" s="559"/>
      <c r="W859" s="559"/>
      <c r="X859" s="559"/>
      <c r="Y859" s="559"/>
      <c r="Z859" s="559"/>
      <c r="AA859" s="559"/>
      <c r="AB859" s="559"/>
      <c r="AC859" s="559"/>
      <c r="AD859" s="559"/>
      <c r="AE859" s="559"/>
      <c r="AF859" s="559"/>
      <c r="AG859" s="559"/>
      <c r="AH859" s="559"/>
      <c r="AI859" s="559"/>
      <c r="AJ859" s="559"/>
      <c r="AK859" s="559"/>
      <c r="AL859" s="559"/>
      <c r="AM859" s="559"/>
      <c r="AN859" s="559"/>
    </row>
    <row r="860">
      <c r="A860" s="559"/>
      <c r="B860" s="559"/>
      <c r="C860" s="559"/>
      <c r="D860" s="559"/>
      <c r="E860" s="559"/>
      <c r="F860" s="559"/>
      <c r="G860" s="559"/>
      <c r="H860" s="559"/>
      <c r="I860" s="559"/>
      <c r="J860" s="559"/>
      <c r="K860" s="559"/>
      <c r="L860" s="559"/>
      <c r="M860" s="559"/>
      <c r="N860" s="559"/>
      <c r="O860" s="559"/>
      <c r="P860" s="559"/>
      <c r="Q860" s="559"/>
      <c r="R860" s="559"/>
      <c r="S860" s="559"/>
      <c r="T860" s="559"/>
      <c r="U860" s="559"/>
      <c r="V860" s="559"/>
      <c r="W860" s="559"/>
      <c r="X860" s="559"/>
      <c r="Y860" s="559"/>
      <c r="Z860" s="559"/>
      <c r="AA860" s="559"/>
      <c r="AB860" s="559"/>
      <c r="AC860" s="559"/>
      <c r="AD860" s="559"/>
      <c r="AE860" s="559"/>
      <c r="AF860" s="559"/>
      <c r="AG860" s="559"/>
      <c r="AH860" s="559"/>
      <c r="AI860" s="559"/>
      <c r="AJ860" s="559"/>
      <c r="AK860" s="559"/>
      <c r="AL860" s="559"/>
      <c r="AM860" s="559"/>
      <c r="AN860" s="559"/>
    </row>
    <row r="861">
      <c r="A861" s="559"/>
      <c r="B861" s="559"/>
      <c r="C861" s="559"/>
      <c r="D861" s="559"/>
      <c r="E861" s="559"/>
      <c r="F861" s="559"/>
      <c r="G861" s="559"/>
      <c r="H861" s="559"/>
      <c r="I861" s="559"/>
      <c r="J861" s="559"/>
      <c r="K861" s="559"/>
      <c r="L861" s="559"/>
      <c r="M861" s="559"/>
      <c r="N861" s="559"/>
      <c r="O861" s="559"/>
      <c r="P861" s="559"/>
      <c r="Q861" s="559"/>
      <c r="R861" s="559"/>
      <c r="S861" s="559"/>
      <c r="T861" s="559"/>
      <c r="U861" s="559"/>
      <c r="V861" s="559"/>
      <c r="W861" s="559"/>
      <c r="X861" s="559"/>
      <c r="Y861" s="559"/>
      <c r="Z861" s="559"/>
      <c r="AA861" s="559"/>
      <c r="AB861" s="559"/>
      <c r="AC861" s="559"/>
      <c r="AD861" s="559"/>
      <c r="AE861" s="559"/>
      <c r="AF861" s="559"/>
      <c r="AG861" s="559"/>
      <c r="AH861" s="559"/>
      <c r="AI861" s="559"/>
      <c r="AJ861" s="559"/>
      <c r="AK861" s="559"/>
      <c r="AL861" s="559"/>
      <c r="AM861" s="559"/>
      <c r="AN861" s="559"/>
    </row>
    <row r="862">
      <c r="A862" s="559"/>
      <c r="B862" s="559"/>
      <c r="C862" s="559"/>
      <c r="D862" s="559"/>
      <c r="E862" s="559"/>
      <c r="F862" s="559"/>
      <c r="G862" s="559"/>
      <c r="H862" s="559"/>
      <c r="I862" s="559"/>
      <c r="J862" s="559"/>
      <c r="K862" s="559"/>
      <c r="L862" s="559"/>
      <c r="M862" s="559"/>
      <c r="N862" s="559"/>
      <c r="O862" s="559"/>
      <c r="P862" s="559"/>
      <c r="Q862" s="559"/>
      <c r="R862" s="559"/>
      <c r="S862" s="559"/>
      <c r="T862" s="559"/>
      <c r="U862" s="559"/>
      <c r="V862" s="559"/>
      <c r="W862" s="559"/>
      <c r="X862" s="559"/>
      <c r="Y862" s="559"/>
      <c r="Z862" s="559"/>
      <c r="AA862" s="559"/>
      <c r="AB862" s="559"/>
      <c r="AC862" s="559"/>
      <c r="AD862" s="559"/>
      <c r="AE862" s="559"/>
      <c r="AF862" s="559"/>
      <c r="AG862" s="559"/>
      <c r="AH862" s="559"/>
      <c r="AI862" s="559"/>
      <c r="AJ862" s="559"/>
      <c r="AK862" s="559"/>
      <c r="AL862" s="559"/>
      <c r="AM862" s="559"/>
      <c r="AN862" s="559"/>
    </row>
    <row r="863">
      <c r="A863" s="559"/>
      <c r="B863" s="559"/>
      <c r="C863" s="559"/>
      <c r="D863" s="559"/>
      <c r="E863" s="559"/>
      <c r="F863" s="559"/>
      <c r="G863" s="559"/>
      <c r="H863" s="559"/>
      <c r="I863" s="559"/>
      <c r="J863" s="559"/>
      <c r="K863" s="559"/>
      <c r="L863" s="559"/>
      <c r="M863" s="559"/>
      <c r="N863" s="559"/>
      <c r="O863" s="559"/>
      <c r="P863" s="559"/>
      <c r="Q863" s="559"/>
      <c r="R863" s="559"/>
      <c r="S863" s="559"/>
      <c r="T863" s="559"/>
      <c r="U863" s="559"/>
      <c r="V863" s="559"/>
      <c r="W863" s="559"/>
      <c r="X863" s="559"/>
      <c r="Y863" s="559"/>
      <c r="Z863" s="559"/>
      <c r="AA863" s="559"/>
      <c r="AB863" s="559"/>
      <c r="AC863" s="559"/>
      <c r="AD863" s="559"/>
      <c r="AE863" s="559"/>
      <c r="AF863" s="559"/>
      <c r="AG863" s="559"/>
      <c r="AH863" s="559"/>
      <c r="AI863" s="559"/>
      <c r="AJ863" s="559"/>
      <c r="AK863" s="559"/>
      <c r="AL863" s="559"/>
      <c r="AM863" s="559"/>
      <c r="AN863" s="559"/>
    </row>
    <row r="864">
      <c r="A864" s="559"/>
      <c r="B864" s="559"/>
      <c r="C864" s="559"/>
      <c r="D864" s="559"/>
      <c r="E864" s="559"/>
      <c r="F864" s="559"/>
      <c r="G864" s="559"/>
      <c r="H864" s="559"/>
      <c r="I864" s="559"/>
      <c r="J864" s="559"/>
      <c r="K864" s="559"/>
      <c r="L864" s="559"/>
      <c r="M864" s="559"/>
      <c r="N864" s="559"/>
      <c r="O864" s="559"/>
      <c r="P864" s="559"/>
      <c r="Q864" s="559"/>
      <c r="R864" s="559"/>
      <c r="S864" s="559"/>
      <c r="T864" s="559"/>
      <c r="U864" s="559"/>
      <c r="V864" s="559"/>
      <c r="W864" s="559"/>
      <c r="X864" s="559"/>
      <c r="Y864" s="559"/>
      <c r="Z864" s="559"/>
      <c r="AA864" s="559"/>
      <c r="AB864" s="559"/>
      <c r="AC864" s="559"/>
      <c r="AD864" s="559"/>
      <c r="AE864" s="559"/>
      <c r="AF864" s="559"/>
      <c r="AG864" s="559"/>
      <c r="AH864" s="559"/>
      <c r="AI864" s="559"/>
      <c r="AJ864" s="559"/>
      <c r="AK864" s="559"/>
      <c r="AL864" s="559"/>
      <c r="AM864" s="559"/>
      <c r="AN864" s="559"/>
    </row>
    <row r="865">
      <c r="A865" s="559"/>
      <c r="B865" s="559"/>
      <c r="C865" s="559"/>
      <c r="D865" s="559"/>
      <c r="E865" s="559"/>
      <c r="F865" s="559"/>
      <c r="G865" s="559"/>
      <c r="H865" s="559"/>
      <c r="I865" s="559"/>
      <c r="J865" s="559"/>
      <c r="K865" s="559"/>
      <c r="L865" s="559"/>
      <c r="M865" s="559"/>
      <c r="N865" s="559"/>
      <c r="O865" s="559"/>
      <c r="P865" s="559"/>
      <c r="Q865" s="559"/>
      <c r="R865" s="559"/>
      <c r="S865" s="559"/>
      <c r="T865" s="559"/>
      <c r="U865" s="559"/>
      <c r="V865" s="559"/>
      <c r="W865" s="559"/>
      <c r="X865" s="559"/>
      <c r="Y865" s="559"/>
      <c r="Z865" s="559"/>
      <c r="AA865" s="559"/>
      <c r="AB865" s="559"/>
      <c r="AC865" s="559"/>
      <c r="AD865" s="559"/>
      <c r="AE865" s="559"/>
      <c r="AF865" s="559"/>
      <c r="AG865" s="559"/>
      <c r="AH865" s="559"/>
      <c r="AI865" s="559"/>
      <c r="AJ865" s="559"/>
      <c r="AK865" s="559"/>
      <c r="AL865" s="559"/>
      <c r="AM865" s="559"/>
      <c r="AN865" s="559"/>
    </row>
    <row r="866">
      <c r="A866" s="559"/>
      <c r="B866" s="559"/>
      <c r="C866" s="559"/>
      <c r="D866" s="559"/>
      <c r="E866" s="559"/>
      <c r="F866" s="559"/>
      <c r="G866" s="559"/>
      <c r="H866" s="559"/>
      <c r="I866" s="559"/>
      <c r="J866" s="559"/>
      <c r="K866" s="559"/>
      <c r="L866" s="559"/>
      <c r="M866" s="559"/>
      <c r="N866" s="559"/>
      <c r="O866" s="559"/>
      <c r="P866" s="559"/>
      <c r="Q866" s="559"/>
      <c r="R866" s="559"/>
      <c r="S866" s="559"/>
      <c r="T866" s="559"/>
      <c r="U866" s="559"/>
      <c r="V866" s="559"/>
      <c r="W866" s="559"/>
      <c r="X866" s="559"/>
      <c r="Y866" s="559"/>
      <c r="Z866" s="559"/>
      <c r="AA866" s="559"/>
      <c r="AB866" s="559"/>
      <c r="AC866" s="559"/>
      <c r="AD866" s="559"/>
      <c r="AE866" s="559"/>
      <c r="AF866" s="559"/>
      <c r="AG866" s="559"/>
      <c r="AH866" s="559"/>
      <c r="AI866" s="559"/>
      <c r="AJ866" s="559"/>
      <c r="AK866" s="559"/>
      <c r="AL866" s="559"/>
      <c r="AM866" s="559"/>
      <c r="AN866" s="559"/>
    </row>
    <row r="867">
      <c r="A867" s="559"/>
      <c r="B867" s="559"/>
      <c r="C867" s="559"/>
      <c r="D867" s="559"/>
      <c r="E867" s="559"/>
      <c r="F867" s="559"/>
      <c r="G867" s="559"/>
      <c r="H867" s="559"/>
      <c r="I867" s="559"/>
      <c r="J867" s="559"/>
      <c r="K867" s="559"/>
      <c r="L867" s="559"/>
      <c r="M867" s="559"/>
      <c r="N867" s="559"/>
      <c r="O867" s="559"/>
      <c r="P867" s="559"/>
      <c r="Q867" s="559"/>
      <c r="R867" s="559"/>
      <c r="S867" s="559"/>
      <c r="T867" s="559"/>
      <c r="U867" s="559"/>
      <c r="V867" s="559"/>
      <c r="W867" s="559"/>
      <c r="X867" s="559"/>
      <c r="Y867" s="559"/>
      <c r="Z867" s="559"/>
      <c r="AA867" s="559"/>
      <c r="AB867" s="559"/>
      <c r="AC867" s="559"/>
      <c r="AD867" s="559"/>
      <c r="AE867" s="559"/>
      <c r="AF867" s="559"/>
      <c r="AG867" s="559"/>
      <c r="AH867" s="559"/>
      <c r="AI867" s="559"/>
      <c r="AJ867" s="559"/>
      <c r="AK867" s="559"/>
      <c r="AL867" s="559"/>
      <c r="AM867" s="559"/>
      <c r="AN867" s="559"/>
    </row>
    <row r="868">
      <c r="A868" s="559"/>
      <c r="B868" s="559"/>
      <c r="C868" s="559"/>
      <c r="D868" s="559"/>
      <c r="E868" s="559"/>
      <c r="F868" s="559"/>
      <c r="G868" s="559"/>
      <c r="H868" s="559"/>
      <c r="I868" s="559"/>
      <c r="J868" s="559"/>
      <c r="K868" s="559"/>
      <c r="L868" s="559"/>
      <c r="M868" s="559"/>
      <c r="N868" s="559"/>
      <c r="O868" s="559"/>
      <c r="P868" s="559"/>
      <c r="Q868" s="559"/>
      <c r="R868" s="559"/>
      <c r="S868" s="559"/>
      <c r="T868" s="559"/>
      <c r="U868" s="559"/>
      <c r="V868" s="559"/>
      <c r="W868" s="559"/>
      <c r="X868" s="559"/>
      <c r="Y868" s="559"/>
      <c r="Z868" s="559"/>
      <c r="AA868" s="559"/>
      <c r="AB868" s="559"/>
      <c r="AC868" s="559"/>
      <c r="AD868" s="559"/>
      <c r="AE868" s="559"/>
      <c r="AF868" s="559"/>
      <c r="AG868" s="559"/>
      <c r="AH868" s="559"/>
      <c r="AI868" s="559"/>
      <c r="AJ868" s="559"/>
      <c r="AK868" s="559"/>
      <c r="AL868" s="559"/>
      <c r="AM868" s="559"/>
      <c r="AN868" s="559"/>
    </row>
    <row r="869">
      <c r="A869" s="559"/>
      <c r="B869" s="559"/>
      <c r="C869" s="559"/>
      <c r="D869" s="559"/>
      <c r="E869" s="559"/>
      <c r="F869" s="559"/>
      <c r="G869" s="559"/>
      <c r="H869" s="559"/>
      <c r="I869" s="559"/>
      <c r="J869" s="559"/>
      <c r="K869" s="559"/>
      <c r="L869" s="559"/>
      <c r="M869" s="559"/>
      <c r="N869" s="559"/>
      <c r="O869" s="559"/>
      <c r="P869" s="559"/>
      <c r="Q869" s="559"/>
      <c r="R869" s="559"/>
      <c r="S869" s="559"/>
      <c r="T869" s="559"/>
      <c r="U869" s="559"/>
      <c r="V869" s="559"/>
      <c r="W869" s="559"/>
      <c r="X869" s="559"/>
      <c r="Y869" s="559"/>
      <c r="Z869" s="559"/>
      <c r="AA869" s="559"/>
      <c r="AB869" s="559"/>
      <c r="AC869" s="559"/>
      <c r="AD869" s="559"/>
      <c r="AE869" s="559"/>
      <c r="AF869" s="559"/>
      <c r="AG869" s="559"/>
      <c r="AH869" s="559"/>
      <c r="AI869" s="559"/>
      <c r="AJ869" s="559"/>
      <c r="AK869" s="559"/>
      <c r="AL869" s="559"/>
      <c r="AM869" s="559"/>
      <c r="AN869" s="559"/>
    </row>
    <row r="870">
      <c r="A870" s="559"/>
      <c r="B870" s="559"/>
      <c r="C870" s="559"/>
      <c r="D870" s="559"/>
      <c r="E870" s="559"/>
      <c r="F870" s="559"/>
      <c r="G870" s="559"/>
      <c r="H870" s="559"/>
      <c r="I870" s="559"/>
      <c r="J870" s="559"/>
      <c r="K870" s="559"/>
      <c r="L870" s="559"/>
      <c r="M870" s="559"/>
      <c r="N870" s="559"/>
      <c r="O870" s="559"/>
      <c r="P870" s="559"/>
      <c r="Q870" s="559"/>
      <c r="R870" s="559"/>
      <c r="S870" s="559"/>
      <c r="T870" s="559"/>
      <c r="U870" s="559"/>
      <c r="V870" s="559"/>
      <c r="W870" s="559"/>
      <c r="X870" s="559"/>
      <c r="Y870" s="559"/>
      <c r="Z870" s="559"/>
      <c r="AA870" s="559"/>
      <c r="AB870" s="559"/>
      <c r="AC870" s="559"/>
      <c r="AD870" s="559"/>
      <c r="AE870" s="559"/>
      <c r="AF870" s="559"/>
      <c r="AG870" s="559"/>
      <c r="AH870" s="559"/>
      <c r="AI870" s="559"/>
      <c r="AJ870" s="559"/>
      <c r="AK870" s="559"/>
      <c r="AL870" s="559"/>
      <c r="AM870" s="559"/>
      <c r="AN870" s="559"/>
    </row>
    <row r="871">
      <c r="A871" s="559"/>
      <c r="B871" s="559"/>
      <c r="C871" s="559"/>
      <c r="D871" s="559"/>
      <c r="E871" s="559"/>
      <c r="F871" s="559"/>
      <c r="G871" s="559"/>
      <c r="H871" s="559"/>
      <c r="I871" s="559"/>
      <c r="J871" s="559"/>
      <c r="K871" s="559"/>
      <c r="L871" s="559"/>
      <c r="M871" s="559"/>
      <c r="N871" s="559"/>
      <c r="O871" s="559"/>
      <c r="P871" s="559"/>
      <c r="Q871" s="559"/>
      <c r="R871" s="559"/>
      <c r="S871" s="559"/>
      <c r="T871" s="559"/>
      <c r="U871" s="559"/>
      <c r="V871" s="559"/>
      <c r="W871" s="559"/>
      <c r="X871" s="559"/>
      <c r="Y871" s="559"/>
      <c r="Z871" s="559"/>
      <c r="AA871" s="559"/>
      <c r="AB871" s="559"/>
      <c r="AC871" s="559"/>
      <c r="AD871" s="559"/>
      <c r="AE871" s="559"/>
      <c r="AF871" s="559"/>
      <c r="AG871" s="559"/>
      <c r="AH871" s="559"/>
      <c r="AI871" s="559"/>
      <c r="AJ871" s="559"/>
      <c r="AK871" s="559"/>
      <c r="AL871" s="559"/>
      <c r="AM871" s="559"/>
      <c r="AN871" s="559"/>
    </row>
    <row r="872">
      <c r="A872" s="559"/>
      <c r="B872" s="559"/>
      <c r="C872" s="559"/>
      <c r="D872" s="559"/>
      <c r="E872" s="559"/>
      <c r="F872" s="559"/>
      <c r="G872" s="559"/>
      <c r="H872" s="559"/>
      <c r="I872" s="559"/>
      <c r="J872" s="559"/>
      <c r="K872" s="559"/>
      <c r="L872" s="559"/>
      <c r="M872" s="559"/>
      <c r="N872" s="559"/>
      <c r="O872" s="559"/>
      <c r="P872" s="559"/>
      <c r="Q872" s="559"/>
      <c r="R872" s="559"/>
      <c r="S872" s="559"/>
      <c r="T872" s="559"/>
      <c r="U872" s="559"/>
      <c r="V872" s="559"/>
      <c r="W872" s="559"/>
      <c r="X872" s="559"/>
      <c r="Y872" s="559"/>
      <c r="Z872" s="559"/>
      <c r="AA872" s="559"/>
      <c r="AB872" s="559"/>
      <c r="AC872" s="559"/>
      <c r="AD872" s="559"/>
      <c r="AE872" s="559"/>
      <c r="AF872" s="559"/>
      <c r="AG872" s="559"/>
      <c r="AH872" s="559"/>
      <c r="AI872" s="559"/>
      <c r="AJ872" s="559"/>
      <c r="AK872" s="559"/>
      <c r="AL872" s="559"/>
      <c r="AM872" s="559"/>
      <c r="AN872" s="559"/>
    </row>
    <row r="873">
      <c r="A873" s="559"/>
      <c r="B873" s="559"/>
      <c r="C873" s="559"/>
      <c r="D873" s="559"/>
      <c r="E873" s="559"/>
      <c r="F873" s="559"/>
      <c r="G873" s="559"/>
      <c r="H873" s="559"/>
      <c r="I873" s="559"/>
      <c r="J873" s="559"/>
      <c r="K873" s="559"/>
      <c r="L873" s="559"/>
      <c r="M873" s="559"/>
      <c r="N873" s="559"/>
      <c r="O873" s="559"/>
      <c r="P873" s="559"/>
      <c r="Q873" s="559"/>
      <c r="R873" s="559"/>
      <c r="S873" s="559"/>
      <c r="T873" s="559"/>
      <c r="U873" s="559"/>
      <c r="V873" s="559"/>
      <c r="W873" s="559"/>
      <c r="X873" s="559"/>
      <c r="Y873" s="559"/>
      <c r="Z873" s="559"/>
      <c r="AA873" s="559"/>
      <c r="AB873" s="559"/>
      <c r="AC873" s="559"/>
      <c r="AD873" s="559"/>
      <c r="AE873" s="559"/>
      <c r="AF873" s="559"/>
      <c r="AG873" s="559"/>
      <c r="AH873" s="559"/>
      <c r="AI873" s="559"/>
      <c r="AJ873" s="559"/>
      <c r="AK873" s="559"/>
      <c r="AL873" s="559"/>
      <c r="AM873" s="559"/>
      <c r="AN873" s="559"/>
    </row>
    <row r="874">
      <c r="A874" s="559"/>
      <c r="B874" s="559"/>
      <c r="C874" s="559"/>
      <c r="D874" s="559"/>
      <c r="E874" s="559"/>
      <c r="F874" s="559"/>
      <c r="G874" s="559"/>
      <c r="H874" s="559"/>
      <c r="I874" s="559"/>
      <c r="J874" s="559"/>
      <c r="K874" s="559"/>
      <c r="L874" s="559"/>
      <c r="M874" s="559"/>
      <c r="N874" s="559"/>
      <c r="O874" s="559"/>
      <c r="P874" s="559"/>
      <c r="Q874" s="559"/>
      <c r="R874" s="559"/>
      <c r="S874" s="559"/>
      <c r="T874" s="559"/>
      <c r="U874" s="559"/>
      <c r="V874" s="559"/>
      <c r="W874" s="559"/>
      <c r="X874" s="559"/>
      <c r="Y874" s="559"/>
      <c r="Z874" s="559"/>
      <c r="AA874" s="559"/>
      <c r="AB874" s="559"/>
      <c r="AC874" s="559"/>
      <c r="AD874" s="559"/>
      <c r="AE874" s="559"/>
      <c r="AF874" s="559"/>
      <c r="AG874" s="559"/>
      <c r="AH874" s="559"/>
      <c r="AI874" s="559"/>
      <c r="AJ874" s="559"/>
      <c r="AK874" s="559"/>
      <c r="AL874" s="559"/>
      <c r="AM874" s="559"/>
      <c r="AN874" s="559"/>
    </row>
    <row r="875">
      <c r="A875" s="559"/>
      <c r="B875" s="559"/>
      <c r="C875" s="559"/>
      <c r="D875" s="559"/>
      <c r="E875" s="559"/>
      <c r="F875" s="559"/>
      <c r="G875" s="559"/>
      <c r="H875" s="559"/>
      <c r="I875" s="559"/>
      <c r="J875" s="559"/>
      <c r="K875" s="559"/>
      <c r="L875" s="559"/>
      <c r="M875" s="559"/>
      <c r="N875" s="559"/>
      <c r="O875" s="559"/>
      <c r="P875" s="559"/>
      <c r="Q875" s="559"/>
      <c r="R875" s="559"/>
      <c r="S875" s="559"/>
      <c r="T875" s="559"/>
      <c r="U875" s="559"/>
      <c r="V875" s="559"/>
      <c r="W875" s="559"/>
      <c r="X875" s="559"/>
      <c r="Y875" s="559"/>
      <c r="Z875" s="559"/>
      <c r="AA875" s="559"/>
      <c r="AB875" s="559"/>
      <c r="AC875" s="559"/>
      <c r="AD875" s="559"/>
      <c r="AE875" s="559"/>
      <c r="AF875" s="559"/>
      <c r="AG875" s="559"/>
      <c r="AH875" s="559"/>
      <c r="AI875" s="559"/>
      <c r="AJ875" s="559"/>
      <c r="AK875" s="559"/>
      <c r="AL875" s="559"/>
      <c r="AM875" s="559"/>
      <c r="AN875" s="559"/>
    </row>
    <row r="876">
      <c r="A876" s="559"/>
      <c r="B876" s="559"/>
      <c r="C876" s="559"/>
      <c r="D876" s="559"/>
      <c r="E876" s="559"/>
      <c r="F876" s="559"/>
      <c r="G876" s="559"/>
      <c r="H876" s="559"/>
      <c r="I876" s="559"/>
      <c r="J876" s="559"/>
      <c r="K876" s="559"/>
      <c r="L876" s="559"/>
      <c r="M876" s="559"/>
      <c r="N876" s="559"/>
      <c r="O876" s="559"/>
      <c r="P876" s="559"/>
      <c r="Q876" s="559"/>
      <c r="R876" s="559"/>
      <c r="S876" s="559"/>
      <c r="T876" s="559"/>
      <c r="U876" s="559"/>
      <c r="V876" s="559"/>
      <c r="W876" s="559"/>
      <c r="X876" s="559"/>
      <c r="Y876" s="559"/>
      <c r="Z876" s="559"/>
      <c r="AA876" s="559"/>
      <c r="AB876" s="559"/>
      <c r="AC876" s="559"/>
      <c r="AD876" s="559"/>
      <c r="AE876" s="559"/>
      <c r="AF876" s="559"/>
      <c r="AG876" s="559"/>
      <c r="AH876" s="559"/>
      <c r="AI876" s="559"/>
      <c r="AJ876" s="559"/>
      <c r="AK876" s="559"/>
      <c r="AL876" s="559"/>
      <c r="AM876" s="559"/>
      <c r="AN876" s="559"/>
    </row>
    <row r="877">
      <c r="A877" s="559"/>
      <c r="B877" s="559"/>
      <c r="C877" s="559"/>
      <c r="D877" s="559"/>
      <c r="E877" s="559"/>
      <c r="F877" s="559"/>
      <c r="G877" s="559"/>
      <c r="H877" s="559"/>
      <c r="I877" s="559"/>
      <c r="J877" s="559"/>
      <c r="K877" s="559"/>
      <c r="L877" s="559"/>
      <c r="M877" s="559"/>
      <c r="N877" s="559"/>
      <c r="O877" s="559"/>
      <c r="P877" s="559"/>
      <c r="Q877" s="559"/>
      <c r="R877" s="559"/>
      <c r="S877" s="559"/>
      <c r="T877" s="559"/>
      <c r="U877" s="559"/>
      <c r="V877" s="559"/>
      <c r="W877" s="559"/>
      <c r="X877" s="559"/>
      <c r="Y877" s="559"/>
      <c r="Z877" s="559"/>
      <c r="AA877" s="559"/>
      <c r="AB877" s="559"/>
      <c r="AC877" s="559"/>
      <c r="AD877" s="559"/>
      <c r="AE877" s="559"/>
      <c r="AF877" s="559"/>
      <c r="AG877" s="559"/>
      <c r="AH877" s="559"/>
      <c r="AI877" s="559"/>
      <c r="AJ877" s="559"/>
      <c r="AK877" s="559"/>
      <c r="AL877" s="559"/>
      <c r="AM877" s="559"/>
      <c r="AN877" s="559"/>
    </row>
    <row r="878">
      <c r="A878" s="559"/>
      <c r="B878" s="559"/>
      <c r="C878" s="559"/>
      <c r="D878" s="559"/>
      <c r="E878" s="559"/>
      <c r="F878" s="559"/>
      <c r="G878" s="559"/>
      <c r="H878" s="559"/>
      <c r="I878" s="559"/>
      <c r="J878" s="559"/>
      <c r="K878" s="559"/>
      <c r="L878" s="559"/>
      <c r="M878" s="559"/>
      <c r="N878" s="559"/>
      <c r="O878" s="559"/>
      <c r="P878" s="559"/>
      <c r="Q878" s="559"/>
      <c r="R878" s="559"/>
      <c r="S878" s="559"/>
      <c r="T878" s="559"/>
      <c r="U878" s="559"/>
      <c r="V878" s="559"/>
      <c r="W878" s="559"/>
      <c r="X878" s="559"/>
      <c r="Y878" s="559"/>
      <c r="Z878" s="559"/>
      <c r="AA878" s="559"/>
      <c r="AB878" s="559"/>
      <c r="AC878" s="559"/>
      <c r="AD878" s="559"/>
      <c r="AE878" s="559"/>
      <c r="AF878" s="559"/>
      <c r="AG878" s="559"/>
      <c r="AH878" s="559"/>
      <c r="AI878" s="559"/>
      <c r="AJ878" s="559"/>
      <c r="AK878" s="559"/>
      <c r="AL878" s="559"/>
      <c r="AM878" s="559"/>
      <c r="AN878" s="559"/>
    </row>
    <row r="879">
      <c r="A879" s="559"/>
      <c r="B879" s="559"/>
      <c r="C879" s="559"/>
      <c r="D879" s="559"/>
      <c r="E879" s="559"/>
      <c r="F879" s="559"/>
      <c r="G879" s="559"/>
      <c r="H879" s="559"/>
      <c r="I879" s="559"/>
      <c r="J879" s="559"/>
      <c r="K879" s="559"/>
      <c r="L879" s="559"/>
      <c r="M879" s="559"/>
      <c r="N879" s="559"/>
      <c r="O879" s="559"/>
      <c r="P879" s="559"/>
      <c r="Q879" s="559"/>
      <c r="R879" s="559"/>
      <c r="S879" s="559"/>
      <c r="T879" s="559"/>
      <c r="U879" s="559"/>
      <c r="V879" s="559"/>
      <c r="W879" s="559"/>
      <c r="X879" s="559"/>
      <c r="Y879" s="559"/>
      <c r="Z879" s="559"/>
      <c r="AA879" s="559"/>
      <c r="AB879" s="559"/>
      <c r="AC879" s="559"/>
      <c r="AD879" s="559"/>
      <c r="AE879" s="559"/>
      <c r="AF879" s="559"/>
      <c r="AG879" s="559"/>
      <c r="AH879" s="559"/>
      <c r="AI879" s="559"/>
      <c r="AJ879" s="559"/>
      <c r="AK879" s="559"/>
      <c r="AL879" s="559"/>
      <c r="AM879" s="559"/>
      <c r="AN879" s="559"/>
    </row>
    <row r="880">
      <c r="A880" s="559"/>
      <c r="B880" s="559"/>
      <c r="C880" s="559"/>
      <c r="D880" s="559"/>
      <c r="E880" s="559"/>
      <c r="F880" s="559"/>
      <c r="G880" s="559"/>
      <c r="H880" s="559"/>
      <c r="I880" s="559"/>
      <c r="J880" s="559"/>
      <c r="K880" s="559"/>
      <c r="L880" s="559"/>
      <c r="M880" s="559"/>
      <c r="N880" s="559"/>
      <c r="O880" s="559"/>
      <c r="P880" s="559"/>
      <c r="Q880" s="559"/>
      <c r="R880" s="559"/>
      <c r="S880" s="559"/>
      <c r="T880" s="559"/>
      <c r="U880" s="559"/>
      <c r="V880" s="559"/>
      <c r="W880" s="559"/>
      <c r="X880" s="559"/>
      <c r="Y880" s="559"/>
      <c r="Z880" s="559"/>
      <c r="AA880" s="559"/>
      <c r="AB880" s="559"/>
      <c r="AC880" s="559"/>
      <c r="AD880" s="559"/>
      <c r="AE880" s="559"/>
      <c r="AF880" s="559"/>
      <c r="AG880" s="559"/>
      <c r="AH880" s="559"/>
      <c r="AI880" s="559"/>
      <c r="AJ880" s="559"/>
      <c r="AK880" s="559"/>
      <c r="AL880" s="559"/>
      <c r="AM880" s="559"/>
      <c r="AN880" s="559"/>
    </row>
    <row r="881">
      <c r="A881" s="559"/>
      <c r="B881" s="559"/>
      <c r="C881" s="559"/>
      <c r="D881" s="559"/>
      <c r="E881" s="559"/>
      <c r="F881" s="559"/>
      <c r="G881" s="559"/>
      <c r="H881" s="559"/>
      <c r="I881" s="559"/>
      <c r="J881" s="559"/>
      <c r="K881" s="559"/>
      <c r="L881" s="559"/>
      <c r="M881" s="559"/>
      <c r="N881" s="559"/>
      <c r="O881" s="559"/>
      <c r="P881" s="559"/>
      <c r="Q881" s="559"/>
      <c r="R881" s="559"/>
      <c r="S881" s="559"/>
      <c r="T881" s="559"/>
      <c r="U881" s="559"/>
      <c r="V881" s="559"/>
      <c r="W881" s="559"/>
      <c r="X881" s="559"/>
      <c r="Y881" s="559"/>
      <c r="Z881" s="559"/>
      <c r="AA881" s="559"/>
      <c r="AB881" s="559"/>
      <c r="AC881" s="559"/>
      <c r="AD881" s="559"/>
      <c r="AE881" s="559"/>
      <c r="AF881" s="559"/>
      <c r="AG881" s="559"/>
      <c r="AH881" s="559"/>
      <c r="AI881" s="559"/>
      <c r="AJ881" s="559"/>
      <c r="AK881" s="559"/>
      <c r="AL881" s="559"/>
      <c r="AM881" s="559"/>
      <c r="AN881" s="559"/>
    </row>
    <row r="882">
      <c r="A882" s="559"/>
      <c r="B882" s="559"/>
      <c r="C882" s="559"/>
      <c r="D882" s="559"/>
      <c r="E882" s="559"/>
      <c r="F882" s="559"/>
      <c r="G882" s="559"/>
      <c r="H882" s="559"/>
      <c r="I882" s="559"/>
      <c r="J882" s="559"/>
      <c r="K882" s="559"/>
      <c r="L882" s="559"/>
      <c r="M882" s="559"/>
      <c r="N882" s="559"/>
      <c r="O882" s="559"/>
      <c r="P882" s="559"/>
      <c r="Q882" s="559"/>
      <c r="R882" s="559"/>
      <c r="S882" s="559"/>
      <c r="T882" s="559"/>
      <c r="U882" s="559"/>
      <c r="V882" s="559"/>
      <c r="W882" s="559"/>
      <c r="X882" s="559"/>
      <c r="Y882" s="559"/>
      <c r="Z882" s="559"/>
      <c r="AA882" s="559"/>
      <c r="AB882" s="559"/>
      <c r="AC882" s="559"/>
      <c r="AD882" s="559"/>
      <c r="AE882" s="559"/>
      <c r="AF882" s="559"/>
      <c r="AG882" s="559"/>
      <c r="AH882" s="559"/>
      <c r="AI882" s="559"/>
      <c r="AJ882" s="559"/>
      <c r="AK882" s="559"/>
      <c r="AL882" s="559"/>
      <c r="AM882" s="559"/>
      <c r="AN882" s="559"/>
    </row>
    <row r="883">
      <c r="A883" s="559"/>
      <c r="B883" s="559"/>
      <c r="C883" s="559"/>
      <c r="D883" s="559"/>
      <c r="E883" s="559"/>
      <c r="F883" s="559"/>
      <c r="G883" s="559"/>
      <c r="H883" s="559"/>
      <c r="I883" s="559"/>
      <c r="J883" s="559"/>
      <c r="K883" s="559"/>
      <c r="L883" s="559"/>
      <c r="M883" s="559"/>
      <c r="N883" s="559"/>
      <c r="O883" s="559"/>
      <c r="P883" s="559"/>
      <c r="Q883" s="559"/>
      <c r="R883" s="559"/>
      <c r="S883" s="559"/>
      <c r="T883" s="559"/>
      <c r="U883" s="559"/>
      <c r="V883" s="559"/>
      <c r="W883" s="559"/>
      <c r="X883" s="559"/>
      <c r="Y883" s="559"/>
      <c r="Z883" s="559"/>
      <c r="AA883" s="559"/>
      <c r="AB883" s="559"/>
      <c r="AC883" s="559"/>
      <c r="AD883" s="559"/>
      <c r="AE883" s="559"/>
      <c r="AF883" s="559"/>
      <c r="AG883" s="559"/>
      <c r="AH883" s="559"/>
      <c r="AI883" s="559"/>
      <c r="AJ883" s="559"/>
      <c r="AK883" s="559"/>
      <c r="AL883" s="559"/>
      <c r="AM883" s="559"/>
      <c r="AN883" s="559"/>
    </row>
    <row r="884">
      <c r="A884" s="559"/>
      <c r="B884" s="559"/>
      <c r="C884" s="559"/>
      <c r="D884" s="559"/>
      <c r="E884" s="559"/>
      <c r="F884" s="559"/>
      <c r="G884" s="559"/>
      <c r="H884" s="559"/>
      <c r="I884" s="559"/>
      <c r="J884" s="559"/>
      <c r="K884" s="559"/>
      <c r="L884" s="559"/>
      <c r="M884" s="559"/>
      <c r="N884" s="559"/>
      <c r="O884" s="559"/>
      <c r="P884" s="559"/>
      <c r="Q884" s="559"/>
      <c r="R884" s="559"/>
      <c r="S884" s="559"/>
      <c r="T884" s="559"/>
      <c r="U884" s="559"/>
      <c r="V884" s="559"/>
      <c r="W884" s="559"/>
      <c r="X884" s="559"/>
      <c r="Y884" s="559"/>
      <c r="Z884" s="559"/>
      <c r="AA884" s="559"/>
      <c r="AB884" s="559"/>
      <c r="AC884" s="559"/>
      <c r="AD884" s="559"/>
      <c r="AE884" s="559"/>
      <c r="AF884" s="559"/>
      <c r="AG884" s="559"/>
      <c r="AH884" s="559"/>
      <c r="AI884" s="559"/>
      <c r="AJ884" s="559"/>
      <c r="AK884" s="559"/>
      <c r="AL884" s="559"/>
      <c r="AM884" s="559"/>
      <c r="AN884" s="559"/>
    </row>
    <row r="885">
      <c r="A885" s="559"/>
      <c r="B885" s="559"/>
      <c r="C885" s="559"/>
      <c r="D885" s="559"/>
      <c r="E885" s="559"/>
      <c r="F885" s="559"/>
      <c r="G885" s="559"/>
      <c r="H885" s="559"/>
      <c r="I885" s="559"/>
      <c r="J885" s="559"/>
      <c r="K885" s="559"/>
      <c r="L885" s="559"/>
      <c r="M885" s="559"/>
      <c r="N885" s="559"/>
      <c r="O885" s="559"/>
      <c r="P885" s="559"/>
      <c r="Q885" s="559"/>
      <c r="R885" s="559"/>
      <c r="S885" s="559"/>
      <c r="T885" s="559"/>
      <c r="U885" s="559"/>
      <c r="V885" s="559"/>
      <c r="W885" s="559"/>
      <c r="X885" s="559"/>
      <c r="Y885" s="559"/>
      <c r="Z885" s="559"/>
      <c r="AA885" s="559"/>
      <c r="AB885" s="559"/>
      <c r="AC885" s="559"/>
      <c r="AD885" s="559"/>
      <c r="AE885" s="559"/>
      <c r="AF885" s="559"/>
      <c r="AG885" s="559"/>
      <c r="AH885" s="559"/>
      <c r="AI885" s="559"/>
      <c r="AJ885" s="559"/>
      <c r="AK885" s="559"/>
      <c r="AL885" s="559"/>
      <c r="AM885" s="559"/>
      <c r="AN885" s="559"/>
    </row>
    <row r="886">
      <c r="A886" s="559"/>
      <c r="B886" s="559"/>
      <c r="C886" s="559"/>
      <c r="D886" s="559"/>
      <c r="E886" s="559"/>
      <c r="F886" s="559"/>
      <c r="G886" s="559"/>
      <c r="H886" s="559"/>
      <c r="I886" s="559"/>
      <c r="J886" s="559"/>
      <c r="K886" s="559"/>
      <c r="L886" s="559"/>
      <c r="M886" s="559"/>
      <c r="N886" s="559"/>
      <c r="O886" s="559"/>
      <c r="P886" s="559"/>
      <c r="Q886" s="559"/>
      <c r="R886" s="559"/>
      <c r="S886" s="559"/>
      <c r="T886" s="559"/>
      <c r="U886" s="559"/>
      <c r="V886" s="559"/>
      <c r="W886" s="559"/>
      <c r="X886" s="559"/>
      <c r="Y886" s="559"/>
      <c r="Z886" s="559"/>
      <c r="AA886" s="559"/>
      <c r="AB886" s="559"/>
      <c r="AC886" s="559"/>
      <c r="AD886" s="559"/>
      <c r="AE886" s="559"/>
      <c r="AF886" s="559"/>
      <c r="AG886" s="559"/>
      <c r="AH886" s="559"/>
      <c r="AI886" s="559"/>
      <c r="AJ886" s="559"/>
      <c r="AK886" s="559"/>
      <c r="AL886" s="559"/>
      <c r="AM886" s="559"/>
      <c r="AN886" s="559"/>
    </row>
    <row r="887">
      <c r="A887" s="559"/>
      <c r="B887" s="559"/>
      <c r="C887" s="559"/>
      <c r="D887" s="559"/>
      <c r="E887" s="559"/>
      <c r="F887" s="559"/>
      <c r="G887" s="559"/>
      <c r="H887" s="559"/>
      <c r="I887" s="559"/>
      <c r="J887" s="559"/>
      <c r="K887" s="559"/>
      <c r="L887" s="559"/>
      <c r="M887" s="559"/>
      <c r="N887" s="559"/>
      <c r="O887" s="559"/>
      <c r="P887" s="559"/>
      <c r="Q887" s="559"/>
      <c r="R887" s="559"/>
      <c r="S887" s="559"/>
      <c r="T887" s="559"/>
      <c r="U887" s="559"/>
      <c r="V887" s="559"/>
      <c r="W887" s="559"/>
      <c r="X887" s="559"/>
      <c r="Y887" s="559"/>
      <c r="Z887" s="559"/>
      <c r="AA887" s="559"/>
      <c r="AB887" s="559"/>
      <c r="AC887" s="559"/>
      <c r="AD887" s="559"/>
      <c r="AE887" s="559"/>
      <c r="AF887" s="559"/>
      <c r="AG887" s="559"/>
      <c r="AH887" s="559"/>
      <c r="AI887" s="559"/>
      <c r="AJ887" s="559"/>
      <c r="AK887" s="559"/>
      <c r="AL887" s="559"/>
      <c r="AM887" s="559"/>
      <c r="AN887" s="559"/>
    </row>
    <row r="888">
      <c r="A888" s="559"/>
      <c r="B888" s="559"/>
      <c r="C888" s="559"/>
      <c r="D888" s="559"/>
      <c r="E888" s="559"/>
      <c r="F888" s="559"/>
      <c r="G888" s="559"/>
      <c r="H888" s="559"/>
      <c r="I888" s="559"/>
      <c r="J888" s="559"/>
      <c r="K888" s="559"/>
      <c r="L888" s="559"/>
      <c r="M888" s="559"/>
      <c r="N888" s="559"/>
      <c r="O888" s="559"/>
      <c r="P888" s="559"/>
      <c r="Q888" s="559"/>
      <c r="R888" s="559"/>
      <c r="S888" s="559"/>
      <c r="T888" s="559"/>
      <c r="U888" s="559"/>
      <c r="V888" s="559"/>
      <c r="W888" s="559"/>
      <c r="X888" s="559"/>
      <c r="Y888" s="559"/>
      <c r="Z888" s="559"/>
      <c r="AA888" s="559"/>
      <c r="AB888" s="559"/>
      <c r="AC888" s="559"/>
      <c r="AD888" s="559"/>
      <c r="AE888" s="559"/>
      <c r="AF888" s="559"/>
      <c r="AG888" s="559"/>
      <c r="AH888" s="559"/>
      <c r="AI888" s="559"/>
      <c r="AJ888" s="559"/>
      <c r="AK888" s="559"/>
      <c r="AL888" s="559"/>
      <c r="AM888" s="559"/>
      <c r="AN888" s="559"/>
    </row>
    <row r="889">
      <c r="A889" s="559"/>
      <c r="B889" s="559"/>
      <c r="C889" s="559"/>
      <c r="D889" s="559"/>
      <c r="E889" s="559"/>
      <c r="F889" s="559"/>
      <c r="G889" s="559"/>
      <c r="H889" s="559"/>
      <c r="I889" s="559"/>
      <c r="J889" s="559"/>
      <c r="K889" s="559"/>
      <c r="L889" s="559"/>
      <c r="M889" s="559"/>
      <c r="N889" s="559"/>
      <c r="O889" s="559"/>
      <c r="P889" s="559"/>
      <c r="Q889" s="559"/>
      <c r="R889" s="559"/>
      <c r="S889" s="559"/>
      <c r="T889" s="559"/>
      <c r="U889" s="559"/>
      <c r="V889" s="559"/>
      <c r="W889" s="559"/>
      <c r="X889" s="559"/>
      <c r="Y889" s="559"/>
      <c r="Z889" s="559"/>
      <c r="AA889" s="559"/>
      <c r="AB889" s="559"/>
      <c r="AC889" s="559"/>
      <c r="AD889" s="559"/>
      <c r="AE889" s="559"/>
      <c r="AF889" s="559"/>
      <c r="AG889" s="559"/>
      <c r="AH889" s="559"/>
      <c r="AI889" s="559"/>
      <c r="AJ889" s="559"/>
      <c r="AK889" s="559"/>
      <c r="AL889" s="559"/>
      <c r="AM889" s="559"/>
      <c r="AN889" s="559"/>
    </row>
    <row r="890">
      <c r="A890" s="559"/>
      <c r="B890" s="559"/>
      <c r="C890" s="559"/>
      <c r="D890" s="559"/>
      <c r="E890" s="559"/>
      <c r="F890" s="559"/>
      <c r="G890" s="559"/>
      <c r="H890" s="559"/>
      <c r="I890" s="559"/>
      <c r="J890" s="559"/>
      <c r="K890" s="559"/>
      <c r="L890" s="559"/>
      <c r="M890" s="559"/>
      <c r="N890" s="559"/>
      <c r="O890" s="559"/>
      <c r="P890" s="559"/>
      <c r="Q890" s="559"/>
      <c r="R890" s="559"/>
      <c r="S890" s="559"/>
      <c r="T890" s="559"/>
      <c r="U890" s="559"/>
      <c r="V890" s="559"/>
      <c r="W890" s="559"/>
      <c r="X890" s="559"/>
      <c r="Y890" s="559"/>
      <c r="Z890" s="559"/>
      <c r="AA890" s="559"/>
      <c r="AB890" s="559"/>
      <c r="AC890" s="559"/>
      <c r="AD890" s="559"/>
      <c r="AE890" s="559"/>
      <c r="AF890" s="559"/>
      <c r="AG890" s="559"/>
      <c r="AH890" s="559"/>
      <c r="AI890" s="559"/>
      <c r="AJ890" s="559"/>
      <c r="AK890" s="559"/>
      <c r="AL890" s="559"/>
      <c r="AM890" s="559"/>
      <c r="AN890" s="559"/>
    </row>
    <row r="891">
      <c r="A891" s="559"/>
      <c r="B891" s="559"/>
      <c r="C891" s="559"/>
      <c r="D891" s="559"/>
      <c r="E891" s="559"/>
      <c r="F891" s="559"/>
      <c r="G891" s="559"/>
      <c r="H891" s="559"/>
      <c r="I891" s="559"/>
      <c r="J891" s="559"/>
      <c r="K891" s="559"/>
      <c r="L891" s="559"/>
      <c r="M891" s="559"/>
      <c r="N891" s="559"/>
      <c r="O891" s="559"/>
      <c r="P891" s="559"/>
      <c r="Q891" s="559"/>
      <c r="R891" s="559"/>
      <c r="S891" s="559"/>
      <c r="T891" s="559"/>
      <c r="U891" s="559"/>
      <c r="V891" s="559"/>
      <c r="W891" s="559"/>
      <c r="X891" s="559"/>
      <c r="Y891" s="559"/>
      <c r="Z891" s="559"/>
      <c r="AA891" s="559"/>
      <c r="AB891" s="559"/>
      <c r="AC891" s="559"/>
      <c r="AD891" s="559"/>
      <c r="AE891" s="559"/>
      <c r="AF891" s="559"/>
      <c r="AG891" s="559"/>
      <c r="AH891" s="559"/>
      <c r="AI891" s="559"/>
      <c r="AJ891" s="559"/>
      <c r="AK891" s="559"/>
      <c r="AL891" s="559"/>
      <c r="AM891" s="559"/>
      <c r="AN891" s="559"/>
    </row>
    <row r="892">
      <c r="A892" s="559"/>
      <c r="B892" s="559"/>
      <c r="C892" s="559"/>
      <c r="D892" s="559"/>
      <c r="E892" s="559"/>
      <c r="F892" s="559"/>
      <c r="G892" s="559"/>
      <c r="H892" s="559"/>
      <c r="I892" s="559"/>
      <c r="J892" s="559"/>
      <c r="K892" s="559"/>
      <c r="L892" s="559"/>
      <c r="M892" s="559"/>
      <c r="N892" s="559"/>
      <c r="O892" s="559"/>
      <c r="P892" s="559"/>
      <c r="Q892" s="559"/>
      <c r="R892" s="559"/>
      <c r="S892" s="559"/>
      <c r="T892" s="559"/>
      <c r="U892" s="559"/>
      <c r="V892" s="559"/>
      <c r="W892" s="559"/>
      <c r="X892" s="559"/>
      <c r="Y892" s="559"/>
      <c r="Z892" s="559"/>
      <c r="AA892" s="559"/>
      <c r="AB892" s="559"/>
      <c r="AC892" s="559"/>
      <c r="AD892" s="559"/>
      <c r="AE892" s="559"/>
      <c r="AF892" s="559"/>
      <c r="AG892" s="559"/>
      <c r="AH892" s="559"/>
      <c r="AI892" s="559"/>
      <c r="AJ892" s="559"/>
      <c r="AK892" s="559"/>
      <c r="AL892" s="559"/>
      <c r="AM892" s="559"/>
      <c r="AN892" s="559"/>
    </row>
    <row r="893">
      <c r="A893" s="559"/>
      <c r="B893" s="559"/>
      <c r="C893" s="559"/>
      <c r="D893" s="559"/>
      <c r="E893" s="559"/>
      <c r="F893" s="559"/>
      <c r="G893" s="559"/>
      <c r="H893" s="559"/>
      <c r="I893" s="559"/>
      <c r="J893" s="559"/>
      <c r="K893" s="559"/>
      <c r="L893" s="559"/>
      <c r="M893" s="559"/>
      <c r="N893" s="559"/>
      <c r="O893" s="559"/>
      <c r="P893" s="559"/>
      <c r="Q893" s="559"/>
      <c r="R893" s="559"/>
      <c r="S893" s="559"/>
      <c r="T893" s="559"/>
      <c r="U893" s="559"/>
      <c r="V893" s="559"/>
      <c r="W893" s="559"/>
      <c r="X893" s="559"/>
      <c r="Y893" s="559"/>
      <c r="Z893" s="559"/>
      <c r="AA893" s="559"/>
      <c r="AB893" s="559"/>
      <c r="AC893" s="559"/>
      <c r="AD893" s="559"/>
      <c r="AE893" s="559"/>
      <c r="AF893" s="559"/>
      <c r="AG893" s="559"/>
      <c r="AH893" s="559"/>
      <c r="AI893" s="559"/>
      <c r="AJ893" s="559"/>
      <c r="AK893" s="559"/>
      <c r="AL893" s="559"/>
      <c r="AM893" s="559"/>
      <c r="AN893" s="559"/>
    </row>
    <row r="894">
      <c r="A894" s="559"/>
      <c r="B894" s="559"/>
      <c r="C894" s="559"/>
      <c r="D894" s="559"/>
      <c r="E894" s="559"/>
      <c r="F894" s="559"/>
      <c r="G894" s="559"/>
      <c r="H894" s="559"/>
      <c r="I894" s="559"/>
      <c r="J894" s="559"/>
      <c r="K894" s="559"/>
      <c r="L894" s="559"/>
      <c r="M894" s="559"/>
      <c r="N894" s="559"/>
      <c r="O894" s="559"/>
      <c r="P894" s="559"/>
      <c r="Q894" s="559"/>
      <c r="R894" s="559"/>
      <c r="S894" s="559"/>
      <c r="T894" s="559"/>
      <c r="U894" s="559"/>
      <c r="V894" s="559"/>
      <c r="W894" s="559"/>
      <c r="X894" s="559"/>
      <c r="Y894" s="559"/>
      <c r="Z894" s="559"/>
      <c r="AA894" s="559"/>
      <c r="AB894" s="559"/>
      <c r="AC894" s="559"/>
      <c r="AD894" s="559"/>
      <c r="AE894" s="559"/>
      <c r="AF894" s="559"/>
      <c r="AG894" s="559"/>
      <c r="AH894" s="559"/>
      <c r="AI894" s="559"/>
      <c r="AJ894" s="559"/>
      <c r="AK894" s="559"/>
      <c r="AL894" s="559"/>
      <c r="AM894" s="559"/>
      <c r="AN894" s="559"/>
    </row>
    <row r="895">
      <c r="A895" s="559"/>
      <c r="B895" s="559"/>
      <c r="C895" s="559"/>
      <c r="D895" s="559"/>
      <c r="E895" s="559"/>
      <c r="F895" s="559"/>
      <c r="G895" s="559"/>
      <c r="H895" s="559"/>
      <c r="I895" s="559"/>
      <c r="J895" s="559"/>
      <c r="K895" s="559"/>
      <c r="L895" s="559"/>
      <c r="M895" s="559"/>
      <c r="N895" s="559"/>
      <c r="O895" s="559"/>
      <c r="P895" s="559"/>
      <c r="Q895" s="559"/>
      <c r="R895" s="559"/>
      <c r="S895" s="559"/>
      <c r="T895" s="559"/>
      <c r="U895" s="559"/>
      <c r="V895" s="559"/>
      <c r="W895" s="559"/>
      <c r="X895" s="559"/>
      <c r="Y895" s="559"/>
      <c r="Z895" s="559"/>
      <c r="AA895" s="559"/>
      <c r="AB895" s="559"/>
      <c r="AC895" s="559"/>
      <c r="AD895" s="559"/>
      <c r="AE895" s="559"/>
      <c r="AF895" s="559"/>
      <c r="AG895" s="559"/>
      <c r="AH895" s="559"/>
      <c r="AI895" s="559"/>
      <c r="AJ895" s="559"/>
      <c r="AK895" s="559"/>
      <c r="AL895" s="559"/>
      <c r="AM895" s="559"/>
      <c r="AN895" s="559"/>
    </row>
    <row r="896">
      <c r="A896" s="559"/>
      <c r="B896" s="559"/>
      <c r="C896" s="559"/>
      <c r="D896" s="559"/>
      <c r="E896" s="559"/>
      <c r="F896" s="559"/>
      <c r="G896" s="559"/>
      <c r="H896" s="559"/>
      <c r="I896" s="559"/>
      <c r="J896" s="559"/>
      <c r="K896" s="559"/>
      <c r="L896" s="559"/>
      <c r="M896" s="559"/>
      <c r="N896" s="559"/>
      <c r="O896" s="559"/>
      <c r="P896" s="559"/>
      <c r="Q896" s="559"/>
      <c r="R896" s="559"/>
      <c r="S896" s="559"/>
      <c r="T896" s="559"/>
      <c r="U896" s="559"/>
      <c r="V896" s="559"/>
      <c r="W896" s="559"/>
      <c r="X896" s="559"/>
      <c r="Y896" s="559"/>
      <c r="Z896" s="559"/>
      <c r="AA896" s="559"/>
      <c r="AB896" s="559"/>
      <c r="AC896" s="559"/>
      <c r="AD896" s="559"/>
      <c r="AE896" s="559"/>
      <c r="AF896" s="559"/>
      <c r="AG896" s="559"/>
      <c r="AH896" s="559"/>
      <c r="AI896" s="559"/>
      <c r="AJ896" s="559"/>
      <c r="AK896" s="559"/>
      <c r="AL896" s="559"/>
      <c r="AM896" s="559"/>
      <c r="AN896" s="559"/>
    </row>
    <row r="897">
      <c r="A897" s="559"/>
      <c r="B897" s="559"/>
      <c r="C897" s="559"/>
      <c r="D897" s="559"/>
      <c r="E897" s="559"/>
      <c r="F897" s="559"/>
      <c r="G897" s="559"/>
      <c r="H897" s="559"/>
      <c r="I897" s="559"/>
      <c r="J897" s="559"/>
      <c r="K897" s="559"/>
      <c r="L897" s="559"/>
      <c r="M897" s="559"/>
      <c r="N897" s="559"/>
      <c r="O897" s="559"/>
      <c r="P897" s="559"/>
      <c r="Q897" s="559"/>
      <c r="R897" s="559"/>
      <c r="S897" s="559"/>
      <c r="T897" s="559"/>
      <c r="U897" s="559"/>
      <c r="V897" s="559"/>
      <c r="W897" s="559"/>
      <c r="X897" s="559"/>
      <c r="Y897" s="559"/>
      <c r="Z897" s="559"/>
      <c r="AA897" s="559"/>
      <c r="AB897" s="559"/>
      <c r="AC897" s="559"/>
      <c r="AD897" s="559"/>
      <c r="AE897" s="559"/>
      <c r="AF897" s="559"/>
      <c r="AG897" s="559"/>
      <c r="AH897" s="559"/>
      <c r="AI897" s="559"/>
      <c r="AJ897" s="559"/>
      <c r="AK897" s="559"/>
      <c r="AL897" s="559"/>
      <c r="AM897" s="559"/>
      <c r="AN897" s="559"/>
    </row>
    <row r="898">
      <c r="A898" s="559"/>
      <c r="B898" s="559"/>
      <c r="C898" s="559"/>
      <c r="D898" s="559"/>
      <c r="E898" s="559"/>
      <c r="F898" s="559"/>
      <c r="G898" s="559"/>
      <c r="H898" s="559"/>
      <c r="I898" s="559"/>
      <c r="J898" s="559"/>
      <c r="K898" s="559"/>
      <c r="L898" s="559"/>
      <c r="M898" s="559"/>
      <c r="N898" s="559"/>
      <c r="O898" s="559"/>
      <c r="P898" s="559"/>
      <c r="Q898" s="559"/>
      <c r="R898" s="559"/>
      <c r="S898" s="559"/>
      <c r="T898" s="559"/>
      <c r="U898" s="559"/>
      <c r="V898" s="559"/>
      <c r="W898" s="559"/>
      <c r="X898" s="559"/>
      <c r="Y898" s="559"/>
      <c r="Z898" s="559"/>
      <c r="AA898" s="559"/>
      <c r="AB898" s="559"/>
      <c r="AC898" s="559"/>
      <c r="AD898" s="559"/>
      <c r="AE898" s="559"/>
      <c r="AF898" s="559"/>
      <c r="AG898" s="559"/>
      <c r="AH898" s="559"/>
      <c r="AI898" s="559"/>
      <c r="AJ898" s="559"/>
      <c r="AK898" s="559"/>
      <c r="AL898" s="559"/>
      <c r="AM898" s="559"/>
      <c r="AN898" s="559"/>
    </row>
    <row r="899">
      <c r="A899" s="559"/>
      <c r="B899" s="559"/>
      <c r="C899" s="559"/>
      <c r="D899" s="559"/>
      <c r="E899" s="559"/>
      <c r="F899" s="559"/>
      <c r="G899" s="559"/>
      <c r="H899" s="559"/>
      <c r="I899" s="559"/>
      <c r="J899" s="559"/>
      <c r="K899" s="559"/>
      <c r="L899" s="559"/>
      <c r="M899" s="559"/>
      <c r="N899" s="559"/>
      <c r="O899" s="559"/>
      <c r="P899" s="559"/>
      <c r="Q899" s="559"/>
      <c r="R899" s="559"/>
      <c r="S899" s="559"/>
      <c r="T899" s="559"/>
      <c r="U899" s="559"/>
      <c r="V899" s="559"/>
      <c r="W899" s="559"/>
      <c r="X899" s="559"/>
      <c r="Y899" s="559"/>
      <c r="Z899" s="559"/>
      <c r="AA899" s="559"/>
      <c r="AB899" s="559"/>
      <c r="AC899" s="559"/>
      <c r="AD899" s="559"/>
      <c r="AE899" s="559"/>
      <c r="AF899" s="559"/>
      <c r="AG899" s="559"/>
      <c r="AH899" s="559"/>
      <c r="AI899" s="559"/>
      <c r="AJ899" s="559"/>
      <c r="AK899" s="559"/>
      <c r="AL899" s="559"/>
      <c r="AM899" s="559"/>
      <c r="AN899" s="559"/>
    </row>
    <row r="900">
      <c r="A900" s="559"/>
      <c r="B900" s="559"/>
      <c r="C900" s="559"/>
      <c r="D900" s="559"/>
      <c r="E900" s="559"/>
      <c r="F900" s="559"/>
      <c r="G900" s="559"/>
      <c r="H900" s="559"/>
      <c r="I900" s="559"/>
      <c r="J900" s="559"/>
      <c r="K900" s="559"/>
      <c r="L900" s="559"/>
      <c r="M900" s="559"/>
      <c r="N900" s="559"/>
      <c r="O900" s="559"/>
      <c r="P900" s="559"/>
      <c r="Q900" s="559"/>
      <c r="R900" s="559"/>
      <c r="S900" s="559"/>
      <c r="T900" s="559"/>
      <c r="U900" s="559"/>
      <c r="V900" s="559"/>
      <c r="W900" s="559"/>
      <c r="X900" s="559"/>
      <c r="Y900" s="559"/>
      <c r="Z900" s="559"/>
      <c r="AA900" s="559"/>
      <c r="AB900" s="559"/>
      <c r="AC900" s="559"/>
      <c r="AD900" s="559"/>
      <c r="AE900" s="559"/>
      <c r="AF900" s="559"/>
      <c r="AG900" s="559"/>
      <c r="AH900" s="559"/>
      <c r="AI900" s="559"/>
      <c r="AJ900" s="559"/>
      <c r="AK900" s="559"/>
      <c r="AL900" s="559"/>
      <c r="AM900" s="559"/>
      <c r="AN900" s="559"/>
    </row>
    <row r="901">
      <c r="A901" s="559"/>
      <c r="B901" s="559"/>
      <c r="C901" s="559"/>
      <c r="D901" s="559"/>
      <c r="E901" s="559"/>
      <c r="F901" s="559"/>
      <c r="G901" s="559"/>
      <c r="H901" s="559"/>
      <c r="I901" s="559"/>
      <c r="J901" s="559"/>
      <c r="K901" s="559"/>
      <c r="L901" s="559"/>
      <c r="M901" s="559"/>
      <c r="N901" s="559"/>
      <c r="O901" s="559"/>
      <c r="P901" s="559"/>
      <c r="Q901" s="559"/>
      <c r="R901" s="559"/>
      <c r="S901" s="559"/>
      <c r="T901" s="559"/>
      <c r="U901" s="559"/>
      <c r="V901" s="559"/>
      <c r="W901" s="559"/>
      <c r="X901" s="559"/>
      <c r="Y901" s="559"/>
      <c r="Z901" s="559"/>
      <c r="AA901" s="559"/>
      <c r="AB901" s="559"/>
      <c r="AC901" s="559"/>
      <c r="AD901" s="559"/>
      <c r="AE901" s="559"/>
      <c r="AF901" s="559"/>
      <c r="AG901" s="559"/>
      <c r="AH901" s="559"/>
      <c r="AI901" s="559"/>
      <c r="AJ901" s="559"/>
      <c r="AK901" s="559"/>
      <c r="AL901" s="559"/>
      <c r="AM901" s="559"/>
      <c r="AN901" s="559"/>
    </row>
    <row r="902">
      <c r="A902" s="559"/>
      <c r="B902" s="559"/>
      <c r="C902" s="559"/>
      <c r="D902" s="559"/>
      <c r="E902" s="559"/>
      <c r="F902" s="559"/>
      <c r="G902" s="559"/>
      <c r="H902" s="559"/>
      <c r="I902" s="559"/>
      <c r="J902" s="559"/>
      <c r="K902" s="559"/>
      <c r="L902" s="559"/>
      <c r="M902" s="559"/>
      <c r="N902" s="559"/>
      <c r="O902" s="559"/>
      <c r="P902" s="559"/>
      <c r="Q902" s="559"/>
      <c r="R902" s="559"/>
      <c r="S902" s="559"/>
      <c r="T902" s="559"/>
      <c r="U902" s="559"/>
      <c r="V902" s="559"/>
      <c r="W902" s="559"/>
      <c r="X902" s="559"/>
      <c r="Y902" s="559"/>
      <c r="Z902" s="559"/>
      <c r="AA902" s="559"/>
      <c r="AB902" s="559"/>
      <c r="AC902" s="559"/>
      <c r="AD902" s="559"/>
      <c r="AE902" s="559"/>
      <c r="AF902" s="559"/>
      <c r="AG902" s="559"/>
      <c r="AH902" s="559"/>
      <c r="AI902" s="559"/>
      <c r="AJ902" s="559"/>
      <c r="AK902" s="559"/>
      <c r="AL902" s="559"/>
      <c r="AM902" s="559"/>
      <c r="AN902" s="559"/>
    </row>
    <row r="903">
      <c r="A903" s="559"/>
      <c r="B903" s="559"/>
      <c r="C903" s="559"/>
      <c r="D903" s="559"/>
      <c r="E903" s="559"/>
      <c r="F903" s="559"/>
      <c r="G903" s="559"/>
      <c r="H903" s="559"/>
      <c r="I903" s="559"/>
      <c r="J903" s="559"/>
      <c r="K903" s="559"/>
      <c r="L903" s="559"/>
      <c r="M903" s="559"/>
      <c r="N903" s="559"/>
      <c r="O903" s="559"/>
      <c r="P903" s="559"/>
      <c r="Q903" s="559"/>
      <c r="R903" s="559"/>
      <c r="S903" s="559"/>
      <c r="T903" s="559"/>
      <c r="U903" s="559"/>
      <c r="V903" s="559"/>
      <c r="W903" s="559"/>
      <c r="X903" s="559"/>
      <c r="Y903" s="559"/>
      <c r="Z903" s="559"/>
      <c r="AA903" s="559"/>
      <c r="AB903" s="559"/>
      <c r="AC903" s="559"/>
      <c r="AD903" s="559"/>
      <c r="AE903" s="559"/>
      <c r="AF903" s="559"/>
      <c r="AG903" s="559"/>
      <c r="AH903" s="559"/>
      <c r="AI903" s="559"/>
      <c r="AJ903" s="559"/>
      <c r="AK903" s="559"/>
      <c r="AL903" s="559"/>
      <c r="AM903" s="559"/>
      <c r="AN903" s="559"/>
    </row>
    <row r="904">
      <c r="A904" s="559"/>
      <c r="B904" s="559"/>
      <c r="C904" s="559"/>
      <c r="D904" s="559"/>
      <c r="E904" s="559"/>
      <c r="F904" s="559"/>
      <c r="G904" s="559"/>
      <c r="H904" s="559"/>
      <c r="I904" s="559"/>
      <c r="J904" s="559"/>
      <c r="K904" s="559"/>
      <c r="L904" s="559"/>
      <c r="M904" s="559"/>
      <c r="N904" s="559"/>
      <c r="O904" s="559"/>
      <c r="P904" s="559"/>
      <c r="Q904" s="559"/>
      <c r="R904" s="559"/>
      <c r="S904" s="559"/>
      <c r="T904" s="559"/>
      <c r="U904" s="559"/>
      <c r="V904" s="559"/>
      <c r="W904" s="559"/>
      <c r="X904" s="559"/>
      <c r="Y904" s="559"/>
      <c r="Z904" s="559"/>
      <c r="AA904" s="559"/>
      <c r="AB904" s="559"/>
      <c r="AC904" s="559"/>
      <c r="AD904" s="559"/>
      <c r="AE904" s="559"/>
      <c r="AF904" s="559"/>
      <c r="AG904" s="559"/>
      <c r="AH904" s="559"/>
      <c r="AI904" s="559"/>
      <c r="AJ904" s="559"/>
      <c r="AK904" s="559"/>
      <c r="AL904" s="559"/>
      <c r="AM904" s="559"/>
      <c r="AN904" s="559"/>
    </row>
    <row r="905">
      <c r="A905" s="559"/>
      <c r="B905" s="559"/>
      <c r="C905" s="559"/>
      <c r="D905" s="559"/>
      <c r="E905" s="559"/>
      <c r="F905" s="559"/>
      <c r="G905" s="559"/>
      <c r="H905" s="559"/>
      <c r="I905" s="559"/>
      <c r="J905" s="559"/>
      <c r="K905" s="559"/>
      <c r="L905" s="559"/>
      <c r="M905" s="559"/>
      <c r="N905" s="559"/>
      <c r="O905" s="559"/>
      <c r="P905" s="559"/>
      <c r="Q905" s="559"/>
      <c r="R905" s="559"/>
      <c r="S905" s="559"/>
      <c r="T905" s="559"/>
      <c r="U905" s="559"/>
      <c r="V905" s="559"/>
      <c r="W905" s="559"/>
      <c r="X905" s="559"/>
      <c r="Y905" s="559"/>
      <c r="Z905" s="559"/>
      <c r="AA905" s="559"/>
      <c r="AB905" s="559"/>
      <c r="AC905" s="559"/>
      <c r="AD905" s="559"/>
      <c r="AE905" s="559"/>
      <c r="AF905" s="559"/>
      <c r="AG905" s="559"/>
      <c r="AH905" s="559"/>
      <c r="AI905" s="559"/>
      <c r="AJ905" s="559"/>
      <c r="AK905" s="559"/>
      <c r="AL905" s="559"/>
      <c r="AM905" s="559"/>
      <c r="AN905" s="559"/>
    </row>
    <row r="906">
      <c r="A906" s="559"/>
      <c r="B906" s="559"/>
      <c r="C906" s="559"/>
      <c r="D906" s="559"/>
      <c r="E906" s="559"/>
      <c r="F906" s="559"/>
      <c r="G906" s="559"/>
      <c r="H906" s="559"/>
      <c r="I906" s="559"/>
      <c r="J906" s="559"/>
      <c r="K906" s="559"/>
      <c r="L906" s="559"/>
      <c r="M906" s="559"/>
      <c r="N906" s="559"/>
      <c r="O906" s="559"/>
      <c r="P906" s="559"/>
      <c r="Q906" s="559"/>
      <c r="R906" s="559"/>
      <c r="S906" s="559"/>
      <c r="T906" s="559"/>
      <c r="U906" s="559"/>
      <c r="V906" s="559"/>
      <c r="W906" s="559"/>
      <c r="X906" s="559"/>
      <c r="Y906" s="559"/>
      <c r="Z906" s="559"/>
      <c r="AA906" s="559"/>
      <c r="AB906" s="559"/>
      <c r="AC906" s="559"/>
      <c r="AD906" s="559"/>
      <c r="AE906" s="559"/>
      <c r="AF906" s="559"/>
      <c r="AG906" s="559"/>
      <c r="AH906" s="559"/>
      <c r="AI906" s="559"/>
      <c r="AJ906" s="559"/>
      <c r="AK906" s="559"/>
      <c r="AL906" s="559"/>
      <c r="AM906" s="559"/>
      <c r="AN906" s="559"/>
    </row>
    <row r="907">
      <c r="A907" s="559"/>
      <c r="B907" s="559"/>
      <c r="C907" s="559"/>
      <c r="D907" s="559"/>
      <c r="E907" s="559"/>
      <c r="F907" s="559"/>
      <c r="G907" s="559"/>
      <c r="H907" s="559"/>
      <c r="I907" s="559"/>
      <c r="J907" s="559"/>
      <c r="K907" s="559"/>
      <c r="L907" s="559"/>
      <c r="M907" s="559"/>
      <c r="N907" s="559"/>
      <c r="O907" s="559"/>
      <c r="P907" s="559"/>
      <c r="Q907" s="559"/>
      <c r="R907" s="559"/>
      <c r="S907" s="559"/>
      <c r="T907" s="559"/>
      <c r="U907" s="559"/>
      <c r="V907" s="559"/>
      <c r="W907" s="559"/>
      <c r="X907" s="559"/>
      <c r="Y907" s="559"/>
      <c r="Z907" s="559"/>
      <c r="AA907" s="559"/>
      <c r="AB907" s="559"/>
      <c r="AC907" s="559"/>
      <c r="AD907" s="559"/>
      <c r="AE907" s="559"/>
      <c r="AF907" s="559"/>
      <c r="AG907" s="559"/>
      <c r="AH907" s="559"/>
      <c r="AI907" s="559"/>
      <c r="AJ907" s="559"/>
      <c r="AK907" s="559"/>
      <c r="AL907" s="559"/>
      <c r="AM907" s="559"/>
      <c r="AN907" s="559"/>
    </row>
    <row r="908">
      <c r="A908" s="559"/>
      <c r="B908" s="559"/>
      <c r="C908" s="559"/>
      <c r="D908" s="559"/>
      <c r="E908" s="559"/>
      <c r="F908" s="559"/>
      <c r="G908" s="559"/>
      <c r="H908" s="559"/>
      <c r="I908" s="559"/>
      <c r="J908" s="559"/>
      <c r="K908" s="559"/>
      <c r="L908" s="559"/>
      <c r="M908" s="559"/>
      <c r="N908" s="559"/>
      <c r="O908" s="559"/>
      <c r="P908" s="559"/>
      <c r="Q908" s="559"/>
      <c r="R908" s="559"/>
      <c r="S908" s="559"/>
      <c r="T908" s="559"/>
      <c r="U908" s="559"/>
      <c r="V908" s="559"/>
      <c r="W908" s="559"/>
      <c r="X908" s="559"/>
      <c r="Y908" s="559"/>
      <c r="Z908" s="559"/>
      <c r="AA908" s="559"/>
      <c r="AB908" s="559"/>
      <c r="AC908" s="559"/>
      <c r="AD908" s="559"/>
      <c r="AE908" s="559"/>
      <c r="AF908" s="559"/>
      <c r="AG908" s="559"/>
      <c r="AH908" s="559"/>
      <c r="AI908" s="559"/>
      <c r="AJ908" s="559"/>
      <c r="AK908" s="559"/>
      <c r="AL908" s="559"/>
      <c r="AM908" s="559"/>
      <c r="AN908" s="559"/>
    </row>
    <row r="909">
      <c r="A909" s="559"/>
      <c r="B909" s="559"/>
      <c r="C909" s="559"/>
      <c r="D909" s="559"/>
      <c r="E909" s="559"/>
      <c r="F909" s="559"/>
      <c r="G909" s="559"/>
      <c r="H909" s="559"/>
      <c r="I909" s="559"/>
      <c r="J909" s="559"/>
      <c r="K909" s="559"/>
      <c r="L909" s="559"/>
      <c r="M909" s="559"/>
      <c r="N909" s="559"/>
      <c r="O909" s="559"/>
      <c r="P909" s="559"/>
      <c r="Q909" s="559"/>
      <c r="R909" s="559"/>
      <c r="S909" s="559"/>
      <c r="T909" s="559"/>
      <c r="U909" s="559"/>
      <c r="V909" s="559"/>
      <c r="W909" s="559"/>
      <c r="X909" s="559"/>
      <c r="Y909" s="559"/>
      <c r="Z909" s="559"/>
      <c r="AA909" s="559"/>
      <c r="AB909" s="559"/>
      <c r="AC909" s="559"/>
      <c r="AD909" s="559"/>
      <c r="AE909" s="559"/>
      <c r="AF909" s="559"/>
      <c r="AG909" s="559"/>
      <c r="AH909" s="559"/>
      <c r="AI909" s="559"/>
      <c r="AJ909" s="559"/>
      <c r="AK909" s="559"/>
      <c r="AL909" s="559"/>
      <c r="AM909" s="559"/>
      <c r="AN909" s="559"/>
    </row>
    <row r="910">
      <c r="A910" s="559"/>
      <c r="B910" s="559"/>
      <c r="C910" s="559"/>
      <c r="D910" s="559"/>
      <c r="E910" s="559"/>
      <c r="F910" s="559"/>
      <c r="G910" s="559"/>
      <c r="H910" s="559"/>
      <c r="I910" s="559"/>
      <c r="J910" s="559"/>
      <c r="K910" s="559"/>
      <c r="L910" s="559"/>
      <c r="M910" s="559"/>
      <c r="N910" s="559"/>
      <c r="O910" s="559"/>
      <c r="P910" s="559"/>
      <c r="Q910" s="559"/>
      <c r="R910" s="559"/>
      <c r="S910" s="559"/>
      <c r="T910" s="559"/>
      <c r="U910" s="559"/>
      <c r="V910" s="559"/>
      <c r="W910" s="559"/>
      <c r="X910" s="559"/>
      <c r="Y910" s="559"/>
      <c r="Z910" s="559"/>
      <c r="AA910" s="559"/>
      <c r="AB910" s="559"/>
      <c r="AC910" s="559"/>
      <c r="AD910" s="559"/>
      <c r="AE910" s="559"/>
      <c r="AF910" s="559"/>
      <c r="AG910" s="559"/>
      <c r="AH910" s="559"/>
      <c r="AI910" s="559"/>
      <c r="AJ910" s="559"/>
      <c r="AK910" s="559"/>
      <c r="AL910" s="559"/>
      <c r="AM910" s="559"/>
      <c r="AN910" s="559"/>
    </row>
    <row r="911">
      <c r="A911" s="559"/>
      <c r="B911" s="559"/>
      <c r="C911" s="559"/>
      <c r="D911" s="559"/>
      <c r="E911" s="559"/>
      <c r="F911" s="559"/>
      <c r="G911" s="559"/>
      <c r="H911" s="559"/>
      <c r="I911" s="559"/>
      <c r="J911" s="559"/>
      <c r="K911" s="559"/>
      <c r="L911" s="559"/>
      <c r="M911" s="559"/>
      <c r="N911" s="559"/>
      <c r="O911" s="559"/>
      <c r="P911" s="559"/>
      <c r="Q911" s="559"/>
      <c r="R911" s="559"/>
      <c r="S911" s="559"/>
      <c r="T911" s="559"/>
      <c r="U911" s="559"/>
      <c r="V911" s="559"/>
      <c r="W911" s="559"/>
      <c r="X911" s="559"/>
      <c r="Y911" s="559"/>
      <c r="Z911" s="559"/>
      <c r="AA911" s="559"/>
      <c r="AB911" s="559"/>
      <c r="AC911" s="559"/>
      <c r="AD911" s="559"/>
      <c r="AE911" s="559"/>
      <c r="AF911" s="559"/>
      <c r="AG911" s="559"/>
      <c r="AH911" s="559"/>
      <c r="AI911" s="559"/>
      <c r="AJ911" s="559"/>
      <c r="AK911" s="559"/>
      <c r="AL911" s="559"/>
      <c r="AM911" s="559"/>
      <c r="AN911" s="559"/>
    </row>
    <row r="912">
      <c r="A912" s="559"/>
      <c r="B912" s="559"/>
      <c r="C912" s="559"/>
      <c r="D912" s="559"/>
      <c r="E912" s="559"/>
      <c r="F912" s="559"/>
      <c r="G912" s="559"/>
      <c r="H912" s="559"/>
      <c r="I912" s="559"/>
      <c r="J912" s="559"/>
      <c r="K912" s="559"/>
      <c r="L912" s="559"/>
      <c r="M912" s="559"/>
      <c r="N912" s="559"/>
      <c r="O912" s="559"/>
      <c r="P912" s="559"/>
      <c r="Q912" s="559"/>
      <c r="R912" s="559"/>
      <c r="S912" s="559"/>
      <c r="T912" s="559"/>
      <c r="U912" s="559"/>
      <c r="V912" s="559"/>
      <c r="W912" s="559"/>
      <c r="X912" s="559"/>
      <c r="Y912" s="559"/>
      <c r="Z912" s="559"/>
      <c r="AA912" s="559"/>
      <c r="AB912" s="559"/>
      <c r="AC912" s="559"/>
      <c r="AD912" s="559"/>
      <c r="AE912" s="559"/>
      <c r="AF912" s="559"/>
      <c r="AG912" s="559"/>
      <c r="AH912" s="559"/>
      <c r="AI912" s="559"/>
      <c r="AJ912" s="559"/>
      <c r="AK912" s="559"/>
      <c r="AL912" s="559"/>
      <c r="AM912" s="559"/>
      <c r="AN912" s="559"/>
    </row>
    <row r="913">
      <c r="A913" s="559"/>
      <c r="B913" s="559"/>
      <c r="C913" s="559"/>
      <c r="D913" s="559"/>
      <c r="E913" s="559"/>
      <c r="F913" s="559"/>
      <c r="G913" s="559"/>
      <c r="H913" s="559"/>
      <c r="I913" s="559"/>
      <c r="J913" s="559"/>
      <c r="K913" s="559"/>
      <c r="L913" s="559"/>
      <c r="M913" s="559"/>
      <c r="N913" s="559"/>
      <c r="O913" s="559"/>
      <c r="P913" s="559"/>
      <c r="Q913" s="559"/>
      <c r="R913" s="559"/>
      <c r="S913" s="559"/>
      <c r="T913" s="559"/>
      <c r="U913" s="559"/>
      <c r="V913" s="559"/>
      <c r="W913" s="559"/>
      <c r="X913" s="559"/>
      <c r="Y913" s="559"/>
      <c r="Z913" s="559"/>
      <c r="AA913" s="559"/>
      <c r="AB913" s="559"/>
      <c r="AC913" s="559"/>
      <c r="AD913" s="559"/>
      <c r="AE913" s="559"/>
      <c r="AF913" s="559"/>
      <c r="AG913" s="559"/>
      <c r="AH913" s="559"/>
      <c r="AI913" s="559"/>
      <c r="AJ913" s="559"/>
      <c r="AK913" s="559"/>
      <c r="AL913" s="559"/>
      <c r="AM913" s="559"/>
      <c r="AN913" s="559"/>
    </row>
    <row r="914">
      <c r="A914" s="559"/>
      <c r="B914" s="559"/>
      <c r="C914" s="559"/>
      <c r="D914" s="559"/>
      <c r="E914" s="559"/>
      <c r="F914" s="559"/>
      <c r="G914" s="559"/>
      <c r="H914" s="559"/>
      <c r="I914" s="559"/>
      <c r="J914" s="559"/>
      <c r="K914" s="559"/>
      <c r="L914" s="559"/>
      <c r="M914" s="559"/>
      <c r="N914" s="559"/>
      <c r="O914" s="559"/>
      <c r="P914" s="559"/>
      <c r="Q914" s="559"/>
      <c r="R914" s="559"/>
      <c r="S914" s="559"/>
      <c r="T914" s="559"/>
      <c r="U914" s="559"/>
      <c r="V914" s="559"/>
      <c r="W914" s="559"/>
      <c r="X914" s="559"/>
      <c r="Y914" s="559"/>
      <c r="Z914" s="559"/>
      <c r="AA914" s="559"/>
      <c r="AB914" s="559"/>
      <c r="AC914" s="559"/>
      <c r="AD914" s="559"/>
      <c r="AE914" s="559"/>
      <c r="AF914" s="559"/>
      <c r="AG914" s="559"/>
      <c r="AH914" s="559"/>
      <c r="AI914" s="559"/>
      <c r="AJ914" s="559"/>
      <c r="AK914" s="559"/>
      <c r="AL914" s="559"/>
      <c r="AM914" s="559"/>
      <c r="AN914" s="559"/>
    </row>
    <row r="915">
      <c r="A915" s="559"/>
      <c r="B915" s="559"/>
      <c r="C915" s="559"/>
      <c r="D915" s="559"/>
      <c r="E915" s="559"/>
      <c r="F915" s="559"/>
      <c r="G915" s="559"/>
      <c r="H915" s="559"/>
      <c r="I915" s="559"/>
      <c r="J915" s="559"/>
      <c r="K915" s="559"/>
      <c r="L915" s="559"/>
      <c r="M915" s="559"/>
      <c r="N915" s="559"/>
      <c r="O915" s="559"/>
      <c r="P915" s="559"/>
      <c r="Q915" s="559"/>
      <c r="R915" s="559"/>
      <c r="S915" s="559"/>
      <c r="T915" s="559"/>
      <c r="U915" s="559"/>
      <c r="V915" s="559"/>
      <c r="W915" s="559"/>
      <c r="X915" s="559"/>
      <c r="Y915" s="559"/>
      <c r="Z915" s="559"/>
      <c r="AA915" s="559"/>
      <c r="AB915" s="559"/>
      <c r="AC915" s="559"/>
      <c r="AD915" s="559"/>
      <c r="AE915" s="559"/>
      <c r="AF915" s="559"/>
      <c r="AG915" s="559"/>
      <c r="AH915" s="559"/>
      <c r="AI915" s="559"/>
      <c r="AJ915" s="559"/>
      <c r="AK915" s="559"/>
      <c r="AL915" s="559"/>
      <c r="AM915" s="559"/>
      <c r="AN915" s="559"/>
    </row>
    <row r="916">
      <c r="A916" s="559"/>
      <c r="B916" s="559"/>
      <c r="C916" s="559"/>
      <c r="D916" s="559"/>
      <c r="E916" s="559"/>
      <c r="F916" s="559"/>
      <c r="G916" s="559"/>
      <c r="H916" s="559"/>
      <c r="I916" s="559"/>
      <c r="J916" s="559"/>
      <c r="K916" s="559"/>
      <c r="L916" s="559"/>
      <c r="M916" s="559"/>
      <c r="N916" s="559"/>
      <c r="O916" s="559"/>
      <c r="P916" s="559"/>
      <c r="Q916" s="559"/>
      <c r="R916" s="559"/>
      <c r="S916" s="559"/>
      <c r="T916" s="559"/>
      <c r="U916" s="559"/>
      <c r="V916" s="559"/>
      <c r="W916" s="559"/>
      <c r="X916" s="559"/>
      <c r="Y916" s="559"/>
      <c r="Z916" s="559"/>
      <c r="AA916" s="559"/>
      <c r="AB916" s="559"/>
      <c r="AC916" s="559"/>
      <c r="AD916" s="559"/>
      <c r="AE916" s="559"/>
      <c r="AF916" s="559"/>
      <c r="AG916" s="559"/>
      <c r="AH916" s="559"/>
      <c r="AI916" s="559"/>
      <c r="AJ916" s="559"/>
      <c r="AK916" s="559"/>
      <c r="AL916" s="559"/>
      <c r="AM916" s="559"/>
      <c r="AN916" s="559"/>
    </row>
    <row r="917">
      <c r="A917" s="559"/>
      <c r="B917" s="559"/>
      <c r="C917" s="559"/>
      <c r="D917" s="559"/>
      <c r="E917" s="559"/>
      <c r="F917" s="559"/>
      <c r="G917" s="559"/>
      <c r="H917" s="559"/>
      <c r="I917" s="559"/>
      <c r="J917" s="559"/>
      <c r="K917" s="559"/>
      <c r="L917" s="559"/>
      <c r="M917" s="559"/>
      <c r="N917" s="559"/>
      <c r="O917" s="559"/>
      <c r="P917" s="559"/>
      <c r="Q917" s="559"/>
      <c r="R917" s="559"/>
      <c r="S917" s="559"/>
      <c r="T917" s="559"/>
      <c r="U917" s="559"/>
      <c r="V917" s="559"/>
      <c r="W917" s="559"/>
      <c r="X917" s="559"/>
      <c r="Y917" s="559"/>
      <c r="Z917" s="559"/>
      <c r="AA917" s="559"/>
      <c r="AB917" s="559"/>
      <c r="AC917" s="559"/>
      <c r="AD917" s="559"/>
      <c r="AE917" s="559"/>
      <c r="AF917" s="559"/>
      <c r="AG917" s="559"/>
      <c r="AH917" s="559"/>
      <c r="AI917" s="559"/>
      <c r="AJ917" s="559"/>
      <c r="AK917" s="559"/>
      <c r="AL917" s="559"/>
      <c r="AM917" s="559"/>
      <c r="AN917" s="559"/>
    </row>
    <row r="918">
      <c r="A918" s="559"/>
      <c r="B918" s="559"/>
      <c r="C918" s="559"/>
      <c r="D918" s="559"/>
      <c r="E918" s="559"/>
      <c r="F918" s="559"/>
      <c r="G918" s="559"/>
      <c r="H918" s="559"/>
      <c r="I918" s="559"/>
      <c r="J918" s="559"/>
      <c r="K918" s="559"/>
      <c r="L918" s="559"/>
      <c r="M918" s="559"/>
      <c r="N918" s="559"/>
      <c r="O918" s="559"/>
      <c r="P918" s="559"/>
      <c r="Q918" s="559"/>
      <c r="R918" s="559"/>
      <c r="S918" s="559"/>
      <c r="T918" s="559"/>
      <c r="U918" s="559"/>
      <c r="V918" s="559"/>
      <c r="W918" s="559"/>
      <c r="X918" s="559"/>
      <c r="Y918" s="559"/>
      <c r="Z918" s="559"/>
      <c r="AA918" s="559"/>
      <c r="AB918" s="559"/>
      <c r="AC918" s="559"/>
      <c r="AD918" s="559"/>
      <c r="AE918" s="559"/>
      <c r="AF918" s="559"/>
      <c r="AG918" s="559"/>
      <c r="AH918" s="559"/>
      <c r="AI918" s="559"/>
      <c r="AJ918" s="559"/>
      <c r="AK918" s="559"/>
      <c r="AL918" s="559"/>
      <c r="AM918" s="559"/>
      <c r="AN918" s="559"/>
    </row>
    <row r="919">
      <c r="A919" s="559"/>
      <c r="B919" s="559"/>
      <c r="C919" s="559"/>
      <c r="D919" s="559"/>
      <c r="E919" s="559"/>
      <c r="F919" s="559"/>
      <c r="G919" s="559"/>
      <c r="H919" s="559"/>
      <c r="I919" s="559"/>
      <c r="J919" s="559"/>
      <c r="K919" s="559"/>
      <c r="L919" s="559"/>
      <c r="M919" s="559"/>
      <c r="N919" s="559"/>
      <c r="O919" s="559"/>
      <c r="P919" s="559"/>
      <c r="Q919" s="559"/>
      <c r="R919" s="559"/>
      <c r="S919" s="559"/>
      <c r="T919" s="559"/>
      <c r="U919" s="559"/>
      <c r="V919" s="559"/>
      <c r="W919" s="559"/>
      <c r="X919" s="559"/>
      <c r="Y919" s="559"/>
      <c r="Z919" s="559"/>
      <c r="AA919" s="559"/>
      <c r="AB919" s="559"/>
      <c r="AC919" s="559"/>
      <c r="AD919" s="559"/>
      <c r="AE919" s="559"/>
      <c r="AF919" s="559"/>
      <c r="AG919" s="559"/>
      <c r="AH919" s="559"/>
      <c r="AI919" s="559"/>
      <c r="AJ919" s="559"/>
      <c r="AK919" s="559"/>
      <c r="AL919" s="559"/>
      <c r="AM919" s="559"/>
      <c r="AN919" s="559"/>
    </row>
    <row r="920">
      <c r="A920" s="559"/>
      <c r="B920" s="559"/>
      <c r="C920" s="559"/>
      <c r="D920" s="559"/>
      <c r="E920" s="559"/>
      <c r="F920" s="559"/>
      <c r="G920" s="559"/>
      <c r="H920" s="559"/>
      <c r="I920" s="559"/>
      <c r="J920" s="559"/>
      <c r="K920" s="559"/>
      <c r="L920" s="559"/>
      <c r="M920" s="559"/>
      <c r="N920" s="559"/>
      <c r="O920" s="559"/>
      <c r="P920" s="559"/>
      <c r="Q920" s="559"/>
      <c r="R920" s="559"/>
      <c r="S920" s="559"/>
      <c r="T920" s="559"/>
      <c r="U920" s="559"/>
      <c r="V920" s="559"/>
      <c r="W920" s="559"/>
      <c r="X920" s="559"/>
      <c r="Y920" s="559"/>
      <c r="Z920" s="559"/>
      <c r="AA920" s="559"/>
      <c r="AB920" s="559"/>
      <c r="AC920" s="559"/>
      <c r="AD920" s="559"/>
      <c r="AE920" s="559"/>
      <c r="AF920" s="559"/>
      <c r="AG920" s="559"/>
      <c r="AH920" s="559"/>
      <c r="AI920" s="559"/>
      <c r="AJ920" s="559"/>
      <c r="AK920" s="559"/>
      <c r="AL920" s="559"/>
      <c r="AM920" s="559"/>
      <c r="AN920" s="559"/>
    </row>
    <row r="921">
      <c r="A921" s="559"/>
      <c r="B921" s="559"/>
      <c r="C921" s="559"/>
      <c r="D921" s="559"/>
      <c r="E921" s="559"/>
      <c r="F921" s="559"/>
      <c r="G921" s="559"/>
      <c r="H921" s="559"/>
      <c r="I921" s="559"/>
      <c r="J921" s="559"/>
      <c r="K921" s="559"/>
      <c r="L921" s="559"/>
      <c r="M921" s="559"/>
      <c r="N921" s="559"/>
      <c r="O921" s="559"/>
      <c r="P921" s="559"/>
      <c r="Q921" s="559"/>
      <c r="R921" s="559"/>
      <c r="S921" s="559"/>
      <c r="T921" s="559"/>
      <c r="U921" s="559"/>
      <c r="V921" s="559"/>
      <c r="W921" s="559"/>
      <c r="X921" s="559"/>
      <c r="Y921" s="559"/>
      <c r="Z921" s="559"/>
      <c r="AA921" s="559"/>
      <c r="AB921" s="559"/>
      <c r="AC921" s="559"/>
      <c r="AD921" s="559"/>
      <c r="AE921" s="559"/>
      <c r="AF921" s="559"/>
      <c r="AG921" s="559"/>
      <c r="AH921" s="559"/>
      <c r="AI921" s="559"/>
      <c r="AJ921" s="559"/>
      <c r="AK921" s="559"/>
      <c r="AL921" s="559"/>
      <c r="AM921" s="559"/>
      <c r="AN921" s="559"/>
    </row>
    <row r="922">
      <c r="A922" s="559"/>
      <c r="B922" s="559"/>
      <c r="C922" s="559"/>
      <c r="D922" s="559"/>
      <c r="E922" s="559"/>
      <c r="F922" s="559"/>
      <c r="G922" s="559"/>
      <c r="H922" s="559"/>
      <c r="I922" s="559"/>
      <c r="J922" s="559"/>
      <c r="K922" s="559"/>
      <c r="L922" s="559"/>
      <c r="M922" s="559"/>
      <c r="N922" s="559"/>
      <c r="O922" s="559"/>
      <c r="P922" s="559"/>
      <c r="Q922" s="559"/>
      <c r="R922" s="559"/>
      <c r="S922" s="559"/>
      <c r="T922" s="559"/>
      <c r="U922" s="559"/>
      <c r="V922" s="559"/>
      <c r="W922" s="559"/>
      <c r="X922" s="559"/>
      <c r="Y922" s="559"/>
      <c r="Z922" s="559"/>
      <c r="AA922" s="559"/>
      <c r="AB922" s="559"/>
      <c r="AC922" s="559"/>
      <c r="AD922" s="559"/>
      <c r="AE922" s="559"/>
      <c r="AF922" s="559"/>
      <c r="AG922" s="559"/>
      <c r="AH922" s="559"/>
      <c r="AI922" s="559"/>
      <c r="AJ922" s="559"/>
      <c r="AK922" s="559"/>
      <c r="AL922" s="559"/>
      <c r="AM922" s="559"/>
      <c r="AN922" s="559"/>
    </row>
    <row r="923">
      <c r="A923" s="559"/>
      <c r="B923" s="559"/>
      <c r="C923" s="559"/>
      <c r="D923" s="559"/>
      <c r="E923" s="559"/>
      <c r="F923" s="559"/>
      <c r="G923" s="559"/>
      <c r="H923" s="559"/>
      <c r="I923" s="559"/>
      <c r="J923" s="559"/>
      <c r="K923" s="559"/>
      <c r="L923" s="559"/>
      <c r="M923" s="559"/>
      <c r="N923" s="559"/>
      <c r="O923" s="559"/>
      <c r="P923" s="559"/>
      <c r="Q923" s="559"/>
      <c r="R923" s="559"/>
      <c r="S923" s="559"/>
      <c r="T923" s="559"/>
      <c r="U923" s="559"/>
      <c r="V923" s="559"/>
      <c r="W923" s="559"/>
      <c r="X923" s="559"/>
      <c r="Y923" s="559"/>
      <c r="Z923" s="559"/>
      <c r="AA923" s="559"/>
      <c r="AB923" s="559"/>
      <c r="AC923" s="559"/>
      <c r="AD923" s="559"/>
      <c r="AE923" s="559"/>
      <c r="AF923" s="559"/>
      <c r="AG923" s="559"/>
      <c r="AH923" s="559"/>
      <c r="AI923" s="559"/>
      <c r="AJ923" s="559"/>
      <c r="AK923" s="559"/>
      <c r="AL923" s="559"/>
      <c r="AM923" s="559"/>
      <c r="AN923" s="559"/>
    </row>
    <row r="924">
      <c r="A924" s="559"/>
      <c r="B924" s="559"/>
      <c r="C924" s="559"/>
      <c r="D924" s="559"/>
      <c r="E924" s="559"/>
      <c r="F924" s="559"/>
      <c r="G924" s="559"/>
      <c r="H924" s="559"/>
      <c r="I924" s="559"/>
      <c r="J924" s="559"/>
      <c r="K924" s="559"/>
      <c r="L924" s="559"/>
      <c r="M924" s="559"/>
      <c r="N924" s="559"/>
      <c r="O924" s="559"/>
      <c r="P924" s="559"/>
      <c r="Q924" s="559"/>
      <c r="R924" s="559"/>
      <c r="S924" s="559"/>
      <c r="T924" s="559"/>
      <c r="U924" s="559"/>
      <c r="V924" s="559"/>
      <c r="W924" s="559"/>
      <c r="X924" s="559"/>
      <c r="Y924" s="559"/>
      <c r="Z924" s="559"/>
      <c r="AA924" s="559"/>
      <c r="AB924" s="559"/>
      <c r="AC924" s="559"/>
      <c r="AD924" s="559"/>
      <c r="AE924" s="559"/>
      <c r="AF924" s="559"/>
      <c r="AG924" s="559"/>
      <c r="AH924" s="559"/>
      <c r="AI924" s="559"/>
      <c r="AJ924" s="559"/>
      <c r="AK924" s="559"/>
      <c r="AL924" s="559"/>
      <c r="AM924" s="559"/>
      <c r="AN924" s="559"/>
    </row>
    <row r="925">
      <c r="A925" s="559"/>
      <c r="B925" s="559"/>
      <c r="C925" s="559"/>
      <c r="D925" s="559"/>
      <c r="E925" s="559"/>
      <c r="F925" s="559"/>
      <c r="G925" s="559"/>
      <c r="H925" s="559"/>
      <c r="I925" s="559"/>
      <c r="J925" s="559"/>
      <c r="K925" s="559"/>
      <c r="L925" s="559"/>
      <c r="M925" s="559"/>
      <c r="N925" s="559"/>
      <c r="O925" s="559"/>
      <c r="P925" s="559"/>
      <c r="Q925" s="559"/>
      <c r="R925" s="559"/>
      <c r="S925" s="559"/>
      <c r="T925" s="559"/>
      <c r="U925" s="559"/>
      <c r="V925" s="559"/>
      <c r="W925" s="559"/>
      <c r="X925" s="559"/>
      <c r="Y925" s="559"/>
      <c r="Z925" s="559"/>
      <c r="AA925" s="559"/>
      <c r="AB925" s="559"/>
      <c r="AC925" s="559"/>
      <c r="AD925" s="559"/>
      <c r="AE925" s="559"/>
      <c r="AF925" s="559"/>
      <c r="AG925" s="559"/>
      <c r="AH925" s="559"/>
      <c r="AI925" s="559"/>
      <c r="AJ925" s="559"/>
      <c r="AK925" s="559"/>
      <c r="AL925" s="559"/>
      <c r="AM925" s="559"/>
      <c r="AN925" s="559"/>
    </row>
    <row r="926">
      <c r="A926" s="559"/>
      <c r="B926" s="559"/>
      <c r="C926" s="559"/>
      <c r="D926" s="559"/>
      <c r="E926" s="559"/>
      <c r="F926" s="559"/>
      <c r="G926" s="559"/>
      <c r="H926" s="559"/>
      <c r="I926" s="559"/>
      <c r="J926" s="559"/>
      <c r="K926" s="559"/>
      <c r="L926" s="559"/>
      <c r="M926" s="559"/>
      <c r="N926" s="559"/>
      <c r="O926" s="559"/>
      <c r="P926" s="559"/>
      <c r="Q926" s="559"/>
      <c r="R926" s="559"/>
      <c r="S926" s="559"/>
      <c r="T926" s="559"/>
      <c r="U926" s="559"/>
      <c r="V926" s="559"/>
      <c r="W926" s="559"/>
      <c r="X926" s="559"/>
      <c r="Y926" s="559"/>
      <c r="Z926" s="559"/>
      <c r="AA926" s="559"/>
      <c r="AB926" s="559"/>
      <c r="AC926" s="559"/>
      <c r="AD926" s="559"/>
      <c r="AE926" s="559"/>
      <c r="AF926" s="559"/>
      <c r="AG926" s="559"/>
      <c r="AH926" s="559"/>
      <c r="AI926" s="559"/>
      <c r="AJ926" s="559"/>
      <c r="AK926" s="559"/>
      <c r="AL926" s="559"/>
      <c r="AM926" s="559"/>
      <c r="AN926" s="559"/>
    </row>
    <row r="927">
      <c r="A927" s="559"/>
      <c r="B927" s="559"/>
      <c r="C927" s="559"/>
      <c r="D927" s="559"/>
      <c r="E927" s="559"/>
      <c r="F927" s="559"/>
      <c r="G927" s="559"/>
      <c r="H927" s="559"/>
      <c r="I927" s="559"/>
      <c r="J927" s="559"/>
      <c r="K927" s="559"/>
      <c r="L927" s="559"/>
      <c r="M927" s="559"/>
      <c r="N927" s="559"/>
      <c r="O927" s="559"/>
      <c r="P927" s="559"/>
      <c r="Q927" s="559"/>
      <c r="R927" s="559"/>
      <c r="S927" s="559"/>
      <c r="T927" s="559"/>
      <c r="U927" s="559"/>
      <c r="V927" s="559"/>
      <c r="W927" s="559"/>
      <c r="X927" s="559"/>
      <c r="Y927" s="559"/>
      <c r="Z927" s="559"/>
      <c r="AA927" s="559"/>
      <c r="AB927" s="559"/>
      <c r="AC927" s="559"/>
      <c r="AD927" s="559"/>
      <c r="AE927" s="559"/>
      <c r="AF927" s="559"/>
      <c r="AG927" s="559"/>
      <c r="AH927" s="559"/>
      <c r="AI927" s="559"/>
      <c r="AJ927" s="559"/>
      <c r="AK927" s="559"/>
      <c r="AL927" s="559"/>
      <c r="AM927" s="559"/>
      <c r="AN927" s="559"/>
    </row>
    <row r="928">
      <c r="A928" s="559"/>
      <c r="B928" s="559"/>
      <c r="C928" s="559"/>
      <c r="D928" s="559"/>
      <c r="E928" s="559"/>
      <c r="F928" s="559"/>
      <c r="G928" s="559"/>
      <c r="H928" s="559"/>
      <c r="I928" s="559"/>
      <c r="J928" s="559"/>
      <c r="K928" s="559"/>
      <c r="L928" s="559"/>
      <c r="M928" s="559"/>
      <c r="N928" s="559"/>
      <c r="O928" s="559"/>
      <c r="P928" s="559"/>
      <c r="Q928" s="559"/>
      <c r="R928" s="559"/>
      <c r="S928" s="559"/>
      <c r="T928" s="559"/>
      <c r="U928" s="559"/>
      <c r="V928" s="559"/>
      <c r="W928" s="559"/>
      <c r="X928" s="559"/>
      <c r="Y928" s="559"/>
      <c r="Z928" s="559"/>
      <c r="AA928" s="559"/>
      <c r="AB928" s="559"/>
      <c r="AC928" s="559"/>
      <c r="AD928" s="559"/>
      <c r="AE928" s="559"/>
      <c r="AF928" s="559"/>
      <c r="AG928" s="559"/>
      <c r="AH928" s="559"/>
      <c r="AI928" s="559"/>
      <c r="AJ928" s="559"/>
      <c r="AK928" s="559"/>
      <c r="AL928" s="559"/>
      <c r="AM928" s="559"/>
      <c r="AN928" s="559"/>
    </row>
    <row r="929">
      <c r="A929" s="559"/>
      <c r="B929" s="559"/>
      <c r="C929" s="559"/>
      <c r="D929" s="559"/>
      <c r="E929" s="559"/>
      <c r="F929" s="559"/>
      <c r="G929" s="559"/>
      <c r="H929" s="559"/>
      <c r="I929" s="559"/>
      <c r="J929" s="559"/>
      <c r="K929" s="559"/>
      <c r="L929" s="559"/>
      <c r="M929" s="559"/>
      <c r="N929" s="559"/>
      <c r="O929" s="559"/>
      <c r="P929" s="559"/>
      <c r="Q929" s="559"/>
      <c r="R929" s="559"/>
      <c r="S929" s="559"/>
      <c r="T929" s="559"/>
      <c r="U929" s="559"/>
      <c r="V929" s="559"/>
      <c r="W929" s="559"/>
      <c r="X929" s="559"/>
      <c r="Y929" s="559"/>
      <c r="Z929" s="559"/>
      <c r="AA929" s="559"/>
      <c r="AB929" s="559"/>
      <c r="AC929" s="559"/>
      <c r="AD929" s="559"/>
      <c r="AE929" s="559"/>
      <c r="AF929" s="559"/>
      <c r="AG929" s="559"/>
      <c r="AH929" s="559"/>
      <c r="AI929" s="559"/>
      <c r="AJ929" s="559"/>
      <c r="AK929" s="559"/>
      <c r="AL929" s="559"/>
      <c r="AM929" s="559"/>
      <c r="AN929" s="559"/>
    </row>
    <row r="930">
      <c r="A930" s="559"/>
      <c r="B930" s="559"/>
      <c r="C930" s="559"/>
      <c r="D930" s="559"/>
      <c r="E930" s="559"/>
      <c r="F930" s="559"/>
      <c r="G930" s="559"/>
      <c r="H930" s="559"/>
      <c r="I930" s="559"/>
      <c r="J930" s="559"/>
      <c r="K930" s="559"/>
      <c r="L930" s="559"/>
      <c r="M930" s="559"/>
      <c r="N930" s="559"/>
      <c r="O930" s="559"/>
      <c r="P930" s="559"/>
      <c r="Q930" s="559"/>
      <c r="R930" s="559"/>
      <c r="S930" s="559"/>
      <c r="T930" s="559"/>
      <c r="U930" s="559"/>
      <c r="V930" s="559"/>
      <c r="W930" s="559"/>
      <c r="X930" s="559"/>
      <c r="Y930" s="559"/>
      <c r="Z930" s="559"/>
      <c r="AA930" s="559"/>
      <c r="AB930" s="559"/>
      <c r="AC930" s="559"/>
      <c r="AD930" s="559"/>
      <c r="AE930" s="559"/>
      <c r="AF930" s="559"/>
      <c r="AG930" s="559"/>
      <c r="AH930" s="559"/>
      <c r="AI930" s="559"/>
      <c r="AJ930" s="559"/>
      <c r="AK930" s="559"/>
      <c r="AL930" s="559"/>
      <c r="AM930" s="559"/>
      <c r="AN930" s="559"/>
    </row>
    <row r="931">
      <c r="A931" s="559"/>
      <c r="B931" s="559"/>
      <c r="C931" s="559"/>
      <c r="D931" s="559"/>
      <c r="E931" s="559"/>
      <c r="F931" s="559"/>
      <c r="G931" s="559"/>
      <c r="H931" s="559"/>
      <c r="I931" s="559"/>
      <c r="J931" s="559"/>
      <c r="K931" s="559"/>
      <c r="L931" s="559"/>
      <c r="M931" s="559"/>
      <c r="N931" s="559"/>
      <c r="O931" s="559"/>
      <c r="P931" s="559"/>
      <c r="Q931" s="559"/>
      <c r="R931" s="559"/>
      <c r="S931" s="559"/>
      <c r="T931" s="559"/>
      <c r="U931" s="559"/>
      <c r="V931" s="559"/>
      <c r="W931" s="559"/>
      <c r="X931" s="559"/>
      <c r="Y931" s="559"/>
      <c r="Z931" s="559"/>
      <c r="AA931" s="559"/>
      <c r="AB931" s="559"/>
      <c r="AC931" s="559"/>
      <c r="AD931" s="559"/>
      <c r="AE931" s="559"/>
      <c r="AF931" s="559"/>
      <c r="AG931" s="559"/>
      <c r="AH931" s="559"/>
      <c r="AI931" s="559"/>
      <c r="AJ931" s="559"/>
      <c r="AK931" s="559"/>
      <c r="AL931" s="559"/>
      <c r="AM931" s="559"/>
      <c r="AN931" s="559"/>
    </row>
    <row r="932">
      <c r="A932" s="559"/>
      <c r="B932" s="559"/>
      <c r="C932" s="559"/>
      <c r="D932" s="559"/>
      <c r="E932" s="559"/>
      <c r="F932" s="559"/>
      <c r="G932" s="559"/>
      <c r="H932" s="559"/>
      <c r="I932" s="559"/>
      <c r="J932" s="559"/>
      <c r="K932" s="559"/>
      <c r="L932" s="559"/>
      <c r="M932" s="559"/>
      <c r="N932" s="559"/>
      <c r="O932" s="559"/>
      <c r="P932" s="559"/>
      <c r="Q932" s="559"/>
      <c r="R932" s="559"/>
      <c r="S932" s="559"/>
      <c r="T932" s="559"/>
      <c r="U932" s="559"/>
      <c r="V932" s="559"/>
      <c r="W932" s="559"/>
      <c r="X932" s="559"/>
      <c r="Y932" s="559"/>
      <c r="Z932" s="559"/>
      <c r="AA932" s="559"/>
      <c r="AB932" s="559"/>
      <c r="AC932" s="559"/>
      <c r="AD932" s="559"/>
      <c r="AE932" s="559"/>
      <c r="AF932" s="559"/>
      <c r="AG932" s="559"/>
      <c r="AH932" s="559"/>
      <c r="AI932" s="559"/>
      <c r="AJ932" s="559"/>
      <c r="AK932" s="559"/>
      <c r="AL932" s="559"/>
      <c r="AM932" s="559"/>
      <c r="AN932" s="559"/>
    </row>
    <row r="933">
      <c r="A933" s="559"/>
      <c r="B933" s="559"/>
      <c r="C933" s="559"/>
      <c r="D933" s="559"/>
      <c r="E933" s="559"/>
      <c r="F933" s="559"/>
      <c r="G933" s="559"/>
      <c r="H933" s="559"/>
      <c r="I933" s="559"/>
      <c r="J933" s="559"/>
      <c r="K933" s="559"/>
      <c r="L933" s="559"/>
      <c r="M933" s="559"/>
      <c r="N933" s="559"/>
      <c r="O933" s="559"/>
      <c r="P933" s="559"/>
      <c r="Q933" s="559"/>
      <c r="R933" s="559"/>
      <c r="S933" s="559"/>
      <c r="T933" s="559"/>
      <c r="U933" s="559"/>
      <c r="V933" s="559"/>
      <c r="W933" s="559"/>
      <c r="X933" s="559"/>
      <c r="Y933" s="559"/>
      <c r="Z933" s="559"/>
      <c r="AA933" s="559"/>
      <c r="AB933" s="559"/>
      <c r="AC933" s="559"/>
      <c r="AD933" s="559"/>
      <c r="AE933" s="559"/>
      <c r="AF933" s="559"/>
      <c r="AG933" s="559"/>
      <c r="AH933" s="559"/>
      <c r="AI933" s="559"/>
      <c r="AJ933" s="559"/>
      <c r="AK933" s="559"/>
      <c r="AL933" s="559"/>
      <c r="AM933" s="559"/>
      <c r="AN933" s="559"/>
    </row>
    <row r="934">
      <c r="A934" s="559"/>
      <c r="B934" s="559"/>
      <c r="C934" s="559"/>
      <c r="D934" s="559"/>
      <c r="E934" s="559"/>
      <c r="F934" s="559"/>
      <c r="G934" s="559"/>
      <c r="H934" s="559"/>
      <c r="I934" s="559"/>
      <c r="J934" s="559"/>
      <c r="K934" s="559"/>
      <c r="L934" s="559"/>
      <c r="M934" s="559"/>
      <c r="N934" s="559"/>
      <c r="O934" s="559"/>
      <c r="P934" s="559"/>
      <c r="Q934" s="559"/>
      <c r="R934" s="559"/>
      <c r="S934" s="559"/>
      <c r="T934" s="559"/>
      <c r="U934" s="559"/>
      <c r="V934" s="559"/>
      <c r="W934" s="559"/>
      <c r="X934" s="559"/>
      <c r="Y934" s="559"/>
      <c r="Z934" s="559"/>
      <c r="AA934" s="559"/>
      <c r="AB934" s="559"/>
      <c r="AC934" s="559"/>
      <c r="AD934" s="559"/>
      <c r="AE934" s="559"/>
      <c r="AF934" s="559"/>
      <c r="AG934" s="559"/>
      <c r="AH934" s="559"/>
      <c r="AI934" s="559"/>
      <c r="AJ934" s="559"/>
      <c r="AK934" s="559"/>
      <c r="AL934" s="559"/>
      <c r="AM934" s="559"/>
      <c r="AN934" s="559"/>
    </row>
    <row r="935">
      <c r="A935" s="559"/>
      <c r="B935" s="559"/>
      <c r="C935" s="559"/>
      <c r="D935" s="559"/>
      <c r="E935" s="559"/>
      <c r="F935" s="559"/>
      <c r="G935" s="559"/>
      <c r="H935" s="559"/>
      <c r="I935" s="559"/>
      <c r="J935" s="559"/>
      <c r="K935" s="559"/>
      <c r="L935" s="559"/>
      <c r="M935" s="559"/>
      <c r="N935" s="559"/>
      <c r="O935" s="559"/>
      <c r="P935" s="559"/>
      <c r="Q935" s="559"/>
      <c r="R935" s="559"/>
      <c r="S935" s="559"/>
      <c r="T935" s="559"/>
      <c r="U935" s="559"/>
      <c r="V935" s="559"/>
      <c r="W935" s="559"/>
      <c r="X935" s="559"/>
      <c r="Y935" s="559"/>
      <c r="Z935" s="559"/>
      <c r="AA935" s="559"/>
      <c r="AB935" s="559"/>
      <c r="AC935" s="559"/>
      <c r="AD935" s="559"/>
      <c r="AE935" s="559"/>
      <c r="AF935" s="559"/>
      <c r="AG935" s="559"/>
      <c r="AH935" s="559"/>
      <c r="AI935" s="559"/>
      <c r="AJ935" s="559"/>
      <c r="AK935" s="559"/>
      <c r="AL935" s="559"/>
      <c r="AM935" s="559"/>
      <c r="AN935" s="559"/>
    </row>
    <row r="936">
      <c r="A936" s="559"/>
      <c r="B936" s="559"/>
      <c r="C936" s="559"/>
      <c r="D936" s="559"/>
      <c r="E936" s="559"/>
      <c r="F936" s="559"/>
      <c r="G936" s="559"/>
      <c r="H936" s="559"/>
      <c r="I936" s="559"/>
      <c r="J936" s="559"/>
      <c r="K936" s="559"/>
      <c r="L936" s="559"/>
      <c r="M936" s="559"/>
      <c r="N936" s="559"/>
      <c r="O936" s="559"/>
      <c r="P936" s="559"/>
      <c r="Q936" s="559"/>
      <c r="R936" s="559"/>
      <c r="S936" s="559"/>
      <c r="T936" s="559"/>
      <c r="U936" s="559"/>
      <c r="V936" s="559"/>
      <c r="W936" s="559"/>
      <c r="X936" s="559"/>
      <c r="Y936" s="559"/>
      <c r="Z936" s="559"/>
      <c r="AA936" s="559"/>
      <c r="AB936" s="559"/>
      <c r="AC936" s="559"/>
      <c r="AD936" s="559"/>
      <c r="AE936" s="559"/>
      <c r="AF936" s="559"/>
      <c r="AG936" s="559"/>
      <c r="AH936" s="559"/>
      <c r="AI936" s="559"/>
      <c r="AJ936" s="559"/>
      <c r="AK936" s="559"/>
      <c r="AL936" s="559"/>
      <c r="AM936" s="559"/>
      <c r="AN936" s="559"/>
    </row>
    <row r="937">
      <c r="A937" s="559"/>
      <c r="B937" s="559"/>
      <c r="C937" s="559"/>
      <c r="D937" s="559"/>
      <c r="E937" s="559"/>
      <c r="F937" s="559"/>
      <c r="G937" s="559"/>
      <c r="H937" s="559"/>
      <c r="I937" s="559"/>
      <c r="J937" s="559"/>
      <c r="K937" s="559"/>
      <c r="L937" s="559"/>
      <c r="M937" s="559"/>
      <c r="N937" s="559"/>
      <c r="O937" s="559"/>
      <c r="P937" s="559"/>
      <c r="Q937" s="559"/>
      <c r="R937" s="559"/>
      <c r="S937" s="559"/>
      <c r="T937" s="559"/>
      <c r="U937" s="559"/>
      <c r="V937" s="559"/>
      <c r="W937" s="559"/>
      <c r="X937" s="559"/>
      <c r="Y937" s="559"/>
      <c r="Z937" s="559"/>
      <c r="AA937" s="559"/>
      <c r="AB937" s="559"/>
      <c r="AC937" s="559"/>
      <c r="AD937" s="559"/>
      <c r="AE937" s="559"/>
      <c r="AF937" s="559"/>
      <c r="AG937" s="559"/>
      <c r="AH937" s="559"/>
      <c r="AI937" s="559"/>
      <c r="AJ937" s="559"/>
      <c r="AK937" s="559"/>
      <c r="AL937" s="559"/>
      <c r="AM937" s="559"/>
      <c r="AN937" s="559"/>
    </row>
    <row r="938">
      <c r="A938" s="559"/>
      <c r="B938" s="559"/>
      <c r="C938" s="559"/>
      <c r="D938" s="559"/>
      <c r="E938" s="559"/>
      <c r="F938" s="559"/>
      <c r="G938" s="559"/>
      <c r="H938" s="559"/>
      <c r="I938" s="559"/>
      <c r="J938" s="559"/>
      <c r="K938" s="559"/>
      <c r="L938" s="559"/>
      <c r="M938" s="559"/>
      <c r="N938" s="559"/>
      <c r="O938" s="559"/>
      <c r="P938" s="559"/>
      <c r="Q938" s="559"/>
      <c r="R938" s="559"/>
      <c r="S938" s="559"/>
      <c r="T938" s="559"/>
      <c r="U938" s="559"/>
      <c r="V938" s="559"/>
      <c r="W938" s="559"/>
      <c r="X938" s="559"/>
      <c r="Y938" s="559"/>
      <c r="Z938" s="559"/>
      <c r="AA938" s="559"/>
      <c r="AB938" s="559"/>
      <c r="AC938" s="559"/>
      <c r="AD938" s="559"/>
      <c r="AE938" s="559"/>
      <c r="AF938" s="559"/>
      <c r="AG938" s="559"/>
      <c r="AH938" s="559"/>
      <c r="AI938" s="559"/>
      <c r="AJ938" s="559"/>
      <c r="AK938" s="559"/>
      <c r="AL938" s="559"/>
      <c r="AM938" s="559"/>
      <c r="AN938" s="559"/>
    </row>
    <row r="939">
      <c r="A939" s="559"/>
      <c r="B939" s="559"/>
      <c r="C939" s="559"/>
      <c r="D939" s="559"/>
      <c r="E939" s="559"/>
      <c r="F939" s="559"/>
      <c r="G939" s="559"/>
      <c r="H939" s="559"/>
      <c r="I939" s="559"/>
      <c r="J939" s="559"/>
      <c r="K939" s="559"/>
      <c r="L939" s="559"/>
      <c r="M939" s="559"/>
      <c r="N939" s="559"/>
      <c r="O939" s="559"/>
      <c r="P939" s="559"/>
      <c r="Q939" s="559"/>
      <c r="R939" s="559"/>
      <c r="S939" s="559"/>
      <c r="T939" s="559"/>
      <c r="U939" s="559"/>
      <c r="V939" s="559"/>
      <c r="W939" s="559"/>
      <c r="X939" s="559"/>
      <c r="Y939" s="559"/>
      <c r="Z939" s="559"/>
      <c r="AA939" s="559"/>
      <c r="AB939" s="559"/>
      <c r="AC939" s="559"/>
      <c r="AD939" s="559"/>
      <c r="AE939" s="559"/>
      <c r="AF939" s="559"/>
      <c r="AG939" s="559"/>
      <c r="AH939" s="559"/>
      <c r="AI939" s="559"/>
      <c r="AJ939" s="559"/>
      <c r="AK939" s="559"/>
      <c r="AL939" s="559"/>
      <c r="AM939" s="559"/>
      <c r="AN939" s="559"/>
    </row>
    <row r="940">
      <c r="A940" s="559"/>
      <c r="B940" s="559"/>
      <c r="C940" s="559"/>
      <c r="D940" s="559"/>
      <c r="E940" s="559"/>
      <c r="F940" s="559"/>
      <c r="G940" s="559"/>
      <c r="H940" s="559"/>
      <c r="I940" s="559"/>
      <c r="J940" s="559"/>
      <c r="K940" s="559"/>
      <c r="L940" s="559"/>
      <c r="M940" s="559"/>
      <c r="N940" s="559"/>
      <c r="O940" s="559"/>
      <c r="P940" s="559"/>
      <c r="Q940" s="559"/>
      <c r="R940" s="559"/>
      <c r="S940" s="559"/>
      <c r="T940" s="559"/>
      <c r="U940" s="559"/>
      <c r="V940" s="559"/>
      <c r="W940" s="559"/>
      <c r="X940" s="559"/>
      <c r="Y940" s="559"/>
      <c r="Z940" s="559"/>
      <c r="AA940" s="559"/>
      <c r="AB940" s="559"/>
      <c r="AC940" s="559"/>
      <c r="AD940" s="559"/>
      <c r="AE940" s="559"/>
      <c r="AF940" s="559"/>
      <c r="AG940" s="559"/>
      <c r="AH940" s="559"/>
      <c r="AI940" s="559"/>
      <c r="AJ940" s="559"/>
      <c r="AK940" s="559"/>
      <c r="AL940" s="559"/>
      <c r="AM940" s="559"/>
      <c r="AN940" s="559"/>
    </row>
    <row r="941">
      <c r="A941" s="559"/>
      <c r="B941" s="559"/>
      <c r="C941" s="559"/>
      <c r="D941" s="559"/>
      <c r="E941" s="559"/>
      <c r="F941" s="559"/>
      <c r="G941" s="559"/>
      <c r="H941" s="559"/>
      <c r="I941" s="559"/>
      <c r="J941" s="559"/>
      <c r="K941" s="559"/>
      <c r="L941" s="559"/>
      <c r="M941" s="559"/>
      <c r="N941" s="559"/>
      <c r="O941" s="559"/>
      <c r="P941" s="559"/>
      <c r="Q941" s="559"/>
      <c r="R941" s="559"/>
      <c r="S941" s="559"/>
      <c r="T941" s="559"/>
      <c r="U941" s="559"/>
      <c r="V941" s="559"/>
      <c r="W941" s="559"/>
      <c r="X941" s="559"/>
      <c r="Y941" s="559"/>
      <c r="Z941" s="559"/>
      <c r="AA941" s="559"/>
      <c r="AB941" s="559"/>
      <c r="AC941" s="559"/>
      <c r="AD941" s="559"/>
      <c r="AE941" s="559"/>
      <c r="AF941" s="559"/>
      <c r="AG941" s="559"/>
      <c r="AH941" s="559"/>
      <c r="AI941" s="559"/>
      <c r="AJ941" s="559"/>
      <c r="AK941" s="559"/>
      <c r="AL941" s="559"/>
      <c r="AM941" s="559"/>
      <c r="AN941" s="559"/>
    </row>
    <row r="942">
      <c r="A942" s="559"/>
      <c r="B942" s="559"/>
      <c r="C942" s="559"/>
      <c r="D942" s="559"/>
      <c r="E942" s="559"/>
      <c r="F942" s="559"/>
      <c r="G942" s="559"/>
      <c r="H942" s="559"/>
      <c r="I942" s="559"/>
      <c r="J942" s="559"/>
      <c r="K942" s="559"/>
      <c r="L942" s="559"/>
      <c r="M942" s="559"/>
      <c r="N942" s="559"/>
      <c r="O942" s="559"/>
      <c r="P942" s="559"/>
      <c r="Q942" s="559"/>
      <c r="R942" s="559"/>
      <c r="S942" s="559"/>
      <c r="T942" s="559"/>
      <c r="U942" s="559"/>
      <c r="V942" s="559"/>
      <c r="W942" s="559"/>
      <c r="X942" s="559"/>
      <c r="Y942" s="559"/>
      <c r="Z942" s="559"/>
      <c r="AA942" s="559"/>
      <c r="AB942" s="559"/>
      <c r="AC942" s="559"/>
      <c r="AD942" s="559"/>
      <c r="AE942" s="559"/>
      <c r="AF942" s="559"/>
      <c r="AG942" s="559"/>
      <c r="AH942" s="559"/>
      <c r="AI942" s="559"/>
      <c r="AJ942" s="559"/>
      <c r="AK942" s="559"/>
      <c r="AL942" s="559"/>
      <c r="AM942" s="559"/>
      <c r="AN942" s="559"/>
    </row>
    <row r="943">
      <c r="A943" s="559"/>
      <c r="B943" s="559"/>
      <c r="C943" s="559"/>
      <c r="D943" s="559"/>
      <c r="E943" s="559"/>
      <c r="F943" s="559"/>
      <c r="G943" s="559"/>
      <c r="H943" s="559"/>
      <c r="I943" s="559"/>
      <c r="J943" s="559"/>
      <c r="K943" s="559"/>
      <c r="L943" s="559"/>
      <c r="M943" s="559"/>
      <c r="N943" s="559"/>
      <c r="O943" s="559"/>
      <c r="P943" s="559"/>
      <c r="Q943" s="559"/>
      <c r="R943" s="559"/>
      <c r="S943" s="559"/>
      <c r="T943" s="559"/>
      <c r="U943" s="559"/>
      <c r="V943" s="559"/>
      <c r="W943" s="559"/>
      <c r="X943" s="559"/>
      <c r="Y943" s="559"/>
      <c r="Z943" s="559"/>
      <c r="AA943" s="559"/>
      <c r="AB943" s="559"/>
      <c r="AC943" s="559"/>
      <c r="AD943" s="559"/>
      <c r="AE943" s="559"/>
      <c r="AF943" s="559"/>
      <c r="AG943" s="559"/>
      <c r="AH943" s="559"/>
      <c r="AI943" s="559"/>
      <c r="AJ943" s="559"/>
      <c r="AK943" s="559"/>
      <c r="AL943" s="559"/>
      <c r="AM943" s="559"/>
      <c r="AN943" s="559"/>
    </row>
    <row r="944">
      <c r="A944" s="559"/>
      <c r="B944" s="559"/>
      <c r="C944" s="559"/>
      <c r="D944" s="559"/>
      <c r="E944" s="559"/>
      <c r="F944" s="559"/>
      <c r="G944" s="559"/>
      <c r="H944" s="559"/>
      <c r="I944" s="559"/>
      <c r="J944" s="559"/>
      <c r="K944" s="559"/>
      <c r="L944" s="559"/>
      <c r="M944" s="559"/>
      <c r="N944" s="559"/>
      <c r="O944" s="559"/>
      <c r="P944" s="559"/>
      <c r="Q944" s="559"/>
      <c r="R944" s="559"/>
      <c r="S944" s="559"/>
      <c r="T944" s="559"/>
      <c r="U944" s="559"/>
      <c r="V944" s="559"/>
      <c r="W944" s="559"/>
      <c r="X944" s="559"/>
      <c r="Y944" s="559"/>
      <c r="Z944" s="559"/>
      <c r="AA944" s="559"/>
      <c r="AB944" s="559"/>
      <c r="AC944" s="559"/>
      <c r="AD944" s="559"/>
      <c r="AE944" s="559"/>
      <c r="AF944" s="559"/>
      <c r="AG944" s="559"/>
      <c r="AH944" s="559"/>
      <c r="AI944" s="559"/>
      <c r="AJ944" s="559"/>
      <c r="AK944" s="559"/>
      <c r="AL944" s="559"/>
      <c r="AM944" s="559"/>
      <c r="AN944" s="559"/>
    </row>
    <row r="945">
      <c r="A945" s="559"/>
      <c r="B945" s="559"/>
      <c r="C945" s="559"/>
      <c r="D945" s="559"/>
      <c r="E945" s="559"/>
      <c r="F945" s="559"/>
      <c r="G945" s="559"/>
      <c r="H945" s="559"/>
      <c r="I945" s="559"/>
      <c r="J945" s="559"/>
      <c r="K945" s="559"/>
      <c r="L945" s="559"/>
      <c r="M945" s="559"/>
      <c r="N945" s="559"/>
      <c r="O945" s="559"/>
      <c r="P945" s="559"/>
      <c r="Q945" s="559"/>
      <c r="R945" s="559"/>
      <c r="S945" s="559"/>
      <c r="T945" s="559"/>
      <c r="U945" s="559"/>
      <c r="V945" s="559"/>
      <c r="W945" s="559"/>
      <c r="X945" s="559"/>
      <c r="Y945" s="559"/>
      <c r="Z945" s="559"/>
      <c r="AA945" s="559"/>
      <c r="AB945" s="559"/>
      <c r="AC945" s="559"/>
      <c r="AD945" s="559"/>
      <c r="AE945" s="559"/>
      <c r="AF945" s="559"/>
      <c r="AG945" s="559"/>
      <c r="AH945" s="559"/>
      <c r="AI945" s="559"/>
      <c r="AJ945" s="559"/>
      <c r="AK945" s="559"/>
      <c r="AL945" s="559"/>
      <c r="AM945" s="559"/>
      <c r="AN945" s="559"/>
    </row>
    <row r="946">
      <c r="A946" s="559"/>
      <c r="B946" s="559"/>
      <c r="C946" s="559"/>
      <c r="D946" s="559"/>
      <c r="E946" s="559"/>
      <c r="F946" s="559"/>
      <c r="G946" s="559"/>
      <c r="H946" s="559"/>
      <c r="I946" s="559"/>
      <c r="J946" s="559"/>
      <c r="K946" s="559"/>
      <c r="L946" s="559"/>
      <c r="M946" s="559"/>
      <c r="N946" s="559"/>
      <c r="O946" s="559"/>
      <c r="P946" s="559"/>
      <c r="Q946" s="559"/>
      <c r="R946" s="559"/>
      <c r="S946" s="559"/>
      <c r="T946" s="559"/>
      <c r="U946" s="559"/>
      <c r="V946" s="559"/>
      <c r="W946" s="559"/>
      <c r="X946" s="559"/>
      <c r="Y946" s="559"/>
      <c r="Z946" s="559"/>
      <c r="AA946" s="559"/>
      <c r="AB946" s="559"/>
      <c r="AC946" s="559"/>
      <c r="AD946" s="559"/>
      <c r="AE946" s="559"/>
      <c r="AF946" s="559"/>
      <c r="AG946" s="559"/>
      <c r="AH946" s="559"/>
      <c r="AI946" s="559"/>
      <c r="AJ946" s="559"/>
      <c r="AK946" s="559"/>
      <c r="AL946" s="559"/>
      <c r="AM946" s="559"/>
      <c r="AN946" s="559"/>
    </row>
    <row r="947">
      <c r="A947" s="559"/>
      <c r="B947" s="559"/>
      <c r="C947" s="559"/>
      <c r="D947" s="559"/>
      <c r="E947" s="559"/>
      <c r="F947" s="559"/>
      <c r="G947" s="559"/>
      <c r="H947" s="559"/>
      <c r="I947" s="559"/>
      <c r="J947" s="559"/>
      <c r="K947" s="559"/>
      <c r="L947" s="559"/>
      <c r="M947" s="559"/>
      <c r="N947" s="559"/>
      <c r="O947" s="559"/>
      <c r="P947" s="559"/>
      <c r="Q947" s="559"/>
      <c r="R947" s="559"/>
      <c r="S947" s="559"/>
      <c r="T947" s="559"/>
      <c r="U947" s="559"/>
      <c r="V947" s="559"/>
      <c r="W947" s="559"/>
      <c r="X947" s="559"/>
      <c r="Y947" s="559"/>
      <c r="Z947" s="559"/>
      <c r="AA947" s="559"/>
      <c r="AB947" s="559"/>
      <c r="AC947" s="559"/>
      <c r="AD947" s="559"/>
      <c r="AE947" s="559"/>
      <c r="AF947" s="559"/>
      <c r="AG947" s="559"/>
      <c r="AH947" s="559"/>
      <c r="AI947" s="559"/>
      <c r="AJ947" s="559"/>
      <c r="AK947" s="559"/>
      <c r="AL947" s="559"/>
      <c r="AM947" s="559"/>
      <c r="AN947" s="559"/>
    </row>
    <row r="948">
      <c r="A948" s="559"/>
      <c r="B948" s="559"/>
      <c r="C948" s="559"/>
      <c r="D948" s="559"/>
      <c r="E948" s="559"/>
      <c r="F948" s="559"/>
      <c r="G948" s="559"/>
      <c r="H948" s="559"/>
      <c r="I948" s="559"/>
      <c r="J948" s="559"/>
      <c r="K948" s="559"/>
      <c r="L948" s="559"/>
      <c r="M948" s="559"/>
      <c r="N948" s="559"/>
      <c r="O948" s="559"/>
      <c r="P948" s="559"/>
      <c r="Q948" s="559"/>
      <c r="R948" s="559"/>
      <c r="S948" s="559"/>
      <c r="T948" s="559"/>
      <c r="U948" s="559"/>
      <c r="V948" s="559"/>
      <c r="W948" s="559"/>
      <c r="X948" s="559"/>
      <c r="Y948" s="559"/>
      <c r="Z948" s="559"/>
      <c r="AA948" s="559"/>
      <c r="AB948" s="559"/>
      <c r="AC948" s="559"/>
      <c r="AD948" s="559"/>
      <c r="AE948" s="559"/>
      <c r="AF948" s="559"/>
      <c r="AG948" s="559"/>
      <c r="AH948" s="559"/>
      <c r="AI948" s="559"/>
      <c r="AJ948" s="559"/>
      <c r="AK948" s="559"/>
      <c r="AL948" s="559"/>
      <c r="AM948" s="559"/>
      <c r="AN948" s="559"/>
    </row>
    <row r="949">
      <c r="A949" s="559"/>
      <c r="B949" s="559"/>
      <c r="C949" s="559"/>
      <c r="D949" s="559"/>
      <c r="E949" s="559"/>
      <c r="F949" s="559"/>
      <c r="G949" s="559"/>
      <c r="H949" s="559"/>
      <c r="I949" s="559"/>
      <c r="J949" s="559"/>
      <c r="K949" s="559"/>
      <c r="L949" s="559"/>
      <c r="M949" s="559"/>
      <c r="N949" s="559"/>
      <c r="O949" s="559"/>
      <c r="P949" s="559"/>
      <c r="Q949" s="559"/>
      <c r="R949" s="559"/>
      <c r="S949" s="559"/>
      <c r="T949" s="559"/>
      <c r="U949" s="559"/>
      <c r="V949" s="559"/>
      <c r="W949" s="559"/>
      <c r="X949" s="559"/>
      <c r="Y949" s="559"/>
      <c r="Z949" s="559"/>
      <c r="AA949" s="559"/>
      <c r="AB949" s="559"/>
      <c r="AC949" s="559"/>
      <c r="AD949" s="559"/>
      <c r="AE949" s="559"/>
      <c r="AF949" s="559"/>
      <c r="AG949" s="559"/>
      <c r="AH949" s="559"/>
      <c r="AI949" s="559"/>
      <c r="AJ949" s="559"/>
      <c r="AK949" s="559"/>
      <c r="AL949" s="559"/>
      <c r="AM949" s="559"/>
      <c r="AN949" s="559"/>
    </row>
    <row r="950">
      <c r="A950" s="559"/>
      <c r="B950" s="559"/>
      <c r="C950" s="559"/>
      <c r="D950" s="559"/>
      <c r="E950" s="559"/>
      <c r="F950" s="559"/>
      <c r="G950" s="559"/>
      <c r="H950" s="559"/>
      <c r="I950" s="559"/>
      <c r="J950" s="559"/>
      <c r="K950" s="559"/>
      <c r="L950" s="559"/>
      <c r="M950" s="559"/>
      <c r="N950" s="559"/>
      <c r="O950" s="559"/>
      <c r="P950" s="559"/>
      <c r="Q950" s="559"/>
      <c r="R950" s="559"/>
      <c r="S950" s="559"/>
      <c r="T950" s="559"/>
      <c r="U950" s="559"/>
      <c r="V950" s="559"/>
      <c r="W950" s="559"/>
      <c r="X950" s="559"/>
      <c r="Y950" s="559"/>
      <c r="Z950" s="559"/>
      <c r="AA950" s="559"/>
      <c r="AB950" s="559"/>
      <c r="AC950" s="559"/>
      <c r="AD950" s="559"/>
      <c r="AE950" s="559"/>
      <c r="AF950" s="559"/>
      <c r="AG950" s="559"/>
      <c r="AH950" s="559"/>
      <c r="AI950" s="559"/>
      <c r="AJ950" s="559"/>
      <c r="AK950" s="559"/>
      <c r="AL950" s="559"/>
      <c r="AM950" s="559"/>
      <c r="AN950" s="559"/>
    </row>
    <row r="951">
      <c r="A951" s="559"/>
      <c r="B951" s="559"/>
      <c r="C951" s="559"/>
      <c r="D951" s="559"/>
      <c r="E951" s="559"/>
      <c r="F951" s="559"/>
      <c r="G951" s="559"/>
      <c r="H951" s="559"/>
      <c r="I951" s="559"/>
      <c r="J951" s="559"/>
      <c r="K951" s="559"/>
      <c r="L951" s="559"/>
      <c r="M951" s="559"/>
      <c r="N951" s="559"/>
      <c r="O951" s="559"/>
      <c r="P951" s="559"/>
      <c r="Q951" s="559"/>
      <c r="R951" s="559"/>
      <c r="S951" s="559"/>
      <c r="T951" s="559"/>
      <c r="U951" s="559"/>
      <c r="V951" s="559"/>
      <c r="W951" s="559"/>
      <c r="X951" s="559"/>
      <c r="Y951" s="559"/>
      <c r="Z951" s="559"/>
      <c r="AA951" s="559"/>
      <c r="AB951" s="559"/>
      <c r="AC951" s="559"/>
      <c r="AD951" s="559"/>
      <c r="AE951" s="559"/>
      <c r="AF951" s="559"/>
      <c r="AG951" s="559"/>
      <c r="AH951" s="559"/>
      <c r="AI951" s="559"/>
      <c r="AJ951" s="559"/>
      <c r="AK951" s="559"/>
      <c r="AL951" s="559"/>
      <c r="AM951" s="559"/>
      <c r="AN951" s="559"/>
    </row>
    <row r="952">
      <c r="A952" s="559"/>
      <c r="B952" s="559"/>
      <c r="C952" s="559"/>
      <c r="D952" s="559"/>
      <c r="E952" s="559"/>
      <c r="F952" s="559"/>
      <c r="G952" s="559"/>
      <c r="H952" s="559"/>
      <c r="I952" s="559"/>
      <c r="J952" s="559"/>
      <c r="K952" s="559"/>
      <c r="L952" s="559"/>
      <c r="M952" s="559"/>
      <c r="N952" s="559"/>
      <c r="O952" s="559"/>
      <c r="P952" s="559"/>
      <c r="Q952" s="559"/>
      <c r="R952" s="559"/>
      <c r="S952" s="559"/>
      <c r="T952" s="559"/>
      <c r="U952" s="559"/>
      <c r="V952" s="559"/>
      <c r="W952" s="559"/>
      <c r="X952" s="559"/>
      <c r="Y952" s="559"/>
      <c r="Z952" s="559"/>
      <c r="AA952" s="559"/>
      <c r="AB952" s="559"/>
      <c r="AC952" s="559"/>
      <c r="AD952" s="559"/>
      <c r="AE952" s="559"/>
      <c r="AF952" s="559"/>
      <c r="AG952" s="559"/>
      <c r="AH952" s="559"/>
      <c r="AI952" s="559"/>
      <c r="AJ952" s="559"/>
      <c r="AK952" s="559"/>
      <c r="AL952" s="559"/>
      <c r="AM952" s="559"/>
      <c r="AN952" s="559"/>
    </row>
    <row r="953">
      <c r="A953" s="559"/>
      <c r="B953" s="559"/>
      <c r="C953" s="559"/>
      <c r="D953" s="559"/>
      <c r="E953" s="559"/>
      <c r="F953" s="559"/>
      <c r="G953" s="559"/>
      <c r="H953" s="559"/>
      <c r="I953" s="559"/>
      <c r="J953" s="559"/>
      <c r="K953" s="559"/>
      <c r="L953" s="559"/>
      <c r="M953" s="559"/>
      <c r="N953" s="559"/>
      <c r="O953" s="559"/>
      <c r="P953" s="559"/>
      <c r="Q953" s="559"/>
      <c r="R953" s="559"/>
      <c r="S953" s="559"/>
      <c r="T953" s="559"/>
      <c r="U953" s="559"/>
      <c r="V953" s="559"/>
      <c r="W953" s="559"/>
      <c r="X953" s="559"/>
      <c r="Y953" s="559"/>
      <c r="Z953" s="559"/>
      <c r="AA953" s="559"/>
      <c r="AB953" s="559"/>
      <c r="AC953" s="559"/>
      <c r="AD953" s="559"/>
      <c r="AE953" s="559"/>
      <c r="AF953" s="559"/>
      <c r="AG953" s="559"/>
      <c r="AH953" s="559"/>
      <c r="AI953" s="559"/>
      <c r="AJ953" s="559"/>
      <c r="AK953" s="559"/>
      <c r="AL953" s="559"/>
      <c r="AM953" s="559"/>
      <c r="AN953" s="559"/>
    </row>
    <row r="954">
      <c r="A954" s="559"/>
      <c r="B954" s="559"/>
      <c r="C954" s="559"/>
      <c r="D954" s="559"/>
      <c r="E954" s="559"/>
      <c r="F954" s="559"/>
      <c r="G954" s="559"/>
      <c r="H954" s="559"/>
      <c r="I954" s="559"/>
      <c r="J954" s="559"/>
      <c r="K954" s="559"/>
      <c r="L954" s="559"/>
      <c r="M954" s="559"/>
      <c r="N954" s="559"/>
      <c r="O954" s="559"/>
      <c r="P954" s="559"/>
      <c r="Q954" s="559"/>
      <c r="R954" s="559"/>
      <c r="S954" s="559"/>
      <c r="T954" s="559"/>
      <c r="U954" s="559"/>
      <c r="V954" s="559"/>
      <c r="W954" s="559"/>
      <c r="X954" s="559"/>
      <c r="Y954" s="559"/>
      <c r="Z954" s="559"/>
      <c r="AA954" s="559"/>
      <c r="AB954" s="559"/>
      <c r="AC954" s="559"/>
      <c r="AD954" s="559"/>
      <c r="AE954" s="559"/>
      <c r="AF954" s="559"/>
      <c r="AG954" s="559"/>
      <c r="AH954" s="559"/>
      <c r="AI954" s="559"/>
      <c r="AJ954" s="559"/>
      <c r="AK954" s="559"/>
      <c r="AL954" s="559"/>
      <c r="AM954" s="559"/>
      <c r="AN954" s="559"/>
    </row>
    <row r="955">
      <c r="A955" s="559"/>
      <c r="B955" s="559"/>
      <c r="C955" s="559"/>
      <c r="D955" s="559"/>
      <c r="E955" s="559"/>
      <c r="F955" s="559"/>
      <c r="G955" s="559"/>
      <c r="H955" s="559"/>
      <c r="I955" s="559"/>
      <c r="J955" s="559"/>
      <c r="K955" s="559"/>
      <c r="L955" s="559"/>
      <c r="M955" s="559"/>
      <c r="N955" s="559"/>
      <c r="O955" s="559"/>
      <c r="P955" s="559"/>
      <c r="Q955" s="559"/>
      <c r="R955" s="559"/>
      <c r="S955" s="559"/>
      <c r="T955" s="559"/>
      <c r="U955" s="559"/>
      <c r="V955" s="559"/>
      <c r="W955" s="559"/>
      <c r="X955" s="559"/>
      <c r="Y955" s="559"/>
      <c r="Z955" s="559"/>
      <c r="AA955" s="559"/>
      <c r="AB955" s="559"/>
      <c r="AC955" s="559"/>
      <c r="AD955" s="559"/>
      <c r="AE955" s="559"/>
      <c r="AF955" s="559"/>
      <c r="AG955" s="559"/>
      <c r="AH955" s="559"/>
      <c r="AI955" s="559"/>
      <c r="AJ955" s="559"/>
      <c r="AK955" s="559"/>
      <c r="AL955" s="559"/>
      <c r="AM955" s="559"/>
      <c r="AN955" s="559"/>
    </row>
    <row r="956">
      <c r="A956" s="559"/>
      <c r="B956" s="559"/>
      <c r="C956" s="559"/>
      <c r="D956" s="559"/>
      <c r="E956" s="559"/>
      <c r="F956" s="559"/>
      <c r="G956" s="559"/>
      <c r="H956" s="559"/>
      <c r="I956" s="559"/>
      <c r="J956" s="559"/>
      <c r="K956" s="559"/>
      <c r="L956" s="559"/>
      <c r="M956" s="559"/>
      <c r="N956" s="559"/>
      <c r="O956" s="559"/>
      <c r="P956" s="559"/>
      <c r="Q956" s="559"/>
      <c r="R956" s="559"/>
      <c r="S956" s="559"/>
      <c r="T956" s="559"/>
      <c r="U956" s="559"/>
      <c r="V956" s="559"/>
      <c r="W956" s="559"/>
      <c r="X956" s="559"/>
      <c r="Y956" s="559"/>
      <c r="Z956" s="559"/>
      <c r="AA956" s="559"/>
      <c r="AB956" s="559"/>
      <c r="AC956" s="559"/>
      <c r="AD956" s="559"/>
      <c r="AE956" s="559"/>
      <c r="AF956" s="559"/>
      <c r="AG956" s="559"/>
      <c r="AH956" s="559"/>
      <c r="AI956" s="559"/>
      <c r="AJ956" s="559"/>
      <c r="AK956" s="559"/>
      <c r="AL956" s="559"/>
      <c r="AM956" s="559"/>
      <c r="AN956" s="559"/>
    </row>
    <row r="957">
      <c r="A957" s="559"/>
      <c r="B957" s="559"/>
      <c r="C957" s="559"/>
      <c r="D957" s="559"/>
      <c r="E957" s="559"/>
      <c r="F957" s="559"/>
      <c r="G957" s="559"/>
      <c r="H957" s="559"/>
      <c r="I957" s="559"/>
      <c r="J957" s="559"/>
      <c r="K957" s="559"/>
      <c r="L957" s="559"/>
      <c r="M957" s="559"/>
      <c r="N957" s="559"/>
      <c r="O957" s="559"/>
      <c r="P957" s="559"/>
      <c r="Q957" s="559"/>
      <c r="R957" s="559"/>
      <c r="S957" s="559"/>
      <c r="T957" s="559"/>
      <c r="U957" s="559"/>
      <c r="V957" s="559"/>
      <c r="W957" s="559"/>
      <c r="X957" s="559"/>
      <c r="Y957" s="559"/>
      <c r="Z957" s="559"/>
      <c r="AA957" s="559"/>
      <c r="AB957" s="559"/>
      <c r="AC957" s="559"/>
      <c r="AD957" s="559"/>
      <c r="AE957" s="559"/>
      <c r="AF957" s="559"/>
      <c r="AG957" s="559"/>
      <c r="AH957" s="559"/>
      <c r="AI957" s="559"/>
      <c r="AJ957" s="559"/>
      <c r="AK957" s="559"/>
      <c r="AL957" s="559"/>
      <c r="AM957" s="559"/>
      <c r="AN957" s="559"/>
    </row>
    <row r="958">
      <c r="A958" s="559"/>
      <c r="B958" s="559"/>
      <c r="C958" s="559"/>
      <c r="D958" s="559"/>
      <c r="E958" s="559"/>
      <c r="F958" s="559"/>
      <c r="G958" s="559"/>
      <c r="H958" s="559"/>
      <c r="I958" s="559"/>
      <c r="J958" s="559"/>
      <c r="K958" s="559"/>
      <c r="L958" s="559"/>
      <c r="M958" s="559"/>
      <c r="N958" s="559"/>
      <c r="O958" s="559"/>
      <c r="P958" s="559"/>
      <c r="Q958" s="559"/>
      <c r="R958" s="559"/>
      <c r="S958" s="559"/>
      <c r="T958" s="559"/>
      <c r="U958" s="559"/>
      <c r="V958" s="559"/>
      <c r="W958" s="559"/>
      <c r="X958" s="559"/>
      <c r="Y958" s="559"/>
      <c r="Z958" s="559"/>
      <c r="AA958" s="559"/>
      <c r="AB958" s="559"/>
      <c r="AC958" s="559"/>
      <c r="AD958" s="559"/>
      <c r="AE958" s="559"/>
      <c r="AF958" s="559"/>
      <c r="AG958" s="559"/>
      <c r="AH958" s="559"/>
      <c r="AI958" s="559"/>
      <c r="AJ958" s="559"/>
      <c r="AK958" s="559"/>
      <c r="AL958" s="559"/>
      <c r="AM958" s="559"/>
      <c r="AN958" s="559"/>
    </row>
    <row r="959">
      <c r="A959" s="559"/>
      <c r="B959" s="559"/>
      <c r="C959" s="559"/>
      <c r="D959" s="559"/>
      <c r="E959" s="559"/>
      <c r="F959" s="559"/>
      <c r="G959" s="559"/>
      <c r="H959" s="559"/>
      <c r="I959" s="559"/>
      <c r="J959" s="559"/>
      <c r="K959" s="559"/>
      <c r="L959" s="559"/>
      <c r="M959" s="559"/>
      <c r="N959" s="559"/>
      <c r="O959" s="559"/>
      <c r="P959" s="559"/>
      <c r="Q959" s="559"/>
      <c r="R959" s="559"/>
      <c r="S959" s="559"/>
      <c r="T959" s="559"/>
      <c r="U959" s="559"/>
      <c r="V959" s="559"/>
      <c r="W959" s="559"/>
      <c r="X959" s="559"/>
      <c r="Y959" s="559"/>
      <c r="Z959" s="559"/>
      <c r="AA959" s="559"/>
      <c r="AB959" s="559"/>
      <c r="AC959" s="559"/>
      <c r="AD959" s="559"/>
      <c r="AE959" s="559"/>
      <c r="AF959" s="559"/>
      <c r="AG959" s="559"/>
      <c r="AH959" s="559"/>
      <c r="AI959" s="559"/>
      <c r="AJ959" s="559"/>
      <c r="AK959" s="559"/>
      <c r="AL959" s="559"/>
      <c r="AM959" s="559"/>
      <c r="AN959" s="559"/>
    </row>
    <row r="960">
      <c r="A960" s="559"/>
      <c r="B960" s="559"/>
      <c r="C960" s="559"/>
      <c r="D960" s="559"/>
      <c r="E960" s="559"/>
      <c r="F960" s="559"/>
      <c r="G960" s="559"/>
      <c r="H960" s="559"/>
      <c r="I960" s="559"/>
      <c r="J960" s="559"/>
      <c r="K960" s="559"/>
      <c r="L960" s="559"/>
      <c r="M960" s="559"/>
      <c r="N960" s="559"/>
      <c r="O960" s="559"/>
      <c r="P960" s="559"/>
      <c r="Q960" s="559"/>
      <c r="R960" s="559"/>
      <c r="S960" s="559"/>
      <c r="T960" s="559"/>
      <c r="U960" s="559"/>
      <c r="V960" s="559"/>
      <c r="W960" s="559"/>
      <c r="X960" s="559"/>
      <c r="Y960" s="559"/>
      <c r="Z960" s="559"/>
      <c r="AA960" s="559"/>
      <c r="AB960" s="559"/>
      <c r="AC960" s="559"/>
      <c r="AD960" s="559"/>
      <c r="AE960" s="559"/>
      <c r="AF960" s="559"/>
      <c r="AG960" s="559"/>
      <c r="AH960" s="559"/>
      <c r="AI960" s="559"/>
      <c r="AJ960" s="559"/>
      <c r="AK960" s="559"/>
      <c r="AL960" s="559"/>
      <c r="AM960" s="559"/>
      <c r="AN960" s="559"/>
    </row>
    <row r="961">
      <c r="A961" s="559"/>
      <c r="B961" s="559"/>
      <c r="C961" s="559"/>
      <c r="D961" s="559"/>
      <c r="E961" s="559"/>
      <c r="F961" s="559"/>
      <c r="G961" s="559"/>
      <c r="H961" s="559"/>
      <c r="I961" s="559"/>
      <c r="J961" s="559"/>
      <c r="K961" s="559"/>
      <c r="L961" s="559"/>
      <c r="M961" s="559"/>
      <c r="N961" s="559"/>
      <c r="O961" s="559"/>
      <c r="P961" s="559"/>
      <c r="Q961" s="559"/>
      <c r="R961" s="559"/>
      <c r="S961" s="559"/>
      <c r="T961" s="559"/>
      <c r="U961" s="559"/>
      <c r="V961" s="559"/>
      <c r="W961" s="559"/>
      <c r="X961" s="559"/>
      <c r="Y961" s="559"/>
      <c r="Z961" s="559"/>
      <c r="AA961" s="559"/>
      <c r="AB961" s="559"/>
      <c r="AC961" s="559"/>
      <c r="AD961" s="559"/>
      <c r="AE961" s="559"/>
      <c r="AF961" s="559"/>
      <c r="AG961" s="559"/>
      <c r="AH961" s="559"/>
      <c r="AI961" s="559"/>
      <c r="AJ961" s="559"/>
      <c r="AK961" s="559"/>
      <c r="AL961" s="559"/>
      <c r="AM961" s="559"/>
      <c r="AN961" s="559"/>
    </row>
    <row r="962">
      <c r="A962" s="559"/>
      <c r="B962" s="559"/>
      <c r="C962" s="559"/>
      <c r="D962" s="559"/>
      <c r="E962" s="559"/>
      <c r="F962" s="559"/>
      <c r="G962" s="559"/>
      <c r="H962" s="559"/>
      <c r="I962" s="559"/>
      <c r="J962" s="559"/>
      <c r="K962" s="559"/>
      <c r="L962" s="559"/>
      <c r="M962" s="559"/>
      <c r="N962" s="559"/>
      <c r="O962" s="559"/>
      <c r="P962" s="559"/>
      <c r="Q962" s="559"/>
      <c r="R962" s="559"/>
      <c r="S962" s="559"/>
      <c r="T962" s="559"/>
      <c r="U962" s="559"/>
      <c r="V962" s="559"/>
      <c r="W962" s="559"/>
      <c r="X962" s="559"/>
      <c r="Y962" s="559"/>
      <c r="Z962" s="559"/>
      <c r="AA962" s="559"/>
      <c r="AB962" s="559"/>
      <c r="AC962" s="559"/>
      <c r="AD962" s="559"/>
      <c r="AE962" s="559"/>
      <c r="AF962" s="559"/>
      <c r="AG962" s="559"/>
      <c r="AH962" s="559"/>
      <c r="AI962" s="559"/>
      <c r="AJ962" s="559"/>
      <c r="AK962" s="559"/>
      <c r="AL962" s="559"/>
      <c r="AM962" s="559"/>
      <c r="AN962" s="559"/>
    </row>
    <row r="963">
      <c r="A963" s="559"/>
      <c r="B963" s="559"/>
      <c r="C963" s="559"/>
      <c r="D963" s="559"/>
      <c r="E963" s="559"/>
      <c r="F963" s="559"/>
      <c r="G963" s="559"/>
      <c r="H963" s="559"/>
      <c r="I963" s="559"/>
      <c r="J963" s="559"/>
      <c r="K963" s="559"/>
      <c r="L963" s="559"/>
      <c r="M963" s="559"/>
      <c r="N963" s="559"/>
      <c r="O963" s="559"/>
      <c r="P963" s="559"/>
      <c r="Q963" s="559"/>
      <c r="R963" s="559"/>
      <c r="S963" s="559"/>
      <c r="T963" s="559"/>
      <c r="U963" s="559"/>
      <c r="V963" s="559"/>
      <c r="W963" s="559"/>
      <c r="X963" s="559"/>
      <c r="Y963" s="559"/>
      <c r="Z963" s="559"/>
      <c r="AA963" s="559"/>
      <c r="AB963" s="559"/>
      <c r="AC963" s="559"/>
      <c r="AD963" s="559"/>
      <c r="AE963" s="559"/>
      <c r="AF963" s="559"/>
      <c r="AG963" s="559"/>
      <c r="AH963" s="559"/>
      <c r="AI963" s="559"/>
      <c r="AJ963" s="559"/>
      <c r="AK963" s="559"/>
      <c r="AL963" s="559"/>
      <c r="AM963" s="559"/>
      <c r="AN963" s="559"/>
    </row>
    <row r="964">
      <c r="A964" s="559"/>
      <c r="B964" s="559"/>
      <c r="C964" s="559"/>
      <c r="D964" s="559"/>
      <c r="E964" s="559"/>
      <c r="F964" s="559"/>
      <c r="G964" s="559"/>
      <c r="H964" s="559"/>
      <c r="I964" s="559"/>
      <c r="J964" s="559"/>
      <c r="K964" s="559"/>
      <c r="L964" s="559"/>
      <c r="M964" s="559"/>
      <c r="N964" s="559"/>
      <c r="O964" s="559"/>
      <c r="P964" s="559"/>
      <c r="Q964" s="559"/>
      <c r="R964" s="559"/>
      <c r="S964" s="559"/>
      <c r="T964" s="559"/>
      <c r="U964" s="559"/>
      <c r="V964" s="559"/>
      <c r="W964" s="559"/>
      <c r="X964" s="559"/>
      <c r="Y964" s="559"/>
      <c r="Z964" s="559"/>
      <c r="AA964" s="559"/>
      <c r="AB964" s="559"/>
      <c r="AC964" s="559"/>
      <c r="AD964" s="559"/>
      <c r="AE964" s="559"/>
      <c r="AF964" s="559"/>
      <c r="AG964" s="559"/>
      <c r="AH964" s="559"/>
      <c r="AI964" s="559"/>
      <c r="AJ964" s="559"/>
      <c r="AK964" s="559"/>
      <c r="AL964" s="559"/>
      <c r="AM964" s="559"/>
      <c r="AN964" s="559"/>
    </row>
    <row r="965">
      <c r="A965" s="559"/>
      <c r="B965" s="559"/>
      <c r="C965" s="559"/>
      <c r="D965" s="559"/>
      <c r="E965" s="559"/>
      <c r="F965" s="559"/>
      <c r="G965" s="559"/>
      <c r="H965" s="559"/>
      <c r="I965" s="559"/>
      <c r="J965" s="559"/>
      <c r="K965" s="559"/>
      <c r="L965" s="559"/>
      <c r="M965" s="559"/>
      <c r="N965" s="559"/>
      <c r="O965" s="559"/>
      <c r="P965" s="559"/>
      <c r="Q965" s="559"/>
      <c r="R965" s="559"/>
      <c r="S965" s="559"/>
      <c r="T965" s="559"/>
      <c r="U965" s="559"/>
      <c r="V965" s="559"/>
      <c r="W965" s="559"/>
      <c r="X965" s="559"/>
      <c r="Y965" s="559"/>
      <c r="Z965" s="559"/>
      <c r="AA965" s="559"/>
      <c r="AB965" s="559"/>
      <c r="AC965" s="559"/>
      <c r="AD965" s="559"/>
      <c r="AE965" s="559"/>
      <c r="AF965" s="559"/>
      <c r="AG965" s="559"/>
      <c r="AH965" s="559"/>
      <c r="AI965" s="559"/>
      <c r="AJ965" s="559"/>
      <c r="AK965" s="559"/>
      <c r="AL965" s="559"/>
      <c r="AM965" s="559"/>
      <c r="AN965" s="559"/>
    </row>
    <row r="966">
      <c r="A966" s="559"/>
      <c r="B966" s="559"/>
      <c r="C966" s="559"/>
      <c r="D966" s="559"/>
      <c r="E966" s="559"/>
      <c r="F966" s="559"/>
      <c r="G966" s="559"/>
      <c r="H966" s="559"/>
      <c r="I966" s="559"/>
      <c r="J966" s="559"/>
      <c r="K966" s="559"/>
      <c r="L966" s="559"/>
      <c r="M966" s="559"/>
      <c r="N966" s="559"/>
      <c r="O966" s="559"/>
      <c r="P966" s="559"/>
      <c r="Q966" s="559"/>
      <c r="R966" s="559"/>
      <c r="S966" s="559"/>
      <c r="T966" s="559"/>
      <c r="U966" s="559"/>
      <c r="V966" s="559"/>
      <c r="W966" s="559"/>
      <c r="X966" s="559"/>
      <c r="Y966" s="559"/>
      <c r="Z966" s="559"/>
      <c r="AA966" s="559"/>
      <c r="AB966" s="559"/>
      <c r="AC966" s="559"/>
      <c r="AD966" s="559"/>
      <c r="AE966" s="559"/>
      <c r="AF966" s="559"/>
      <c r="AG966" s="559"/>
      <c r="AH966" s="559"/>
      <c r="AI966" s="559"/>
      <c r="AJ966" s="559"/>
      <c r="AK966" s="559"/>
      <c r="AL966" s="559"/>
      <c r="AM966" s="559"/>
      <c r="AN966" s="559"/>
    </row>
    <row r="967">
      <c r="A967" s="559"/>
      <c r="B967" s="559"/>
      <c r="C967" s="559"/>
      <c r="D967" s="559"/>
      <c r="E967" s="559"/>
      <c r="F967" s="559"/>
      <c r="G967" s="559"/>
      <c r="H967" s="559"/>
      <c r="I967" s="559"/>
      <c r="J967" s="559"/>
      <c r="K967" s="559"/>
      <c r="L967" s="559"/>
      <c r="M967" s="559"/>
      <c r="N967" s="559"/>
      <c r="O967" s="559"/>
      <c r="P967" s="559"/>
      <c r="Q967" s="559"/>
      <c r="R967" s="559"/>
      <c r="S967" s="559"/>
      <c r="T967" s="559"/>
      <c r="U967" s="559"/>
      <c r="V967" s="559"/>
      <c r="W967" s="559"/>
      <c r="X967" s="559"/>
      <c r="Y967" s="559"/>
      <c r="Z967" s="559"/>
      <c r="AA967" s="559"/>
      <c r="AB967" s="559"/>
      <c r="AC967" s="559"/>
      <c r="AD967" s="559"/>
      <c r="AE967" s="559"/>
      <c r="AF967" s="559"/>
      <c r="AG967" s="559"/>
      <c r="AH967" s="559"/>
      <c r="AI967" s="559"/>
      <c r="AJ967" s="559"/>
      <c r="AK967" s="559"/>
      <c r="AL967" s="559"/>
      <c r="AM967" s="559"/>
      <c r="AN967" s="559"/>
    </row>
    <row r="968">
      <c r="A968" s="559"/>
      <c r="B968" s="559"/>
      <c r="C968" s="559"/>
      <c r="D968" s="559"/>
      <c r="E968" s="559"/>
      <c r="F968" s="559"/>
      <c r="G968" s="559"/>
      <c r="H968" s="559"/>
      <c r="I968" s="559"/>
      <c r="J968" s="559"/>
      <c r="K968" s="559"/>
      <c r="L968" s="559"/>
      <c r="M968" s="559"/>
      <c r="N968" s="559"/>
      <c r="O968" s="559"/>
      <c r="P968" s="559"/>
      <c r="Q968" s="559"/>
      <c r="R968" s="559"/>
      <c r="S968" s="559"/>
      <c r="T968" s="559"/>
      <c r="U968" s="559"/>
      <c r="V968" s="559"/>
      <c r="W968" s="559"/>
      <c r="X968" s="559"/>
      <c r="Y968" s="559"/>
      <c r="Z968" s="559"/>
      <c r="AA968" s="559"/>
      <c r="AB968" s="559"/>
      <c r="AC968" s="559"/>
      <c r="AD968" s="559"/>
      <c r="AE968" s="559"/>
      <c r="AF968" s="559"/>
      <c r="AG968" s="559"/>
      <c r="AH968" s="559"/>
      <c r="AI968" s="559"/>
      <c r="AJ968" s="559"/>
      <c r="AK968" s="559"/>
      <c r="AL968" s="559"/>
      <c r="AM968" s="559"/>
      <c r="AN968" s="559"/>
    </row>
    <row r="969">
      <c r="A969" s="559"/>
      <c r="B969" s="559"/>
      <c r="C969" s="559"/>
      <c r="D969" s="559"/>
      <c r="E969" s="559"/>
      <c r="F969" s="559"/>
      <c r="G969" s="559"/>
      <c r="H969" s="559"/>
      <c r="I969" s="559"/>
      <c r="J969" s="559"/>
      <c r="K969" s="559"/>
      <c r="L969" s="559"/>
      <c r="M969" s="559"/>
      <c r="N969" s="559"/>
      <c r="O969" s="559"/>
      <c r="P969" s="559"/>
      <c r="Q969" s="559"/>
      <c r="R969" s="559"/>
      <c r="S969" s="559"/>
      <c r="T969" s="559"/>
      <c r="U969" s="559"/>
      <c r="V969" s="559"/>
      <c r="W969" s="559"/>
      <c r="X969" s="559"/>
      <c r="Y969" s="559"/>
      <c r="Z969" s="559"/>
      <c r="AA969" s="559"/>
      <c r="AB969" s="559"/>
      <c r="AC969" s="559"/>
      <c r="AD969" s="559"/>
      <c r="AE969" s="559"/>
      <c r="AF969" s="559"/>
      <c r="AG969" s="559"/>
      <c r="AH969" s="559"/>
      <c r="AI969" s="559"/>
      <c r="AJ969" s="559"/>
      <c r="AK969" s="559"/>
      <c r="AL969" s="559"/>
      <c r="AM969" s="559"/>
      <c r="AN969" s="559"/>
    </row>
    <row r="970">
      <c r="A970" s="559"/>
      <c r="B970" s="559"/>
      <c r="C970" s="559"/>
      <c r="D970" s="559"/>
      <c r="E970" s="559"/>
      <c r="F970" s="559"/>
      <c r="G970" s="559"/>
      <c r="H970" s="559"/>
      <c r="I970" s="559"/>
      <c r="J970" s="559"/>
      <c r="K970" s="559"/>
      <c r="L970" s="559"/>
      <c r="M970" s="559"/>
      <c r="N970" s="559"/>
      <c r="O970" s="559"/>
      <c r="P970" s="559"/>
      <c r="Q970" s="559"/>
      <c r="R970" s="559"/>
      <c r="S970" s="559"/>
      <c r="T970" s="559"/>
      <c r="U970" s="559"/>
      <c r="V970" s="559"/>
      <c r="W970" s="559"/>
      <c r="X970" s="559"/>
      <c r="Y970" s="559"/>
      <c r="Z970" s="559"/>
      <c r="AA970" s="559"/>
      <c r="AB970" s="559"/>
      <c r="AC970" s="559"/>
      <c r="AD970" s="559"/>
      <c r="AE970" s="559"/>
      <c r="AF970" s="559"/>
      <c r="AG970" s="559"/>
      <c r="AH970" s="559"/>
      <c r="AI970" s="559"/>
      <c r="AJ970" s="559"/>
      <c r="AK970" s="559"/>
      <c r="AL970" s="559"/>
      <c r="AM970" s="559"/>
      <c r="AN970" s="559"/>
    </row>
    <row r="971">
      <c r="A971" s="559"/>
      <c r="B971" s="559"/>
      <c r="C971" s="559"/>
      <c r="D971" s="559"/>
      <c r="E971" s="559"/>
      <c r="F971" s="559"/>
      <c r="G971" s="559"/>
      <c r="H971" s="559"/>
      <c r="I971" s="559"/>
      <c r="J971" s="559"/>
      <c r="K971" s="559"/>
      <c r="L971" s="559"/>
      <c r="M971" s="559"/>
      <c r="N971" s="559"/>
      <c r="O971" s="559"/>
      <c r="P971" s="559"/>
      <c r="Q971" s="559"/>
      <c r="R971" s="559"/>
      <c r="S971" s="559"/>
      <c r="T971" s="559"/>
      <c r="U971" s="559"/>
      <c r="V971" s="559"/>
      <c r="W971" s="559"/>
      <c r="X971" s="559"/>
      <c r="Y971" s="559"/>
      <c r="Z971" s="559"/>
      <c r="AA971" s="559"/>
      <c r="AB971" s="559"/>
      <c r="AC971" s="559"/>
      <c r="AD971" s="559"/>
      <c r="AE971" s="559"/>
      <c r="AF971" s="559"/>
      <c r="AG971" s="559"/>
      <c r="AH971" s="559"/>
      <c r="AI971" s="559"/>
      <c r="AJ971" s="559"/>
      <c r="AK971" s="559"/>
      <c r="AL971" s="559"/>
      <c r="AM971" s="559"/>
      <c r="AN971" s="559"/>
    </row>
    <row r="972">
      <c r="A972" s="559"/>
      <c r="B972" s="559"/>
      <c r="C972" s="559"/>
      <c r="D972" s="559"/>
      <c r="E972" s="559"/>
      <c r="F972" s="559"/>
      <c r="G972" s="559"/>
      <c r="H972" s="559"/>
      <c r="I972" s="559"/>
      <c r="J972" s="559"/>
      <c r="K972" s="559"/>
      <c r="L972" s="559"/>
      <c r="M972" s="559"/>
      <c r="N972" s="559"/>
      <c r="O972" s="559"/>
      <c r="P972" s="559"/>
      <c r="Q972" s="559"/>
      <c r="R972" s="559"/>
      <c r="S972" s="559"/>
      <c r="T972" s="559"/>
      <c r="U972" s="559"/>
      <c r="V972" s="559"/>
      <c r="W972" s="559"/>
      <c r="X972" s="559"/>
      <c r="Y972" s="559"/>
      <c r="Z972" s="559"/>
      <c r="AA972" s="559"/>
      <c r="AB972" s="559"/>
      <c r="AC972" s="559"/>
      <c r="AD972" s="559"/>
      <c r="AE972" s="559"/>
      <c r="AF972" s="559"/>
      <c r="AG972" s="559"/>
      <c r="AH972" s="559"/>
      <c r="AI972" s="559"/>
      <c r="AJ972" s="559"/>
      <c r="AK972" s="559"/>
      <c r="AL972" s="559"/>
      <c r="AM972" s="559"/>
      <c r="AN972" s="559"/>
    </row>
    <row r="973">
      <c r="A973" s="559"/>
      <c r="B973" s="559"/>
      <c r="C973" s="559"/>
      <c r="D973" s="559"/>
      <c r="E973" s="559"/>
      <c r="F973" s="559"/>
      <c r="G973" s="559"/>
      <c r="H973" s="559"/>
      <c r="I973" s="559"/>
      <c r="J973" s="559"/>
      <c r="K973" s="559"/>
      <c r="L973" s="559"/>
      <c r="M973" s="559"/>
      <c r="N973" s="559"/>
      <c r="O973" s="559"/>
      <c r="P973" s="559"/>
      <c r="Q973" s="559"/>
      <c r="R973" s="559"/>
      <c r="S973" s="559"/>
      <c r="T973" s="559"/>
      <c r="U973" s="559"/>
      <c r="V973" s="559"/>
      <c r="W973" s="559"/>
      <c r="X973" s="559"/>
      <c r="Y973" s="559"/>
      <c r="Z973" s="559"/>
      <c r="AA973" s="559"/>
      <c r="AB973" s="559"/>
      <c r="AC973" s="559"/>
      <c r="AD973" s="559"/>
      <c r="AE973" s="559"/>
      <c r="AF973" s="559"/>
      <c r="AG973" s="559"/>
      <c r="AH973" s="559"/>
      <c r="AI973" s="559"/>
      <c r="AJ973" s="559"/>
      <c r="AK973" s="559"/>
      <c r="AL973" s="559"/>
      <c r="AM973" s="559"/>
      <c r="AN973" s="559"/>
    </row>
    <row r="974">
      <c r="A974" s="559"/>
      <c r="B974" s="559"/>
      <c r="C974" s="559"/>
      <c r="D974" s="559"/>
      <c r="E974" s="559"/>
      <c r="F974" s="559"/>
      <c r="G974" s="559"/>
      <c r="H974" s="559"/>
      <c r="I974" s="559"/>
      <c r="J974" s="559"/>
      <c r="K974" s="559"/>
      <c r="L974" s="559"/>
      <c r="M974" s="559"/>
      <c r="N974" s="559"/>
      <c r="O974" s="559"/>
      <c r="P974" s="559"/>
      <c r="Q974" s="559"/>
      <c r="R974" s="559"/>
      <c r="S974" s="559"/>
      <c r="T974" s="559"/>
      <c r="U974" s="559"/>
      <c r="V974" s="559"/>
      <c r="W974" s="559"/>
      <c r="X974" s="559"/>
      <c r="Y974" s="559"/>
      <c r="Z974" s="559"/>
      <c r="AA974" s="559"/>
      <c r="AB974" s="559"/>
      <c r="AC974" s="559"/>
      <c r="AD974" s="559"/>
      <c r="AE974" s="559"/>
      <c r="AF974" s="559"/>
      <c r="AG974" s="559"/>
      <c r="AH974" s="559"/>
      <c r="AI974" s="559"/>
      <c r="AJ974" s="559"/>
      <c r="AK974" s="559"/>
      <c r="AL974" s="559"/>
      <c r="AM974" s="559"/>
      <c r="AN974" s="559"/>
    </row>
    <row r="975">
      <c r="A975" s="559"/>
      <c r="B975" s="559"/>
      <c r="C975" s="559"/>
      <c r="D975" s="559"/>
      <c r="E975" s="559"/>
      <c r="F975" s="559"/>
      <c r="G975" s="559"/>
      <c r="H975" s="559"/>
      <c r="I975" s="559"/>
      <c r="J975" s="559"/>
      <c r="K975" s="559"/>
      <c r="L975" s="559"/>
      <c r="M975" s="559"/>
      <c r="N975" s="559"/>
      <c r="O975" s="559"/>
      <c r="P975" s="559"/>
      <c r="Q975" s="559"/>
      <c r="R975" s="559"/>
      <c r="S975" s="559"/>
      <c r="T975" s="559"/>
      <c r="U975" s="559"/>
      <c r="V975" s="559"/>
      <c r="W975" s="559"/>
      <c r="X975" s="559"/>
      <c r="Y975" s="559"/>
      <c r="Z975" s="559"/>
      <c r="AA975" s="559"/>
      <c r="AB975" s="559"/>
      <c r="AC975" s="559"/>
      <c r="AD975" s="559"/>
      <c r="AE975" s="559"/>
      <c r="AF975" s="559"/>
      <c r="AG975" s="559"/>
      <c r="AH975" s="559"/>
      <c r="AI975" s="559"/>
      <c r="AJ975" s="559"/>
      <c r="AK975" s="559"/>
      <c r="AL975" s="559"/>
      <c r="AM975" s="559"/>
      <c r="AN975" s="559"/>
    </row>
    <row r="976">
      <c r="A976" s="559"/>
      <c r="B976" s="559"/>
      <c r="C976" s="559"/>
      <c r="D976" s="559"/>
      <c r="E976" s="559"/>
      <c r="F976" s="559"/>
      <c r="G976" s="559"/>
      <c r="H976" s="559"/>
      <c r="I976" s="559"/>
      <c r="J976" s="559"/>
      <c r="K976" s="559"/>
      <c r="L976" s="559"/>
      <c r="M976" s="559"/>
      <c r="N976" s="559"/>
      <c r="O976" s="559"/>
      <c r="P976" s="559"/>
      <c r="Q976" s="559"/>
      <c r="R976" s="559"/>
      <c r="S976" s="559"/>
      <c r="T976" s="559"/>
      <c r="U976" s="559"/>
      <c r="V976" s="559"/>
      <c r="W976" s="559"/>
      <c r="X976" s="559"/>
      <c r="Y976" s="559"/>
      <c r="Z976" s="559"/>
      <c r="AA976" s="559"/>
      <c r="AB976" s="559"/>
      <c r="AC976" s="559"/>
      <c r="AD976" s="559"/>
      <c r="AE976" s="559"/>
      <c r="AF976" s="559"/>
      <c r="AG976" s="559"/>
      <c r="AH976" s="559"/>
      <c r="AI976" s="559"/>
      <c r="AJ976" s="559"/>
      <c r="AK976" s="559"/>
      <c r="AL976" s="559"/>
      <c r="AM976" s="559"/>
      <c r="AN976" s="559"/>
    </row>
    <row r="977">
      <c r="A977" s="559"/>
      <c r="B977" s="559"/>
      <c r="C977" s="559"/>
      <c r="D977" s="559"/>
      <c r="E977" s="559"/>
      <c r="F977" s="559"/>
      <c r="G977" s="559"/>
      <c r="H977" s="559"/>
      <c r="I977" s="559"/>
      <c r="J977" s="559"/>
      <c r="K977" s="559"/>
      <c r="L977" s="559"/>
      <c r="M977" s="559"/>
      <c r="N977" s="559"/>
      <c r="O977" s="559"/>
      <c r="P977" s="559"/>
      <c r="Q977" s="559"/>
      <c r="R977" s="559"/>
      <c r="S977" s="559"/>
      <c r="T977" s="559"/>
      <c r="U977" s="559"/>
      <c r="V977" s="559"/>
      <c r="W977" s="559"/>
      <c r="X977" s="559"/>
      <c r="Y977" s="559"/>
      <c r="Z977" s="559"/>
      <c r="AA977" s="559"/>
      <c r="AB977" s="559"/>
      <c r="AC977" s="559"/>
      <c r="AD977" s="559"/>
      <c r="AE977" s="559"/>
      <c r="AF977" s="559"/>
      <c r="AG977" s="559"/>
      <c r="AH977" s="559"/>
      <c r="AI977" s="559"/>
      <c r="AJ977" s="559"/>
      <c r="AK977" s="559"/>
      <c r="AL977" s="559"/>
      <c r="AM977" s="559"/>
      <c r="AN977" s="559"/>
    </row>
    <row r="978">
      <c r="A978" s="559"/>
      <c r="B978" s="559"/>
      <c r="C978" s="559"/>
      <c r="D978" s="559"/>
      <c r="E978" s="559"/>
      <c r="F978" s="559"/>
      <c r="G978" s="559"/>
      <c r="H978" s="559"/>
      <c r="I978" s="559"/>
      <c r="J978" s="559"/>
      <c r="K978" s="559"/>
      <c r="L978" s="559"/>
      <c r="M978" s="559"/>
      <c r="N978" s="559"/>
      <c r="O978" s="559"/>
      <c r="P978" s="559"/>
      <c r="Q978" s="559"/>
      <c r="R978" s="559"/>
      <c r="S978" s="559"/>
      <c r="T978" s="559"/>
      <c r="U978" s="559"/>
      <c r="V978" s="559"/>
      <c r="W978" s="559"/>
      <c r="X978" s="559"/>
      <c r="Y978" s="559"/>
      <c r="Z978" s="559"/>
      <c r="AA978" s="559"/>
      <c r="AB978" s="559"/>
      <c r="AC978" s="559"/>
      <c r="AD978" s="559"/>
      <c r="AE978" s="559"/>
      <c r="AF978" s="559"/>
      <c r="AG978" s="559"/>
      <c r="AH978" s="559"/>
      <c r="AI978" s="559"/>
      <c r="AJ978" s="559"/>
      <c r="AK978" s="559"/>
      <c r="AL978" s="559"/>
      <c r="AM978" s="559"/>
      <c r="AN978" s="559"/>
    </row>
    <row r="979">
      <c r="A979" s="559"/>
      <c r="B979" s="559"/>
      <c r="C979" s="559"/>
      <c r="D979" s="559"/>
      <c r="E979" s="559"/>
      <c r="F979" s="559"/>
      <c r="G979" s="559"/>
      <c r="H979" s="559"/>
      <c r="I979" s="559"/>
      <c r="J979" s="559"/>
      <c r="K979" s="559"/>
      <c r="L979" s="559"/>
      <c r="M979" s="559"/>
      <c r="N979" s="559"/>
      <c r="O979" s="559"/>
      <c r="P979" s="559"/>
      <c r="Q979" s="559"/>
      <c r="R979" s="559"/>
      <c r="S979" s="559"/>
      <c r="T979" s="559"/>
      <c r="U979" s="559"/>
      <c r="V979" s="559"/>
      <c r="W979" s="559"/>
      <c r="X979" s="559"/>
      <c r="Y979" s="559"/>
      <c r="Z979" s="559"/>
      <c r="AA979" s="559"/>
      <c r="AB979" s="559"/>
      <c r="AC979" s="559"/>
      <c r="AD979" s="559"/>
      <c r="AE979" s="559"/>
      <c r="AF979" s="559"/>
      <c r="AG979" s="559"/>
      <c r="AH979" s="559"/>
      <c r="AI979" s="559"/>
      <c r="AJ979" s="559"/>
      <c r="AK979" s="559"/>
      <c r="AL979" s="559"/>
      <c r="AM979" s="559"/>
      <c r="AN979" s="559"/>
    </row>
    <row r="980">
      <c r="A980" s="559"/>
      <c r="B980" s="559"/>
      <c r="C980" s="559"/>
      <c r="D980" s="559"/>
      <c r="E980" s="559"/>
      <c r="F980" s="559"/>
      <c r="G980" s="559"/>
      <c r="H980" s="559"/>
      <c r="I980" s="559"/>
      <c r="J980" s="559"/>
      <c r="K980" s="559"/>
      <c r="L980" s="559"/>
      <c r="M980" s="559"/>
      <c r="N980" s="559"/>
      <c r="O980" s="559"/>
      <c r="P980" s="559"/>
      <c r="Q980" s="559"/>
      <c r="R980" s="559"/>
      <c r="S980" s="559"/>
      <c r="T980" s="559"/>
      <c r="U980" s="559"/>
      <c r="V980" s="559"/>
      <c r="W980" s="559"/>
      <c r="X980" s="559"/>
      <c r="Y980" s="559"/>
      <c r="Z980" s="559"/>
      <c r="AA980" s="559"/>
      <c r="AB980" s="559"/>
      <c r="AC980" s="559"/>
      <c r="AD980" s="559"/>
      <c r="AE980" s="559"/>
      <c r="AF980" s="559"/>
      <c r="AG980" s="559"/>
      <c r="AH980" s="559"/>
      <c r="AI980" s="559"/>
      <c r="AJ980" s="559"/>
      <c r="AK980" s="559"/>
      <c r="AL980" s="559"/>
      <c r="AM980" s="559"/>
      <c r="AN980" s="559"/>
    </row>
    <row r="981">
      <c r="A981" s="559"/>
      <c r="B981" s="559"/>
      <c r="C981" s="559"/>
      <c r="D981" s="559"/>
      <c r="E981" s="559"/>
      <c r="F981" s="559"/>
      <c r="G981" s="559"/>
      <c r="H981" s="559"/>
      <c r="I981" s="559"/>
      <c r="J981" s="559"/>
      <c r="K981" s="559"/>
      <c r="L981" s="559"/>
      <c r="M981" s="559"/>
      <c r="N981" s="559"/>
      <c r="O981" s="559"/>
      <c r="P981" s="559"/>
      <c r="Q981" s="559"/>
      <c r="R981" s="559"/>
      <c r="S981" s="559"/>
      <c r="T981" s="559"/>
      <c r="U981" s="559"/>
      <c r="V981" s="559"/>
      <c r="W981" s="559"/>
      <c r="X981" s="559"/>
      <c r="Y981" s="559"/>
      <c r="Z981" s="559"/>
      <c r="AA981" s="559"/>
      <c r="AB981" s="559"/>
      <c r="AC981" s="559"/>
      <c r="AD981" s="559"/>
      <c r="AE981" s="559"/>
      <c r="AF981" s="559"/>
      <c r="AG981" s="559"/>
      <c r="AH981" s="559"/>
      <c r="AI981" s="559"/>
      <c r="AJ981" s="559"/>
      <c r="AK981" s="559"/>
      <c r="AL981" s="559"/>
      <c r="AM981" s="559"/>
      <c r="AN981" s="559"/>
    </row>
    <row r="982">
      <c r="A982" s="559"/>
      <c r="B982" s="559"/>
      <c r="C982" s="559"/>
      <c r="D982" s="559"/>
      <c r="E982" s="559"/>
      <c r="F982" s="559"/>
      <c r="G982" s="559"/>
      <c r="H982" s="559"/>
      <c r="I982" s="559"/>
      <c r="J982" s="559"/>
      <c r="K982" s="559"/>
      <c r="L982" s="559"/>
      <c r="M982" s="559"/>
      <c r="N982" s="559"/>
      <c r="O982" s="559"/>
      <c r="P982" s="559"/>
      <c r="Q982" s="559"/>
      <c r="R982" s="559"/>
      <c r="S982" s="559"/>
      <c r="T982" s="559"/>
      <c r="U982" s="559"/>
      <c r="V982" s="559"/>
      <c r="W982" s="559"/>
      <c r="X982" s="559"/>
      <c r="Y982" s="559"/>
      <c r="Z982" s="559"/>
      <c r="AA982" s="559"/>
      <c r="AB982" s="559"/>
      <c r="AC982" s="559"/>
      <c r="AD982" s="559"/>
      <c r="AE982" s="559"/>
      <c r="AF982" s="559"/>
      <c r="AG982" s="559"/>
      <c r="AH982" s="559"/>
      <c r="AI982" s="559"/>
      <c r="AJ982" s="559"/>
      <c r="AK982" s="559"/>
      <c r="AL982" s="559"/>
      <c r="AM982" s="559"/>
      <c r="AN982" s="559"/>
    </row>
    <row r="983">
      <c r="A983" s="559"/>
      <c r="B983" s="559"/>
      <c r="C983" s="559"/>
      <c r="D983" s="559"/>
      <c r="E983" s="559"/>
      <c r="F983" s="559"/>
      <c r="G983" s="559"/>
      <c r="H983" s="559"/>
      <c r="I983" s="559"/>
      <c r="J983" s="559"/>
      <c r="K983" s="559"/>
      <c r="L983" s="559"/>
      <c r="M983" s="559"/>
      <c r="N983" s="559"/>
      <c r="O983" s="559"/>
      <c r="P983" s="559"/>
      <c r="Q983" s="559"/>
      <c r="R983" s="559"/>
      <c r="S983" s="559"/>
      <c r="T983" s="559"/>
      <c r="U983" s="559"/>
      <c r="V983" s="559"/>
      <c r="W983" s="559"/>
      <c r="X983" s="559"/>
      <c r="Y983" s="559"/>
      <c r="Z983" s="559"/>
      <c r="AA983" s="559"/>
      <c r="AB983" s="559"/>
      <c r="AC983" s="559"/>
      <c r="AD983" s="559"/>
      <c r="AE983" s="559"/>
      <c r="AF983" s="559"/>
      <c r="AG983" s="559"/>
      <c r="AH983" s="559"/>
      <c r="AI983" s="559"/>
      <c r="AJ983" s="559"/>
      <c r="AK983" s="559"/>
      <c r="AL983" s="559"/>
      <c r="AM983" s="559"/>
      <c r="AN983" s="559"/>
    </row>
    <row r="984">
      <c r="A984" s="559"/>
      <c r="B984" s="559"/>
      <c r="C984" s="559"/>
      <c r="D984" s="559"/>
      <c r="E984" s="559"/>
      <c r="F984" s="559"/>
      <c r="G984" s="559"/>
      <c r="H984" s="559"/>
      <c r="I984" s="559"/>
      <c r="J984" s="559"/>
      <c r="K984" s="559"/>
      <c r="L984" s="559"/>
      <c r="M984" s="559"/>
      <c r="N984" s="559"/>
      <c r="O984" s="559"/>
      <c r="P984" s="559"/>
      <c r="Q984" s="559"/>
      <c r="R984" s="559"/>
      <c r="S984" s="559"/>
      <c r="T984" s="559"/>
      <c r="U984" s="559"/>
      <c r="V984" s="559"/>
      <c r="W984" s="559"/>
      <c r="X984" s="559"/>
      <c r="Y984" s="559"/>
      <c r="Z984" s="559"/>
      <c r="AA984" s="559"/>
      <c r="AB984" s="559"/>
      <c r="AC984" s="559"/>
      <c r="AD984" s="559"/>
      <c r="AE984" s="559"/>
      <c r="AF984" s="559"/>
      <c r="AG984" s="559"/>
      <c r="AH984" s="559"/>
      <c r="AI984" s="559"/>
      <c r="AJ984" s="559"/>
      <c r="AK984" s="559"/>
      <c r="AL984" s="559"/>
      <c r="AM984" s="559"/>
      <c r="AN984" s="559"/>
    </row>
    <row r="985">
      <c r="A985" s="559"/>
      <c r="B985" s="559"/>
      <c r="C985" s="559"/>
      <c r="D985" s="559"/>
      <c r="E985" s="559"/>
      <c r="F985" s="559"/>
      <c r="G985" s="559"/>
      <c r="H985" s="559"/>
      <c r="I985" s="559"/>
      <c r="J985" s="559"/>
      <c r="K985" s="559"/>
      <c r="L985" s="559"/>
      <c r="M985" s="559"/>
      <c r="N985" s="559"/>
      <c r="O985" s="559"/>
      <c r="P985" s="559"/>
      <c r="Q985" s="559"/>
      <c r="R985" s="559"/>
      <c r="S985" s="559"/>
      <c r="T985" s="559"/>
      <c r="U985" s="559"/>
      <c r="V985" s="559"/>
      <c r="W985" s="559"/>
      <c r="X985" s="559"/>
      <c r="Y985" s="559"/>
      <c r="Z985" s="559"/>
      <c r="AA985" s="559"/>
      <c r="AB985" s="559"/>
      <c r="AC985" s="559"/>
      <c r="AD985" s="559"/>
      <c r="AE985" s="559"/>
      <c r="AF985" s="559"/>
      <c r="AG985" s="559"/>
      <c r="AH985" s="559"/>
      <c r="AI985" s="559"/>
      <c r="AJ985" s="559"/>
      <c r="AK985" s="559"/>
      <c r="AL985" s="559"/>
      <c r="AM985" s="559"/>
      <c r="AN985" s="559"/>
    </row>
    <row r="986">
      <c r="A986" s="559"/>
      <c r="B986" s="559"/>
      <c r="C986" s="559"/>
      <c r="D986" s="559"/>
      <c r="E986" s="559"/>
      <c r="F986" s="559"/>
      <c r="G986" s="559"/>
      <c r="H986" s="559"/>
      <c r="I986" s="559"/>
      <c r="J986" s="559"/>
      <c r="K986" s="559"/>
      <c r="L986" s="559"/>
      <c r="M986" s="559"/>
      <c r="N986" s="559"/>
      <c r="O986" s="559"/>
      <c r="P986" s="559"/>
      <c r="Q986" s="559"/>
      <c r="R986" s="559"/>
      <c r="S986" s="559"/>
      <c r="T986" s="559"/>
      <c r="U986" s="559"/>
      <c r="V986" s="559"/>
      <c r="W986" s="559"/>
      <c r="X986" s="559"/>
      <c r="Y986" s="559"/>
      <c r="Z986" s="559"/>
      <c r="AA986" s="559"/>
      <c r="AB986" s="559"/>
      <c r="AC986" s="559"/>
      <c r="AD986" s="559"/>
      <c r="AE986" s="559"/>
      <c r="AF986" s="559"/>
      <c r="AG986" s="559"/>
      <c r="AH986" s="559"/>
      <c r="AI986" s="559"/>
      <c r="AJ986" s="559"/>
      <c r="AK986" s="559"/>
      <c r="AL986" s="559"/>
      <c r="AM986" s="559"/>
      <c r="AN986" s="559"/>
    </row>
    <row r="987">
      <c r="A987" s="559"/>
      <c r="B987" s="559"/>
      <c r="C987" s="559"/>
      <c r="D987" s="559"/>
      <c r="E987" s="559"/>
      <c r="F987" s="559"/>
      <c r="G987" s="559"/>
      <c r="H987" s="559"/>
      <c r="I987" s="559"/>
      <c r="J987" s="559"/>
      <c r="K987" s="559"/>
      <c r="L987" s="559"/>
      <c r="M987" s="559"/>
      <c r="N987" s="559"/>
      <c r="O987" s="559"/>
      <c r="P987" s="559"/>
      <c r="Q987" s="559"/>
      <c r="R987" s="559"/>
      <c r="S987" s="559"/>
      <c r="T987" s="559"/>
      <c r="U987" s="559"/>
      <c r="V987" s="559"/>
      <c r="W987" s="559"/>
      <c r="X987" s="559"/>
      <c r="Y987" s="559"/>
      <c r="Z987" s="559"/>
      <c r="AA987" s="559"/>
      <c r="AB987" s="559"/>
      <c r="AC987" s="559"/>
      <c r="AD987" s="559"/>
      <c r="AE987" s="559"/>
      <c r="AF987" s="559"/>
      <c r="AG987" s="559"/>
      <c r="AH987" s="559"/>
      <c r="AI987" s="559"/>
      <c r="AJ987" s="559"/>
      <c r="AK987" s="559"/>
      <c r="AL987" s="559"/>
      <c r="AM987" s="559"/>
      <c r="AN987" s="559"/>
    </row>
    <row r="988">
      <c r="A988" s="559"/>
      <c r="B988" s="559"/>
      <c r="C988" s="559"/>
      <c r="D988" s="559"/>
      <c r="E988" s="559"/>
      <c r="F988" s="559"/>
      <c r="G988" s="559"/>
      <c r="H988" s="559"/>
      <c r="I988" s="559"/>
      <c r="J988" s="559"/>
      <c r="K988" s="559"/>
      <c r="L988" s="559"/>
      <c r="M988" s="559"/>
      <c r="N988" s="559"/>
      <c r="O988" s="559"/>
      <c r="P988" s="559"/>
      <c r="Q988" s="559"/>
      <c r="R988" s="559"/>
      <c r="S988" s="559"/>
      <c r="T988" s="559"/>
      <c r="U988" s="559"/>
      <c r="V988" s="559"/>
      <c r="W988" s="559"/>
      <c r="X988" s="559"/>
      <c r="Y988" s="559"/>
      <c r="Z988" s="559"/>
      <c r="AA988" s="559"/>
      <c r="AB988" s="559"/>
      <c r="AC988" s="559"/>
      <c r="AD988" s="559"/>
      <c r="AE988" s="559"/>
      <c r="AF988" s="559"/>
      <c r="AG988" s="559"/>
      <c r="AH988" s="559"/>
      <c r="AI988" s="559"/>
      <c r="AJ988" s="559"/>
      <c r="AK988" s="559"/>
      <c r="AL988" s="559"/>
      <c r="AM988" s="559"/>
      <c r="AN988" s="559"/>
    </row>
    <row r="989">
      <c r="A989" s="559"/>
      <c r="B989" s="559"/>
      <c r="C989" s="559"/>
      <c r="D989" s="559"/>
      <c r="E989" s="559"/>
      <c r="F989" s="559"/>
      <c r="G989" s="559"/>
      <c r="H989" s="559"/>
      <c r="I989" s="559"/>
      <c r="J989" s="559"/>
      <c r="K989" s="559"/>
      <c r="L989" s="559"/>
      <c r="M989" s="559"/>
      <c r="N989" s="559"/>
      <c r="O989" s="559"/>
      <c r="P989" s="559"/>
      <c r="Q989" s="559"/>
      <c r="R989" s="559"/>
      <c r="S989" s="559"/>
      <c r="T989" s="559"/>
      <c r="U989" s="559"/>
      <c r="V989" s="559"/>
      <c r="W989" s="559"/>
      <c r="X989" s="559"/>
      <c r="Y989" s="559"/>
      <c r="Z989" s="559"/>
      <c r="AA989" s="559"/>
      <c r="AB989" s="559"/>
      <c r="AC989" s="559"/>
      <c r="AD989" s="559"/>
      <c r="AE989" s="559"/>
      <c r="AF989" s="559"/>
      <c r="AG989" s="559"/>
      <c r="AH989" s="559"/>
      <c r="AI989" s="559"/>
      <c r="AJ989" s="559"/>
      <c r="AK989" s="559"/>
      <c r="AL989" s="559"/>
      <c r="AM989" s="559"/>
      <c r="AN989" s="559"/>
    </row>
    <row r="990">
      <c r="A990" s="559"/>
      <c r="B990" s="559"/>
      <c r="C990" s="559"/>
      <c r="D990" s="559"/>
      <c r="E990" s="559"/>
      <c r="F990" s="559"/>
      <c r="G990" s="559"/>
      <c r="H990" s="559"/>
      <c r="I990" s="559"/>
      <c r="J990" s="559"/>
      <c r="K990" s="559"/>
      <c r="L990" s="559"/>
      <c r="M990" s="559"/>
      <c r="N990" s="559"/>
      <c r="O990" s="559"/>
      <c r="P990" s="559"/>
      <c r="Q990" s="559"/>
      <c r="R990" s="559"/>
      <c r="S990" s="559"/>
      <c r="T990" s="559"/>
      <c r="U990" s="559"/>
      <c r="V990" s="559"/>
      <c r="W990" s="559"/>
      <c r="X990" s="559"/>
      <c r="Y990" s="559"/>
      <c r="Z990" s="559"/>
      <c r="AA990" s="559"/>
      <c r="AB990" s="559"/>
      <c r="AC990" s="559"/>
      <c r="AD990" s="559"/>
      <c r="AE990" s="559"/>
      <c r="AF990" s="559"/>
      <c r="AG990" s="559"/>
      <c r="AH990" s="559"/>
      <c r="AI990" s="559"/>
      <c r="AJ990" s="559"/>
      <c r="AK990" s="559"/>
      <c r="AL990" s="559"/>
      <c r="AM990" s="559"/>
      <c r="AN990" s="559"/>
    </row>
    <row r="991">
      <c r="A991" s="559"/>
      <c r="B991" s="559"/>
      <c r="C991" s="559"/>
      <c r="D991" s="559"/>
      <c r="E991" s="559"/>
      <c r="F991" s="559"/>
      <c r="G991" s="559"/>
      <c r="H991" s="559"/>
      <c r="I991" s="559"/>
      <c r="J991" s="559"/>
      <c r="K991" s="559"/>
      <c r="L991" s="559"/>
      <c r="M991" s="559"/>
      <c r="N991" s="559"/>
      <c r="O991" s="559"/>
      <c r="P991" s="559"/>
      <c r="Q991" s="559"/>
      <c r="R991" s="559"/>
      <c r="S991" s="559"/>
      <c r="T991" s="559"/>
      <c r="U991" s="559"/>
      <c r="V991" s="559"/>
      <c r="W991" s="559"/>
      <c r="X991" s="559"/>
      <c r="Y991" s="559"/>
      <c r="Z991" s="559"/>
      <c r="AA991" s="559"/>
      <c r="AB991" s="559"/>
      <c r="AC991" s="559"/>
      <c r="AD991" s="559"/>
      <c r="AE991" s="559"/>
      <c r="AF991" s="559"/>
      <c r="AG991" s="559"/>
      <c r="AH991" s="559"/>
      <c r="AI991" s="559"/>
      <c r="AJ991" s="559"/>
      <c r="AK991" s="559"/>
      <c r="AL991" s="559"/>
      <c r="AM991" s="559"/>
      <c r="AN991" s="559"/>
    </row>
    <row r="992">
      <c r="A992" s="559"/>
      <c r="B992" s="559"/>
      <c r="C992" s="559"/>
      <c r="D992" s="559"/>
      <c r="E992" s="559"/>
      <c r="F992" s="559"/>
      <c r="G992" s="559"/>
      <c r="H992" s="559"/>
      <c r="I992" s="559"/>
      <c r="J992" s="559"/>
      <c r="K992" s="559"/>
      <c r="L992" s="559"/>
      <c r="M992" s="559"/>
      <c r="N992" s="559"/>
      <c r="O992" s="559"/>
      <c r="P992" s="559"/>
      <c r="Q992" s="559"/>
      <c r="R992" s="559"/>
      <c r="S992" s="559"/>
      <c r="T992" s="559"/>
      <c r="U992" s="559"/>
      <c r="V992" s="559"/>
      <c r="W992" s="559"/>
      <c r="X992" s="559"/>
      <c r="Y992" s="559"/>
      <c r="Z992" s="559"/>
      <c r="AA992" s="559"/>
      <c r="AB992" s="559"/>
      <c r="AC992" s="559"/>
      <c r="AD992" s="559"/>
      <c r="AE992" s="559"/>
      <c r="AF992" s="559"/>
      <c r="AG992" s="559"/>
      <c r="AH992" s="559"/>
      <c r="AI992" s="559"/>
      <c r="AJ992" s="559"/>
      <c r="AK992" s="559"/>
      <c r="AL992" s="559"/>
      <c r="AM992" s="559"/>
      <c r="AN992" s="559"/>
    </row>
    <row r="993">
      <c r="A993" s="559"/>
      <c r="B993" s="559"/>
      <c r="C993" s="559"/>
      <c r="D993" s="559"/>
      <c r="E993" s="559"/>
      <c r="F993" s="559"/>
      <c r="G993" s="559"/>
      <c r="H993" s="559"/>
      <c r="I993" s="559"/>
      <c r="J993" s="559"/>
      <c r="K993" s="559"/>
      <c r="L993" s="559"/>
      <c r="M993" s="559"/>
      <c r="N993" s="559"/>
      <c r="O993" s="559"/>
      <c r="P993" s="559"/>
      <c r="Q993" s="559"/>
      <c r="R993" s="559"/>
      <c r="S993" s="559"/>
      <c r="T993" s="559"/>
      <c r="U993" s="559"/>
      <c r="V993" s="559"/>
      <c r="W993" s="559"/>
      <c r="X993" s="559"/>
      <c r="Y993" s="559"/>
      <c r="Z993" s="559"/>
      <c r="AA993" s="559"/>
      <c r="AB993" s="559"/>
      <c r="AC993" s="559"/>
      <c r="AD993" s="559"/>
      <c r="AE993" s="559"/>
      <c r="AF993" s="559"/>
      <c r="AG993" s="559"/>
      <c r="AH993" s="559"/>
      <c r="AI993" s="559"/>
      <c r="AJ993" s="559"/>
      <c r="AK993" s="559"/>
      <c r="AL993" s="559"/>
      <c r="AM993" s="559"/>
      <c r="AN993" s="559"/>
    </row>
    <row r="994">
      <c r="A994" s="559"/>
      <c r="B994" s="559"/>
      <c r="C994" s="559"/>
      <c r="D994" s="559"/>
      <c r="E994" s="559"/>
      <c r="F994" s="559"/>
      <c r="G994" s="559"/>
      <c r="H994" s="559"/>
      <c r="I994" s="559"/>
      <c r="J994" s="559"/>
      <c r="K994" s="559"/>
      <c r="L994" s="559"/>
      <c r="M994" s="559"/>
      <c r="N994" s="559"/>
      <c r="O994" s="559"/>
      <c r="P994" s="559"/>
      <c r="Q994" s="559"/>
      <c r="R994" s="559"/>
      <c r="S994" s="559"/>
      <c r="T994" s="559"/>
      <c r="U994" s="559"/>
      <c r="V994" s="559"/>
      <c r="W994" s="559"/>
      <c r="X994" s="559"/>
      <c r="Y994" s="559"/>
      <c r="Z994" s="559"/>
      <c r="AA994" s="559"/>
      <c r="AB994" s="559"/>
      <c r="AC994" s="559"/>
      <c r="AD994" s="559"/>
      <c r="AE994" s="559"/>
      <c r="AF994" s="559"/>
      <c r="AG994" s="559"/>
      <c r="AH994" s="559"/>
      <c r="AI994" s="559"/>
      <c r="AJ994" s="559"/>
      <c r="AK994" s="559"/>
      <c r="AL994" s="559"/>
      <c r="AM994" s="559"/>
      <c r="AN994" s="559"/>
    </row>
    <row r="995">
      <c r="A995" s="559"/>
      <c r="B995" s="559"/>
      <c r="C995" s="559"/>
      <c r="D995" s="559"/>
      <c r="E995" s="559"/>
      <c r="F995" s="559"/>
      <c r="G995" s="559"/>
      <c r="H995" s="559"/>
      <c r="I995" s="559"/>
      <c r="J995" s="559"/>
      <c r="K995" s="559"/>
      <c r="L995" s="559"/>
      <c r="M995" s="559"/>
      <c r="N995" s="559"/>
      <c r="O995" s="559"/>
      <c r="P995" s="559"/>
      <c r="Q995" s="559"/>
      <c r="R995" s="559"/>
      <c r="S995" s="559"/>
      <c r="T995" s="559"/>
      <c r="U995" s="559"/>
      <c r="V995" s="559"/>
      <c r="W995" s="559"/>
      <c r="X995" s="559"/>
      <c r="Y995" s="559"/>
      <c r="Z995" s="559"/>
      <c r="AA995" s="559"/>
      <c r="AB995" s="559"/>
      <c r="AC995" s="559"/>
      <c r="AD995" s="559"/>
      <c r="AE995" s="559"/>
      <c r="AF995" s="559"/>
      <c r="AG995" s="559"/>
      <c r="AH995" s="559"/>
      <c r="AI995" s="559"/>
      <c r="AJ995" s="559"/>
      <c r="AK995" s="559"/>
      <c r="AL995" s="559"/>
      <c r="AM995" s="559"/>
      <c r="AN995" s="559"/>
    </row>
    <row r="996">
      <c r="A996" s="559"/>
      <c r="B996" s="559"/>
      <c r="C996" s="559"/>
      <c r="D996" s="559"/>
      <c r="E996" s="559"/>
      <c r="F996" s="559"/>
      <c r="G996" s="559"/>
      <c r="H996" s="559"/>
      <c r="I996" s="559"/>
      <c r="J996" s="559"/>
      <c r="K996" s="559"/>
      <c r="L996" s="559"/>
      <c r="M996" s="559"/>
      <c r="N996" s="559"/>
      <c r="O996" s="559"/>
      <c r="P996" s="559"/>
      <c r="Q996" s="559"/>
      <c r="R996" s="559"/>
      <c r="S996" s="559"/>
      <c r="T996" s="559"/>
      <c r="U996" s="559"/>
      <c r="V996" s="559"/>
      <c r="W996" s="559"/>
      <c r="X996" s="559"/>
      <c r="Y996" s="559"/>
      <c r="Z996" s="559"/>
      <c r="AA996" s="559"/>
      <c r="AB996" s="559"/>
      <c r="AC996" s="559"/>
      <c r="AD996" s="559"/>
      <c r="AE996" s="559"/>
      <c r="AF996" s="559"/>
      <c r="AG996" s="559"/>
      <c r="AH996" s="559"/>
      <c r="AI996" s="559"/>
      <c r="AJ996" s="559"/>
      <c r="AK996" s="559"/>
      <c r="AL996" s="559"/>
      <c r="AM996" s="559"/>
      <c r="AN996" s="559"/>
    </row>
    <row r="997">
      <c r="A997" s="559"/>
      <c r="B997" s="559"/>
      <c r="C997" s="559"/>
      <c r="D997" s="559"/>
      <c r="E997" s="559"/>
      <c r="F997" s="559"/>
      <c r="G997" s="559"/>
      <c r="H997" s="559"/>
      <c r="I997" s="559"/>
      <c r="J997" s="559"/>
      <c r="K997" s="559"/>
      <c r="L997" s="559"/>
      <c r="M997" s="559"/>
      <c r="N997" s="559"/>
      <c r="O997" s="559"/>
      <c r="P997" s="559"/>
      <c r="Q997" s="559"/>
      <c r="R997" s="559"/>
      <c r="S997" s="559"/>
      <c r="T997" s="559"/>
      <c r="U997" s="559"/>
      <c r="V997" s="559"/>
      <c r="W997" s="559"/>
      <c r="X997" s="559"/>
      <c r="Y997" s="559"/>
      <c r="Z997" s="559"/>
      <c r="AA997" s="559"/>
      <c r="AB997" s="559"/>
      <c r="AC997" s="559"/>
      <c r="AD997" s="559"/>
      <c r="AE997" s="559"/>
      <c r="AF997" s="559"/>
      <c r="AG997" s="559"/>
      <c r="AH997" s="559"/>
      <c r="AI997" s="559"/>
      <c r="AJ997" s="559"/>
      <c r="AK997" s="559"/>
      <c r="AL997" s="559"/>
      <c r="AM997" s="559"/>
      <c r="AN997" s="559"/>
    </row>
    <row r="998">
      <c r="A998" s="559"/>
      <c r="B998" s="559"/>
      <c r="C998" s="559"/>
      <c r="D998" s="559"/>
      <c r="E998" s="559"/>
      <c r="F998" s="559"/>
      <c r="G998" s="559"/>
      <c r="H998" s="559"/>
      <c r="I998" s="559"/>
      <c r="J998" s="559"/>
      <c r="K998" s="559"/>
      <c r="L998" s="559"/>
      <c r="M998" s="559"/>
      <c r="N998" s="559"/>
      <c r="O998" s="559"/>
      <c r="P998" s="559"/>
      <c r="Q998" s="559"/>
      <c r="R998" s="559"/>
      <c r="S998" s="559"/>
      <c r="T998" s="559"/>
      <c r="U998" s="559"/>
      <c r="V998" s="559"/>
      <c r="W998" s="559"/>
      <c r="X998" s="559"/>
      <c r="Y998" s="559"/>
      <c r="Z998" s="559"/>
      <c r="AA998" s="559"/>
      <c r="AB998" s="559"/>
      <c r="AC998" s="559"/>
      <c r="AD998" s="559"/>
      <c r="AE998" s="559"/>
      <c r="AF998" s="559"/>
      <c r="AG998" s="559"/>
      <c r="AH998" s="559"/>
      <c r="AI998" s="559"/>
      <c r="AJ998" s="559"/>
      <c r="AK998" s="559"/>
      <c r="AL998" s="559"/>
      <c r="AM998" s="559"/>
      <c r="AN998" s="559"/>
    </row>
    <row r="999">
      <c r="A999" s="559"/>
      <c r="B999" s="559"/>
      <c r="C999" s="559"/>
      <c r="D999" s="559"/>
      <c r="E999" s="559"/>
      <c r="F999" s="559"/>
      <c r="G999" s="559"/>
      <c r="H999" s="559"/>
      <c r="I999" s="559"/>
      <c r="J999" s="559"/>
      <c r="K999" s="559"/>
      <c r="L999" s="559"/>
      <c r="M999" s="559"/>
      <c r="N999" s="559"/>
      <c r="O999" s="559"/>
      <c r="P999" s="559"/>
      <c r="Q999" s="559"/>
      <c r="R999" s="559"/>
      <c r="S999" s="559"/>
      <c r="T999" s="559"/>
      <c r="U999" s="559"/>
      <c r="V999" s="559"/>
      <c r="W999" s="559"/>
      <c r="X999" s="559"/>
      <c r="Y999" s="559"/>
      <c r="Z999" s="559"/>
      <c r="AA999" s="559"/>
      <c r="AB999" s="559"/>
      <c r="AC999" s="559"/>
      <c r="AD999" s="559"/>
      <c r="AE999" s="559"/>
      <c r="AF999" s="559"/>
      <c r="AG999" s="559"/>
      <c r="AH999" s="559"/>
      <c r="AI999" s="559"/>
      <c r="AJ999" s="559"/>
      <c r="AK999" s="559"/>
      <c r="AL999" s="559"/>
      <c r="AM999" s="559"/>
      <c r="AN999" s="559"/>
    </row>
    <row r="1000">
      <c r="A1000" s="559"/>
      <c r="B1000" s="559"/>
      <c r="C1000" s="559"/>
      <c r="D1000" s="559"/>
      <c r="E1000" s="559"/>
      <c r="F1000" s="559"/>
      <c r="G1000" s="559"/>
      <c r="H1000" s="559"/>
      <c r="I1000" s="559"/>
      <c r="J1000" s="559"/>
      <c r="K1000" s="559"/>
      <c r="L1000" s="559"/>
      <c r="M1000" s="559"/>
      <c r="N1000" s="559"/>
      <c r="O1000" s="559"/>
      <c r="P1000" s="559"/>
      <c r="Q1000" s="559"/>
      <c r="R1000" s="559"/>
      <c r="S1000" s="559"/>
      <c r="T1000" s="559"/>
      <c r="U1000" s="559"/>
      <c r="V1000" s="559"/>
      <c r="W1000" s="559"/>
      <c r="X1000" s="559"/>
      <c r="Y1000" s="559"/>
      <c r="Z1000" s="559"/>
      <c r="AA1000" s="559"/>
      <c r="AB1000" s="559"/>
      <c r="AC1000" s="559"/>
      <c r="AD1000" s="559"/>
      <c r="AE1000" s="559"/>
      <c r="AF1000" s="559"/>
      <c r="AG1000" s="559"/>
      <c r="AH1000" s="559"/>
      <c r="AI1000" s="559"/>
      <c r="AJ1000" s="559"/>
      <c r="AK1000" s="559"/>
      <c r="AL1000" s="559"/>
      <c r="AM1000" s="559"/>
      <c r="AN1000" s="559"/>
    </row>
    <row r="1001">
      <c r="A1001" s="559"/>
      <c r="B1001" s="559"/>
      <c r="C1001" s="559"/>
      <c r="D1001" s="559"/>
      <c r="E1001" s="559"/>
      <c r="F1001" s="559"/>
      <c r="G1001" s="559"/>
      <c r="H1001" s="559"/>
      <c r="I1001" s="559"/>
      <c r="J1001" s="559"/>
      <c r="K1001" s="559"/>
      <c r="L1001" s="559"/>
      <c r="M1001" s="559"/>
      <c r="N1001" s="559"/>
      <c r="O1001" s="559"/>
      <c r="P1001" s="559"/>
      <c r="Q1001" s="559"/>
      <c r="R1001" s="559"/>
      <c r="S1001" s="559"/>
      <c r="T1001" s="559"/>
      <c r="U1001" s="559"/>
      <c r="V1001" s="559"/>
      <c r="W1001" s="559"/>
      <c r="X1001" s="559"/>
      <c r="Y1001" s="559"/>
      <c r="Z1001" s="559"/>
      <c r="AA1001" s="559"/>
      <c r="AB1001" s="559"/>
      <c r="AC1001" s="559"/>
      <c r="AD1001" s="559"/>
      <c r="AE1001" s="559"/>
      <c r="AF1001" s="559"/>
      <c r="AG1001" s="559"/>
      <c r="AH1001" s="559"/>
      <c r="AI1001" s="559"/>
      <c r="AJ1001" s="559"/>
      <c r="AK1001" s="559"/>
      <c r="AL1001" s="559"/>
      <c r="AM1001" s="559"/>
      <c r="AN1001" s="559"/>
    </row>
    <row r="1002">
      <c r="A1002" s="559"/>
      <c r="B1002" s="559"/>
      <c r="C1002" s="559"/>
      <c r="D1002" s="559"/>
      <c r="E1002" s="559"/>
      <c r="F1002" s="559"/>
      <c r="G1002" s="559"/>
      <c r="H1002" s="559"/>
      <c r="I1002" s="559"/>
      <c r="J1002" s="559"/>
      <c r="K1002" s="559"/>
      <c r="L1002" s="559"/>
      <c r="M1002" s="559"/>
      <c r="N1002" s="559"/>
      <c r="O1002" s="559"/>
      <c r="P1002" s="559"/>
      <c r="Q1002" s="559"/>
      <c r="R1002" s="559"/>
      <c r="S1002" s="559"/>
      <c r="T1002" s="559"/>
      <c r="U1002" s="559"/>
      <c r="V1002" s="559"/>
      <c r="W1002" s="559"/>
      <c r="X1002" s="559"/>
      <c r="Y1002" s="559"/>
      <c r="Z1002" s="559"/>
      <c r="AA1002" s="559"/>
      <c r="AB1002" s="559"/>
      <c r="AC1002" s="559"/>
      <c r="AD1002" s="559"/>
      <c r="AE1002" s="559"/>
      <c r="AF1002" s="559"/>
      <c r="AG1002" s="559"/>
      <c r="AH1002" s="559"/>
      <c r="AI1002" s="559"/>
      <c r="AJ1002" s="559"/>
      <c r="AK1002" s="559"/>
      <c r="AL1002" s="559"/>
      <c r="AM1002" s="559"/>
      <c r="AN1002" s="559"/>
    </row>
    <row r="1003">
      <c r="A1003" s="559"/>
      <c r="B1003" s="559"/>
      <c r="C1003" s="559"/>
      <c r="D1003" s="559"/>
      <c r="E1003" s="559"/>
      <c r="F1003" s="559"/>
      <c r="G1003" s="559"/>
      <c r="H1003" s="559"/>
      <c r="I1003" s="559"/>
      <c r="J1003" s="559"/>
      <c r="K1003" s="559"/>
      <c r="L1003" s="559"/>
      <c r="M1003" s="559"/>
      <c r="N1003" s="559"/>
      <c r="O1003" s="559"/>
      <c r="P1003" s="559"/>
      <c r="Q1003" s="559"/>
      <c r="R1003" s="559"/>
      <c r="S1003" s="559"/>
      <c r="T1003" s="559"/>
      <c r="U1003" s="559"/>
      <c r="V1003" s="559"/>
      <c r="W1003" s="559"/>
      <c r="X1003" s="559"/>
      <c r="Y1003" s="559"/>
      <c r="Z1003" s="559"/>
      <c r="AA1003" s="559"/>
      <c r="AB1003" s="559"/>
      <c r="AC1003" s="559"/>
      <c r="AD1003" s="559"/>
      <c r="AE1003" s="559"/>
      <c r="AF1003" s="559"/>
      <c r="AG1003" s="559"/>
      <c r="AH1003" s="559"/>
      <c r="AI1003" s="559"/>
      <c r="AJ1003" s="559"/>
      <c r="AK1003" s="559"/>
      <c r="AL1003" s="559"/>
      <c r="AM1003" s="559"/>
      <c r="AN1003" s="559"/>
    </row>
    <row r="1004">
      <c r="A1004" s="559"/>
      <c r="B1004" s="559"/>
      <c r="C1004" s="559"/>
      <c r="D1004" s="559"/>
      <c r="E1004" s="559"/>
      <c r="F1004" s="559"/>
      <c r="G1004" s="559"/>
      <c r="H1004" s="559"/>
      <c r="I1004" s="559"/>
      <c r="J1004" s="559"/>
      <c r="K1004" s="559"/>
      <c r="L1004" s="559"/>
      <c r="M1004" s="559"/>
      <c r="N1004" s="559"/>
      <c r="O1004" s="559"/>
      <c r="P1004" s="559"/>
      <c r="Q1004" s="559"/>
      <c r="R1004" s="559"/>
      <c r="S1004" s="559"/>
      <c r="T1004" s="559"/>
      <c r="U1004" s="559"/>
      <c r="V1004" s="559"/>
      <c r="W1004" s="559"/>
      <c r="X1004" s="559"/>
      <c r="Y1004" s="559"/>
      <c r="Z1004" s="559"/>
      <c r="AA1004" s="559"/>
      <c r="AB1004" s="559"/>
      <c r="AC1004" s="559"/>
      <c r="AD1004" s="559"/>
      <c r="AE1004" s="559"/>
      <c r="AF1004" s="559"/>
      <c r="AG1004" s="559"/>
      <c r="AH1004" s="559"/>
      <c r="AI1004" s="559"/>
      <c r="AJ1004" s="559"/>
      <c r="AK1004" s="559"/>
      <c r="AL1004" s="559"/>
      <c r="AM1004" s="559"/>
      <c r="AN1004" s="559"/>
    </row>
    <row r="1005">
      <c r="A1005" s="559"/>
      <c r="B1005" s="559"/>
      <c r="C1005" s="559"/>
      <c r="D1005" s="559"/>
      <c r="E1005" s="559"/>
      <c r="F1005" s="559"/>
      <c r="G1005" s="559"/>
      <c r="H1005" s="559"/>
      <c r="I1005" s="559"/>
      <c r="J1005" s="559"/>
      <c r="K1005" s="559"/>
      <c r="L1005" s="559"/>
      <c r="M1005" s="559"/>
      <c r="N1005" s="559"/>
      <c r="O1005" s="559"/>
      <c r="P1005" s="559"/>
      <c r="Q1005" s="559"/>
      <c r="R1005" s="559"/>
      <c r="S1005" s="559"/>
      <c r="T1005" s="559"/>
      <c r="U1005" s="559"/>
      <c r="V1005" s="559"/>
      <c r="W1005" s="559"/>
      <c r="X1005" s="559"/>
      <c r="Y1005" s="559"/>
      <c r="Z1005" s="559"/>
      <c r="AA1005" s="559"/>
      <c r="AB1005" s="559"/>
      <c r="AC1005" s="559"/>
      <c r="AD1005" s="559"/>
      <c r="AE1005" s="559"/>
      <c r="AF1005" s="559"/>
      <c r="AG1005" s="559"/>
      <c r="AH1005" s="559"/>
      <c r="AI1005" s="559"/>
      <c r="AJ1005" s="559"/>
      <c r="AK1005" s="559"/>
      <c r="AL1005" s="559"/>
      <c r="AM1005" s="559"/>
      <c r="AN1005" s="559"/>
    </row>
    <row r="1006">
      <c r="A1006" s="559"/>
      <c r="B1006" s="559"/>
      <c r="C1006" s="559"/>
      <c r="D1006" s="559"/>
      <c r="E1006" s="559"/>
      <c r="F1006" s="559"/>
      <c r="G1006" s="559"/>
      <c r="H1006" s="559"/>
      <c r="I1006" s="559"/>
      <c r="J1006" s="559"/>
      <c r="K1006" s="559"/>
      <c r="L1006" s="559"/>
      <c r="M1006" s="559"/>
      <c r="N1006" s="559"/>
      <c r="O1006" s="559"/>
      <c r="P1006" s="559"/>
      <c r="Q1006" s="559"/>
      <c r="R1006" s="559"/>
      <c r="S1006" s="559"/>
      <c r="T1006" s="559"/>
      <c r="U1006" s="559"/>
      <c r="V1006" s="559"/>
      <c r="W1006" s="559"/>
      <c r="X1006" s="559"/>
      <c r="Y1006" s="559"/>
      <c r="Z1006" s="559"/>
      <c r="AA1006" s="559"/>
      <c r="AB1006" s="559"/>
      <c r="AC1006" s="559"/>
      <c r="AD1006" s="559"/>
      <c r="AE1006" s="559"/>
      <c r="AF1006" s="559"/>
      <c r="AG1006" s="559"/>
      <c r="AH1006" s="559"/>
      <c r="AI1006" s="559"/>
      <c r="AJ1006" s="559"/>
      <c r="AK1006" s="559"/>
      <c r="AL1006" s="559"/>
      <c r="AM1006" s="559"/>
      <c r="AN1006" s="559"/>
    </row>
    <row r="1007">
      <c r="A1007" s="559"/>
      <c r="B1007" s="559"/>
      <c r="C1007" s="559"/>
      <c r="D1007" s="559"/>
      <c r="E1007" s="559"/>
      <c r="F1007" s="559"/>
      <c r="G1007" s="559"/>
      <c r="H1007" s="559"/>
      <c r="I1007" s="559"/>
      <c r="J1007" s="559"/>
      <c r="K1007" s="559"/>
      <c r="L1007" s="559"/>
      <c r="M1007" s="559"/>
      <c r="N1007" s="559"/>
      <c r="O1007" s="559"/>
      <c r="P1007" s="559"/>
      <c r="Q1007" s="559"/>
      <c r="R1007" s="559"/>
      <c r="S1007" s="559"/>
      <c r="T1007" s="559"/>
      <c r="U1007" s="559"/>
      <c r="V1007" s="559"/>
      <c r="W1007" s="559"/>
      <c r="X1007" s="559"/>
      <c r="Y1007" s="559"/>
      <c r="Z1007" s="559"/>
      <c r="AA1007" s="559"/>
      <c r="AB1007" s="559"/>
      <c r="AC1007" s="559"/>
      <c r="AD1007" s="559"/>
      <c r="AE1007" s="559"/>
      <c r="AF1007" s="559"/>
      <c r="AG1007" s="559"/>
      <c r="AH1007" s="559"/>
      <c r="AI1007" s="559"/>
      <c r="AJ1007" s="559"/>
      <c r="AK1007" s="559"/>
      <c r="AL1007" s="559"/>
      <c r="AM1007" s="559"/>
      <c r="AN1007" s="559"/>
    </row>
    <row r="1008">
      <c r="A1008" s="559"/>
      <c r="B1008" s="559"/>
      <c r="C1008" s="559"/>
      <c r="D1008" s="559"/>
      <c r="E1008" s="559"/>
      <c r="F1008" s="559"/>
      <c r="G1008" s="559"/>
      <c r="H1008" s="559"/>
      <c r="I1008" s="559"/>
      <c r="J1008" s="559"/>
      <c r="K1008" s="559"/>
      <c r="L1008" s="559"/>
      <c r="M1008" s="559"/>
      <c r="N1008" s="559"/>
      <c r="O1008" s="559"/>
      <c r="P1008" s="559"/>
      <c r="Q1008" s="559"/>
      <c r="R1008" s="559"/>
      <c r="S1008" s="559"/>
      <c r="T1008" s="559"/>
      <c r="U1008" s="559"/>
      <c r="V1008" s="559"/>
      <c r="W1008" s="559"/>
      <c r="X1008" s="559"/>
      <c r="Y1008" s="559"/>
      <c r="Z1008" s="559"/>
      <c r="AA1008" s="559"/>
      <c r="AB1008" s="559"/>
      <c r="AC1008" s="559"/>
      <c r="AD1008" s="559"/>
      <c r="AE1008" s="559"/>
      <c r="AF1008" s="559"/>
      <c r="AG1008" s="559"/>
      <c r="AH1008" s="559"/>
      <c r="AI1008" s="559"/>
      <c r="AJ1008" s="559"/>
      <c r="AK1008" s="559"/>
      <c r="AL1008" s="559"/>
      <c r="AM1008" s="559"/>
      <c r="AN1008" s="559"/>
    </row>
    <row r="1009">
      <c r="A1009" s="559"/>
      <c r="B1009" s="559"/>
      <c r="C1009" s="559"/>
      <c r="D1009" s="559"/>
      <c r="E1009" s="559"/>
      <c r="F1009" s="559"/>
      <c r="G1009" s="559"/>
      <c r="H1009" s="559"/>
      <c r="I1009" s="559"/>
      <c r="J1009" s="559"/>
      <c r="K1009" s="559"/>
      <c r="L1009" s="559"/>
      <c r="M1009" s="559"/>
      <c r="N1009" s="559"/>
      <c r="O1009" s="559"/>
      <c r="P1009" s="559"/>
      <c r="Q1009" s="559"/>
      <c r="R1009" s="559"/>
      <c r="S1009" s="559"/>
      <c r="T1009" s="559"/>
      <c r="U1009" s="559"/>
      <c r="V1009" s="559"/>
      <c r="W1009" s="559"/>
      <c r="X1009" s="559"/>
      <c r="Y1009" s="559"/>
      <c r="Z1009" s="559"/>
      <c r="AA1009" s="559"/>
      <c r="AB1009" s="559"/>
      <c r="AC1009" s="559"/>
      <c r="AD1009" s="559"/>
      <c r="AE1009" s="559"/>
      <c r="AF1009" s="559"/>
      <c r="AG1009" s="559"/>
      <c r="AH1009" s="559"/>
      <c r="AI1009" s="559"/>
      <c r="AJ1009" s="559"/>
      <c r="AK1009" s="559"/>
      <c r="AL1009" s="559"/>
      <c r="AM1009" s="559"/>
      <c r="AN1009" s="559"/>
    </row>
    <row r="1010">
      <c r="A1010" s="559"/>
      <c r="B1010" s="559"/>
      <c r="C1010" s="559"/>
      <c r="D1010" s="559"/>
      <c r="E1010" s="559"/>
      <c r="F1010" s="559"/>
      <c r="G1010" s="559"/>
      <c r="H1010" s="559"/>
      <c r="I1010" s="559"/>
      <c r="J1010" s="559"/>
      <c r="K1010" s="559"/>
      <c r="L1010" s="559"/>
      <c r="M1010" s="559"/>
      <c r="N1010" s="559"/>
      <c r="O1010" s="559"/>
      <c r="P1010" s="559"/>
      <c r="Q1010" s="559"/>
      <c r="R1010" s="559"/>
      <c r="S1010" s="559"/>
      <c r="T1010" s="559"/>
      <c r="U1010" s="559"/>
      <c r="V1010" s="559"/>
      <c r="W1010" s="559"/>
      <c r="X1010" s="559"/>
      <c r="Y1010" s="559"/>
      <c r="Z1010" s="559"/>
      <c r="AA1010" s="559"/>
      <c r="AB1010" s="559"/>
      <c r="AC1010" s="559"/>
      <c r="AD1010" s="559"/>
      <c r="AE1010" s="559"/>
      <c r="AF1010" s="559"/>
      <c r="AG1010" s="559"/>
      <c r="AH1010" s="559"/>
      <c r="AI1010" s="559"/>
      <c r="AJ1010" s="559"/>
      <c r="AK1010" s="559"/>
      <c r="AL1010" s="559"/>
      <c r="AM1010" s="559"/>
      <c r="AN1010" s="559"/>
    </row>
    <row r="1011">
      <c r="A1011" s="559"/>
      <c r="B1011" s="559"/>
      <c r="C1011" s="559"/>
      <c r="D1011" s="559"/>
      <c r="E1011" s="559"/>
      <c r="F1011" s="559"/>
      <c r="G1011" s="559"/>
      <c r="H1011" s="559"/>
      <c r="I1011" s="559"/>
      <c r="J1011" s="559"/>
      <c r="K1011" s="559"/>
      <c r="L1011" s="559"/>
      <c r="M1011" s="559"/>
      <c r="N1011" s="559"/>
      <c r="O1011" s="559"/>
      <c r="P1011" s="559"/>
      <c r="Q1011" s="559"/>
      <c r="R1011" s="559"/>
      <c r="S1011" s="559"/>
      <c r="T1011" s="559"/>
      <c r="U1011" s="559"/>
      <c r="V1011" s="559"/>
      <c r="W1011" s="559"/>
      <c r="X1011" s="559"/>
      <c r="Y1011" s="559"/>
      <c r="Z1011" s="559"/>
      <c r="AA1011" s="559"/>
      <c r="AB1011" s="559"/>
      <c r="AC1011" s="559"/>
      <c r="AD1011" s="559"/>
      <c r="AE1011" s="559"/>
      <c r="AF1011" s="559"/>
      <c r="AG1011" s="559"/>
      <c r="AH1011" s="559"/>
      <c r="AI1011" s="559"/>
      <c r="AJ1011" s="559"/>
      <c r="AK1011" s="559"/>
      <c r="AL1011" s="559"/>
      <c r="AM1011" s="559"/>
      <c r="AN1011" s="559"/>
    </row>
    <row r="1012">
      <c r="A1012" s="559"/>
      <c r="B1012" s="559"/>
      <c r="C1012" s="559"/>
      <c r="D1012" s="559"/>
      <c r="E1012" s="559"/>
      <c r="F1012" s="559"/>
      <c r="G1012" s="559"/>
      <c r="H1012" s="559"/>
      <c r="I1012" s="559"/>
      <c r="J1012" s="559"/>
      <c r="K1012" s="559"/>
      <c r="L1012" s="559"/>
      <c r="M1012" s="559"/>
      <c r="N1012" s="559"/>
      <c r="O1012" s="559"/>
      <c r="P1012" s="559"/>
      <c r="Q1012" s="559"/>
      <c r="R1012" s="559"/>
      <c r="S1012" s="559"/>
      <c r="T1012" s="559"/>
      <c r="U1012" s="559"/>
      <c r="V1012" s="559"/>
      <c r="W1012" s="559"/>
      <c r="X1012" s="559"/>
      <c r="Y1012" s="559"/>
      <c r="Z1012" s="559"/>
      <c r="AA1012" s="559"/>
      <c r="AB1012" s="559"/>
      <c r="AC1012" s="559"/>
      <c r="AD1012" s="559"/>
      <c r="AE1012" s="559"/>
      <c r="AF1012" s="559"/>
      <c r="AG1012" s="559"/>
      <c r="AH1012" s="559"/>
      <c r="AI1012" s="559"/>
      <c r="AJ1012" s="559"/>
      <c r="AK1012" s="559"/>
      <c r="AL1012" s="559"/>
      <c r="AM1012" s="559"/>
      <c r="AN1012" s="559"/>
    </row>
  </sheetData>
  <mergeCells count="108">
    <mergeCell ref="P8:P9"/>
    <mergeCell ref="R8:R9"/>
    <mergeCell ref="S8:T8"/>
    <mergeCell ref="U8:V8"/>
    <mergeCell ref="W8:X8"/>
    <mergeCell ref="Y8:Z8"/>
    <mergeCell ref="AA8:AB8"/>
    <mergeCell ref="AC8:AD8"/>
    <mergeCell ref="AC19:AD19"/>
    <mergeCell ref="AE19:AF19"/>
    <mergeCell ref="AG19:AG20"/>
    <mergeCell ref="AE8:AF8"/>
    <mergeCell ref="AG8:AG9"/>
    <mergeCell ref="A1:AG3"/>
    <mergeCell ref="A8:A9"/>
    <mergeCell ref="B8:C8"/>
    <mergeCell ref="D8:E8"/>
    <mergeCell ref="F8:G8"/>
    <mergeCell ref="H8:I8"/>
    <mergeCell ref="J8:K8"/>
    <mergeCell ref="L8:M8"/>
    <mergeCell ref="N8:O8"/>
    <mergeCell ref="A19:A20"/>
    <mergeCell ref="B19:C19"/>
    <mergeCell ref="D19:E19"/>
    <mergeCell ref="F19:G19"/>
    <mergeCell ref="H19:I19"/>
    <mergeCell ref="N19:O19"/>
    <mergeCell ref="N41:O41"/>
    <mergeCell ref="P41:P42"/>
    <mergeCell ref="R41:R42"/>
    <mergeCell ref="S41:T41"/>
    <mergeCell ref="U41:V41"/>
    <mergeCell ref="W41:X41"/>
    <mergeCell ref="Y41:Z41"/>
    <mergeCell ref="A41:A42"/>
    <mergeCell ref="B41:C41"/>
    <mergeCell ref="D41:E41"/>
    <mergeCell ref="F41:G41"/>
    <mergeCell ref="H41:I41"/>
    <mergeCell ref="J41:K41"/>
    <mergeCell ref="L41:M41"/>
    <mergeCell ref="N52:O52"/>
    <mergeCell ref="P52:P53"/>
    <mergeCell ref="R52:R53"/>
    <mergeCell ref="S52:T52"/>
    <mergeCell ref="U52:V52"/>
    <mergeCell ref="W52:X52"/>
    <mergeCell ref="Y52:Z52"/>
    <mergeCell ref="AG52:AG53"/>
    <mergeCell ref="A52:A53"/>
    <mergeCell ref="B52:C52"/>
    <mergeCell ref="D52:E52"/>
    <mergeCell ref="F52:G52"/>
    <mergeCell ref="H52:I52"/>
    <mergeCell ref="J52:K52"/>
    <mergeCell ref="L52:M52"/>
    <mergeCell ref="A63:A64"/>
    <mergeCell ref="B63:C63"/>
    <mergeCell ref="D63:E63"/>
    <mergeCell ref="F63:G63"/>
    <mergeCell ref="H63:I63"/>
    <mergeCell ref="J63:K63"/>
    <mergeCell ref="L63:M63"/>
    <mergeCell ref="AA63:AB63"/>
    <mergeCell ref="AC63:AD63"/>
    <mergeCell ref="AE63:AF63"/>
    <mergeCell ref="N63:O63"/>
    <mergeCell ref="P63:P64"/>
    <mergeCell ref="R63:R64"/>
    <mergeCell ref="S63:T63"/>
    <mergeCell ref="U63:V63"/>
    <mergeCell ref="W63:X63"/>
    <mergeCell ref="Y63:Z63"/>
    <mergeCell ref="Y19:Z19"/>
    <mergeCell ref="AA19:AB19"/>
    <mergeCell ref="J19:K19"/>
    <mergeCell ref="L19:M19"/>
    <mergeCell ref="P19:P20"/>
    <mergeCell ref="R19:R20"/>
    <mergeCell ref="S19:T19"/>
    <mergeCell ref="U19:V19"/>
    <mergeCell ref="W19:X19"/>
    <mergeCell ref="AA30:AB30"/>
    <mergeCell ref="AC30:AD30"/>
    <mergeCell ref="AE30:AF30"/>
    <mergeCell ref="AG30:AG31"/>
    <mergeCell ref="N30:O30"/>
    <mergeCell ref="P30:P31"/>
    <mergeCell ref="R30:R31"/>
    <mergeCell ref="S30:T30"/>
    <mergeCell ref="U30:V30"/>
    <mergeCell ref="W30:X30"/>
    <mergeCell ref="Y30:Z30"/>
    <mergeCell ref="A30:A31"/>
    <mergeCell ref="B30:C30"/>
    <mergeCell ref="D30:E30"/>
    <mergeCell ref="F30:G30"/>
    <mergeCell ref="H30:I30"/>
    <mergeCell ref="J30:K30"/>
    <mergeCell ref="L30:M30"/>
    <mergeCell ref="AA41:AB41"/>
    <mergeCell ref="AC41:AD41"/>
    <mergeCell ref="AE41:AF41"/>
    <mergeCell ref="AG41:AG42"/>
    <mergeCell ref="AA52:AB52"/>
    <mergeCell ref="AC52:AD52"/>
    <mergeCell ref="AE52:AF52"/>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75"/>
    <col customWidth="1" min="2" max="2" width="8.63"/>
    <col customWidth="1" min="3" max="3" width="22.25"/>
    <col customWidth="1" min="4" max="4" width="7.88"/>
    <col customWidth="1" min="5" max="5" width="18.88"/>
    <col customWidth="1" min="6" max="6" width="8.0"/>
    <col customWidth="1" min="7" max="7" width="19.75"/>
    <col customWidth="1" min="8" max="8" width="7.88"/>
    <col customWidth="1" min="9" max="9" width="22.38"/>
    <col customWidth="1" min="10" max="10" width="17.88"/>
    <col customWidth="1" min="11" max="11" width="18.88"/>
  </cols>
  <sheetData>
    <row r="1">
      <c r="A1" s="160" t="s">
        <v>2450</v>
      </c>
      <c r="B1" s="1612" t="s">
        <v>2451</v>
      </c>
      <c r="D1" s="1612" t="s">
        <v>2451</v>
      </c>
      <c r="F1" s="1612" t="s">
        <v>2451</v>
      </c>
      <c r="H1" s="1612" t="s">
        <v>2451</v>
      </c>
    </row>
    <row r="2">
      <c r="A2" s="1612" t="s">
        <v>2452</v>
      </c>
      <c r="B2" s="1612"/>
      <c r="C2" s="1612" t="s">
        <v>2453</v>
      </c>
      <c r="D2" s="1612"/>
      <c r="E2" s="1612" t="s">
        <v>2454</v>
      </c>
      <c r="F2" s="1612"/>
      <c r="G2" s="1612" t="s">
        <v>1081</v>
      </c>
      <c r="H2" s="1613"/>
      <c r="I2" s="1612" t="s">
        <v>2455</v>
      </c>
    </row>
    <row r="3" ht="17.25" customHeight="1">
      <c r="A3" s="160" t="s">
        <v>2456</v>
      </c>
      <c r="B3" s="1612" t="s">
        <v>2457</v>
      </c>
      <c r="C3" s="1614" t="s">
        <v>2458</v>
      </c>
      <c r="D3" s="1615"/>
      <c r="E3" s="160" t="s">
        <v>2459</v>
      </c>
      <c r="F3" s="1612" t="s">
        <v>2460</v>
      </c>
      <c r="G3" s="160" t="s">
        <v>2461</v>
      </c>
      <c r="H3" s="1612" t="s">
        <v>2457</v>
      </c>
    </row>
    <row r="4" ht="17.25" customHeight="1">
      <c r="A4" s="160" t="s">
        <v>2462</v>
      </c>
      <c r="B4" s="1612"/>
      <c r="C4" s="160" t="s">
        <v>2463</v>
      </c>
      <c r="D4" s="1612" t="s">
        <v>2457</v>
      </c>
      <c r="E4" s="160" t="s">
        <v>2464</v>
      </c>
      <c r="F4" s="1612" t="s">
        <v>2457</v>
      </c>
      <c r="G4" s="160" t="s">
        <v>2465</v>
      </c>
      <c r="H4" s="1612" t="s">
        <v>2457</v>
      </c>
    </row>
    <row r="5" ht="17.25" customHeight="1">
      <c r="A5" s="160" t="s">
        <v>2466</v>
      </c>
      <c r="B5" s="1612" t="s">
        <v>2460</v>
      </c>
      <c r="C5" s="1614" t="s">
        <v>2467</v>
      </c>
      <c r="E5" s="160" t="s">
        <v>2468</v>
      </c>
      <c r="F5" s="1612" t="s">
        <v>2457</v>
      </c>
      <c r="G5" s="160" t="s">
        <v>2469</v>
      </c>
      <c r="H5" s="1615" t="s">
        <v>2470</v>
      </c>
    </row>
    <row r="6" ht="17.25" customHeight="1">
      <c r="A6" s="160" t="s">
        <v>2471</v>
      </c>
      <c r="B6" s="1612" t="s">
        <v>2457</v>
      </c>
      <c r="C6" s="1614" t="s">
        <v>2472</v>
      </c>
      <c r="D6" s="1612" t="s">
        <v>2457</v>
      </c>
      <c r="E6" s="160" t="s">
        <v>2473</v>
      </c>
      <c r="F6" s="1612" t="s">
        <v>2457</v>
      </c>
      <c r="G6" s="160" t="s">
        <v>2474</v>
      </c>
      <c r="H6" s="1612" t="s">
        <v>2460</v>
      </c>
    </row>
    <row r="7" ht="17.25" customHeight="1">
      <c r="A7" s="160" t="s">
        <v>2475</v>
      </c>
      <c r="B7" s="1612"/>
      <c r="C7" s="1614" t="s">
        <v>2476</v>
      </c>
      <c r="D7" s="1615"/>
      <c r="E7" s="160" t="s">
        <v>2477</v>
      </c>
      <c r="F7" s="1612"/>
      <c r="G7" s="160" t="s">
        <v>2478</v>
      </c>
      <c r="H7" s="1612" t="s">
        <v>2460</v>
      </c>
    </row>
    <row r="8" ht="17.25" customHeight="1">
      <c r="A8" s="160" t="s">
        <v>2479</v>
      </c>
      <c r="B8" s="1612" t="s">
        <v>2460</v>
      </c>
      <c r="C8" s="160" t="s">
        <v>2480</v>
      </c>
      <c r="D8" s="1612" t="s">
        <v>2457</v>
      </c>
      <c r="E8" s="160" t="s">
        <v>2481</v>
      </c>
      <c r="F8" s="1615" t="s">
        <v>2470</v>
      </c>
      <c r="G8" s="160" t="s">
        <v>2482</v>
      </c>
      <c r="H8" s="1612" t="s">
        <v>2460</v>
      </c>
    </row>
    <row r="9" ht="17.25" customHeight="1">
      <c r="A9" s="160" t="s">
        <v>2483</v>
      </c>
      <c r="B9" s="1615" t="s">
        <v>2470</v>
      </c>
      <c r="C9" s="160" t="s">
        <v>2484</v>
      </c>
      <c r="D9" s="1615" t="s">
        <v>2470</v>
      </c>
      <c r="E9" s="160" t="s">
        <v>2485</v>
      </c>
      <c r="F9" s="1612" t="s">
        <v>2457</v>
      </c>
      <c r="G9" s="160" t="s">
        <v>2486</v>
      </c>
      <c r="H9" s="1615" t="s">
        <v>2470</v>
      </c>
    </row>
    <row r="10" ht="17.25" customHeight="1">
      <c r="A10" s="160" t="s">
        <v>2487</v>
      </c>
      <c r="B10" s="1615" t="s">
        <v>2470</v>
      </c>
      <c r="C10" s="1614" t="s">
        <v>2488</v>
      </c>
      <c r="D10" s="1615" t="s">
        <v>2470</v>
      </c>
      <c r="E10" s="160" t="s">
        <v>2489</v>
      </c>
      <c r="F10" s="1615" t="s">
        <v>2470</v>
      </c>
      <c r="G10" s="160" t="s">
        <v>2490</v>
      </c>
      <c r="H10" s="1615" t="s">
        <v>2470</v>
      </c>
    </row>
    <row r="11" ht="17.25" customHeight="1">
      <c r="A11" s="160" t="s">
        <v>2491</v>
      </c>
      <c r="B11" s="1612" t="s">
        <v>2460</v>
      </c>
      <c r="C11" s="1614" t="s">
        <v>2492</v>
      </c>
      <c r="D11" s="1615"/>
      <c r="E11" s="160" t="s">
        <v>2493</v>
      </c>
      <c r="F11" s="1612" t="s">
        <v>2470</v>
      </c>
      <c r="G11" s="160" t="s">
        <v>2494</v>
      </c>
      <c r="H11" s="1612" t="s">
        <v>2460</v>
      </c>
    </row>
    <row r="12" ht="17.25" customHeight="1">
      <c r="A12" s="160" t="s">
        <v>2495</v>
      </c>
      <c r="B12" s="1615" t="s">
        <v>2470</v>
      </c>
      <c r="C12" s="160" t="s">
        <v>2496</v>
      </c>
      <c r="D12" s="1615" t="s">
        <v>2470</v>
      </c>
      <c r="F12" s="1613"/>
      <c r="G12" s="160" t="s">
        <v>2497</v>
      </c>
      <c r="H12" s="1612" t="s">
        <v>2460</v>
      </c>
    </row>
    <row r="13" ht="17.25" customHeight="1">
      <c r="A13" s="160" t="s">
        <v>2498</v>
      </c>
      <c r="B13" s="1612"/>
      <c r="C13" s="1614" t="s">
        <v>2499</v>
      </c>
      <c r="D13" s="1615" t="s">
        <v>2470</v>
      </c>
      <c r="F13" s="1613"/>
      <c r="G13" s="160" t="s">
        <v>2500</v>
      </c>
      <c r="H13" s="1612" t="s">
        <v>2470</v>
      </c>
    </row>
    <row r="14" ht="17.25" customHeight="1">
      <c r="A14" s="160" t="s">
        <v>2501</v>
      </c>
      <c r="B14" s="1615" t="s">
        <v>2470</v>
      </c>
      <c r="C14" s="1614" t="s">
        <v>2502</v>
      </c>
      <c r="D14" s="1615" t="s">
        <v>2470</v>
      </c>
      <c r="F14" s="1613"/>
      <c r="G14" s="160" t="s">
        <v>2503</v>
      </c>
      <c r="H14" s="1612" t="s">
        <v>2460</v>
      </c>
    </row>
    <row r="15" ht="17.25" customHeight="1">
      <c r="B15" s="1613"/>
      <c r="C15" s="1614" t="s">
        <v>2504</v>
      </c>
      <c r="D15" s="1615"/>
      <c r="F15" s="1613"/>
      <c r="G15" s="160" t="s">
        <v>2505</v>
      </c>
      <c r="H15" s="1612" t="s">
        <v>2460</v>
      </c>
    </row>
    <row r="16" ht="17.25" customHeight="1">
      <c r="B16" s="1613"/>
      <c r="C16" s="160" t="s">
        <v>2506</v>
      </c>
      <c r="D16" s="1615"/>
      <c r="F16" s="1613"/>
      <c r="G16" s="160" t="s">
        <v>2507</v>
      </c>
      <c r="H16" s="1612" t="s">
        <v>2470</v>
      </c>
    </row>
    <row r="17" ht="17.25" customHeight="1">
      <c r="B17" s="1613"/>
      <c r="C17" s="1614" t="s">
        <v>2508</v>
      </c>
      <c r="D17" s="1615"/>
      <c r="F17" s="1613"/>
      <c r="H17" s="1613"/>
    </row>
    <row r="18" ht="17.25" customHeight="1">
      <c r="B18" s="1613"/>
      <c r="C18" s="1614" t="s">
        <v>2509</v>
      </c>
      <c r="D18" s="1612" t="s">
        <v>2460</v>
      </c>
      <c r="F18" s="1613"/>
      <c r="H18" s="1613"/>
    </row>
    <row r="19" ht="17.25" customHeight="1">
      <c r="B19" s="1613"/>
      <c r="C19" s="1614" t="s">
        <v>2510</v>
      </c>
      <c r="D19" s="1615" t="s">
        <v>2470</v>
      </c>
      <c r="F19" s="1613"/>
      <c r="H19" s="1613"/>
    </row>
    <row r="20" ht="17.25" customHeight="1">
      <c r="B20" s="1613"/>
      <c r="C20" s="160" t="s">
        <v>2511</v>
      </c>
      <c r="D20" s="1615" t="s">
        <v>2470</v>
      </c>
      <c r="F20" s="1613"/>
      <c r="H20" s="1613"/>
    </row>
    <row r="21" ht="17.25" customHeight="1">
      <c r="B21" s="1613"/>
      <c r="C21" s="160" t="s">
        <v>2512</v>
      </c>
      <c r="D21" s="1615" t="s">
        <v>2470</v>
      </c>
      <c r="F21" s="1613"/>
      <c r="H21" s="1613"/>
      <c r="I21" s="160"/>
    </row>
    <row r="22" ht="17.25" customHeight="1">
      <c r="B22" s="1613"/>
      <c r="C22" s="1614" t="s">
        <v>2513</v>
      </c>
      <c r="D22" s="1615" t="s">
        <v>2470</v>
      </c>
      <c r="F22" s="1613"/>
      <c r="H22" s="1613"/>
      <c r="I22" s="160"/>
    </row>
    <row r="23" ht="17.25" customHeight="1">
      <c r="B23" s="1613"/>
      <c r="C23" s="160" t="s">
        <v>2514</v>
      </c>
      <c r="D23" s="1615" t="s">
        <v>2470</v>
      </c>
      <c r="F23" s="1613"/>
      <c r="H23" s="1613"/>
      <c r="I23" s="160"/>
    </row>
    <row r="24" ht="17.25" customHeight="1">
      <c r="B24" s="1613"/>
      <c r="C24" s="160" t="s">
        <v>2515</v>
      </c>
      <c r="D24" s="1615" t="s">
        <v>2470</v>
      </c>
      <c r="F24" s="1613"/>
      <c r="H24" s="1613"/>
      <c r="I24" s="160"/>
    </row>
    <row r="25" ht="17.25" customHeight="1">
      <c r="B25" s="1613"/>
      <c r="C25" s="160" t="s">
        <v>2516</v>
      </c>
      <c r="D25" s="1612" t="s">
        <v>2457</v>
      </c>
      <c r="F25" s="1613"/>
      <c r="H25" s="1613"/>
      <c r="I25" s="160"/>
    </row>
    <row r="26" ht="17.25" customHeight="1">
      <c r="B26" s="1613"/>
      <c r="C26" s="1614" t="s">
        <v>2517</v>
      </c>
      <c r="D26" s="1612" t="s">
        <v>2460</v>
      </c>
      <c r="F26" s="1613"/>
      <c r="H26" s="1613"/>
      <c r="I26" s="160"/>
    </row>
    <row r="27" ht="17.25" customHeight="1">
      <c r="B27" s="1613"/>
      <c r="C27" s="160" t="s">
        <v>2518</v>
      </c>
      <c r="D27" s="1612"/>
      <c r="F27" s="1613"/>
      <c r="H27" s="1613"/>
      <c r="I27" s="160"/>
    </row>
    <row r="28" ht="17.25" customHeight="1">
      <c r="B28" s="1613"/>
      <c r="D28" s="1613"/>
      <c r="F28" s="1613"/>
      <c r="H28" s="1613"/>
    </row>
    <row r="29" ht="17.25" customHeight="1">
      <c r="B29" s="1613"/>
      <c r="D29" s="1613"/>
      <c r="F29" s="1613"/>
      <c r="H29" s="1613"/>
    </row>
    <row r="30" ht="17.25" customHeight="1">
      <c r="B30" s="1613"/>
      <c r="D30" s="1613"/>
      <c r="F30" s="1613"/>
      <c r="H30" s="1613"/>
    </row>
    <row r="31" ht="17.25" customHeight="1">
      <c r="B31" s="1613"/>
      <c r="D31" s="1613"/>
      <c r="F31" s="1613"/>
      <c r="H31" s="1613"/>
    </row>
    <row r="32" ht="17.25" customHeight="1">
      <c r="B32" s="1613"/>
      <c r="D32" s="1613"/>
      <c r="F32" s="1613"/>
      <c r="H32" s="1613"/>
    </row>
    <row r="33" ht="17.25" customHeight="1">
      <c r="B33" s="1613"/>
      <c r="D33" s="1613"/>
      <c r="F33" s="1613"/>
      <c r="H33" s="1613"/>
    </row>
    <row r="34">
      <c r="B34" s="1613"/>
      <c r="D34" s="1613"/>
      <c r="F34" s="1613"/>
      <c r="H34" s="1613"/>
    </row>
    <row r="35">
      <c r="B35" s="1613"/>
      <c r="D35" s="1613"/>
      <c r="F35" s="1613"/>
      <c r="H35" s="1613"/>
    </row>
    <row r="36">
      <c r="B36" s="1613"/>
      <c r="D36" s="1613"/>
      <c r="F36" s="1613"/>
      <c r="H36" s="1613"/>
    </row>
    <row r="37">
      <c r="B37" s="1613"/>
      <c r="D37" s="1613"/>
      <c r="F37" s="1613"/>
      <c r="H37" s="1613"/>
    </row>
    <row r="38">
      <c r="B38" s="1613"/>
      <c r="D38" s="1613"/>
      <c r="F38" s="1613"/>
      <c r="H38" s="1613"/>
    </row>
    <row r="39">
      <c r="B39" s="1613"/>
      <c r="D39" s="1613"/>
      <c r="F39" s="1613"/>
      <c r="H39" s="1613"/>
    </row>
    <row r="40">
      <c r="B40" s="1613"/>
      <c r="D40" s="1613"/>
      <c r="F40" s="1613"/>
      <c r="H40" s="1613"/>
    </row>
    <row r="41">
      <c r="B41" s="1613"/>
      <c r="D41" s="1613"/>
      <c r="F41" s="1613"/>
      <c r="H41" s="1613"/>
    </row>
    <row r="42">
      <c r="B42" s="1613"/>
      <c r="D42" s="1613"/>
      <c r="F42" s="1613"/>
      <c r="H42" s="1613"/>
    </row>
    <row r="43">
      <c r="B43" s="1613"/>
      <c r="D43" s="1613"/>
      <c r="F43" s="1613"/>
      <c r="H43" s="1613"/>
    </row>
    <row r="44">
      <c r="B44" s="1613"/>
      <c r="D44" s="1613"/>
      <c r="F44" s="1613"/>
      <c r="H44" s="1613"/>
    </row>
    <row r="45">
      <c r="B45" s="1613"/>
      <c r="D45" s="1613"/>
      <c r="F45" s="1613"/>
      <c r="H45" s="1613"/>
    </row>
    <row r="46">
      <c r="B46" s="1613"/>
      <c r="D46" s="1613"/>
      <c r="F46" s="1613"/>
      <c r="H46" s="1613"/>
    </row>
    <row r="47">
      <c r="B47" s="1613"/>
      <c r="D47" s="1613"/>
      <c r="F47" s="1613"/>
      <c r="H47" s="1613"/>
    </row>
    <row r="48">
      <c r="B48" s="1613"/>
      <c r="D48" s="1613"/>
      <c r="F48" s="1613"/>
      <c r="H48" s="1613"/>
    </row>
    <row r="49">
      <c r="B49" s="1613"/>
      <c r="D49" s="1613"/>
      <c r="F49" s="1613"/>
      <c r="H49" s="1613"/>
    </row>
    <row r="50">
      <c r="B50" s="1613"/>
      <c r="D50" s="1613"/>
      <c r="F50" s="1613"/>
      <c r="H50" s="1613"/>
    </row>
    <row r="51">
      <c r="B51" s="1613"/>
      <c r="D51" s="1613"/>
      <c r="F51" s="1613"/>
      <c r="H51" s="1613"/>
    </row>
    <row r="52">
      <c r="B52" s="1613"/>
      <c r="D52" s="1613"/>
      <c r="F52" s="1613"/>
      <c r="H52" s="1613"/>
    </row>
    <row r="53">
      <c r="B53" s="1613"/>
      <c r="D53" s="1613"/>
      <c r="F53" s="1613"/>
      <c r="H53" s="1613"/>
    </row>
    <row r="54">
      <c r="B54" s="1613"/>
      <c r="D54" s="1613"/>
      <c r="F54" s="1613"/>
      <c r="H54" s="1613"/>
    </row>
    <row r="55">
      <c r="B55" s="1613"/>
      <c r="D55" s="1613"/>
      <c r="F55" s="1613"/>
      <c r="H55" s="1613"/>
    </row>
    <row r="56">
      <c r="B56" s="1613"/>
      <c r="D56" s="1613"/>
      <c r="F56" s="1613"/>
      <c r="H56" s="1613"/>
    </row>
    <row r="57">
      <c r="B57" s="1613"/>
      <c r="D57" s="1613"/>
      <c r="F57" s="1613"/>
      <c r="H57" s="1613"/>
    </row>
    <row r="58">
      <c r="B58" s="1613"/>
      <c r="D58" s="1613"/>
      <c r="F58" s="1613"/>
      <c r="H58" s="1613"/>
    </row>
    <row r="59">
      <c r="B59" s="1613"/>
      <c r="D59" s="1613"/>
      <c r="F59" s="1613"/>
      <c r="H59" s="1613"/>
    </row>
    <row r="60">
      <c r="B60" s="1613"/>
      <c r="D60" s="1613"/>
      <c r="F60" s="1613"/>
      <c r="H60" s="1613"/>
    </row>
    <row r="61">
      <c r="B61" s="1613"/>
      <c r="D61" s="1613"/>
      <c r="F61" s="1613"/>
      <c r="H61" s="1613"/>
    </row>
    <row r="62">
      <c r="B62" s="1613"/>
      <c r="D62" s="1613"/>
      <c r="F62" s="1613"/>
      <c r="H62" s="1613"/>
    </row>
    <row r="63">
      <c r="B63" s="1613"/>
      <c r="D63" s="1613"/>
      <c r="F63" s="1613"/>
      <c r="H63" s="1613"/>
    </row>
    <row r="64">
      <c r="B64" s="1613"/>
      <c r="D64" s="1613"/>
      <c r="F64" s="1613"/>
      <c r="H64" s="1613"/>
    </row>
    <row r="65">
      <c r="B65" s="1613"/>
      <c r="D65" s="1613"/>
      <c r="F65" s="1613"/>
      <c r="H65" s="1613"/>
    </row>
    <row r="66">
      <c r="B66" s="1613"/>
      <c r="D66" s="1613"/>
      <c r="F66" s="1613"/>
      <c r="H66" s="1613"/>
    </row>
    <row r="67">
      <c r="B67" s="1613"/>
      <c r="D67" s="1613"/>
      <c r="F67" s="1613"/>
      <c r="H67" s="1613"/>
    </row>
    <row r="68">
      <c r="B68" s="1613"/>
      <c r="D68" s="1613"/>
      <c r="F68" s="1613"/>
      <c r="H68" s="1613"/>
    </row>
    <row r="69">
      <c r="B69" s="1613"/>
      <c r="D69" s="1613"/>
      <c r="F69" s="1613"/>
      <c r="H69" s="1613"/>
    </row>
    <row r="70">
      <c r="B70" s="1613"/>
      <c r="D70" s="1613"/>
      <c r="F70" s="1613"/>
      <c r="H70" s="1613"/>
    </row>
    <row r="71">
      <c r="B71" s="1613"/>
      <c r="D71" s="1613"/>
      <c r="F71" s="1613"/>
      <c r="H71" s="1613"/>
    </row>
    <row r="72">
      <c r="B72" s="1613"/>
      <c r="D72" s="1613"/>
      <c r="F72" s="1613"/>
      <c r="H72" s="1613"/>
    </row>
    <row r="73">
      <c r="B73" s="1613"/>
      <c r="D73" s="1613"/>
      <c r="F73" s="1613"/>
      <c r="H73" s="1613"/>
    </row>
    <row r="74">
      <c r="B74" s="1613"/>
      <c r="D74" s="1613"/>
      <c r="F74" s="1613"/>
      <c r="H74" s="1613"/>
    </row>
    <row r="75">
      <c r="B75" s="1613"/>
      <c r="D75" s="1613"/>
      <c r="F75" s="1613"/>
      <c r="H75" s="1613"/>
    </row>
    <row r="76">
      <c r="B76" s="1613"/>
      <c r="D76" s="1613"/>
      <c r="F76" s="1613"/>
      <c r="H76" s="1613"/>
    </row>
    <row r="77">
      <c r="B77" s="1613"/>
      <c r="D77" s="1613"/>
      <c r="F77" s="1613"/>
      <c r="H77" s="1613"/>
    </row>
    <row r="78">
      <c r="B78" s="1613"/>
      <c r="D78" s="1613"/>
      <c r="F78" s="1613"/>
      <c r="H78" s="1613"/>
    </row>
    <row r="79">
      <c r="B79" s="1613"/>
      <c r="D79" s="1613"/>
      <c r="F79" s="1613"/>
      <c r="H79" s="1613"/>
    </row>
    <row r="80">
      <c r="B80" s="1613"/>
      <c r="D80" s="1613"/>
      <c r="F80" s="1613"/>
      <c r="H80" s="1613"/>
    </row>
    <row r="81">
      <c r="B81" s="1613"/>
      <c r="D81" s="1613"/>
      <c r="F81" s="1613"/>
      <c r="H81" s="1613"/>
    </row>
    <row r="82">
      <c r="B82" s="1613"/>
      <c r="D82" s="1613"/>
      <c r="F82" s="1613"/>
      <c r="H82" s="1613"/>
    </row>
    <row r="83">
      <c r="B83" s="1613"/>
      <c r="D83" s="1613"/>
      <c r="F83" s="1613"/>
      <c r="H83" s="1613"/>
    </row>
    <row r="84">
      <c r="B84" s="1613"/>
      <c r="D84" s="1613"/>
      <c r="F84" s="1613"/>
      <c r="H84" s="1613"/>
    </row>
    <row r="85">
      <c r="B85" s="1613"/>
      <c r="D85" s="1613"/>
      <c r="F85" s="1613"/>
      <c r="H85" s="1613"/>
    </row>
    <row r="86">
      <c r="B86" s="1613"/>
      <c r="D86" s="1613"/>
      <c r="F86" s="1613"/>
      <c r="H86" s="1613"/>
    </row>
    <row r="87">
      <c r="B87" s="1613"/>
      <c r="D87" s="1613"/>
      <c r="F87" s="1613"/>
      <c r="H87" s="1613"/>
    </row>
    <row r="88">
      <c r="B88" s="1613"/>
      <c r="D88" s="1613"/>
      <c r="F88" s="1613"/>
      <c r="H88" s="1613"/>
    </row>
    <row r="89">
      <c r="B89" s="1613"/>
      <c r="D89" s="1613"/>
      <c r="F89" s="1613"/>
      <c r="H89" s="1613"/>
    </row>
    <row r="90">
      <c r="B90" s="1613"/>
      <c r="D90" s="1613"/>
      <c r="F90" s="1613"/>
      <c r="H90" s="1613"/>
    </row>
    <row r="91">
      <c r="B91" s="1613"/>
      <c r="D91" s="1613"/>
      <c r="F91" s="1613"/>
      <c r="H91" s="1613"/>
    </row>
    <row r="92">
      <c r="B92" s="1613"/>
      <c r="D92" s="1613"/>
      <c r="F92" s="1613"/>
      <c r="H92" s="1613"/>
    </row>
    <row r="93">
      <c r="B93" s="1613"/>
      <c r="D93" s="1613"/>
      <c r="F93" s="1613"/>
      <c r="H93" s="1613"/>
    </row>
    <row r="94">
      <c r="B94" s="1613"/>
      <c r="D94" s="1613"/>
      <c r="F94" s="1613"/>
      <c r="H94" s="1613"/>
    </row>
    <row r="95">
      <c r="B95" s="1613"/>
      <c r="D95" s="1613"/>
      <c r="F95" s="1613"/>
      <c r="H95" s="1613"/>
    </row>
    <row r="96">
      <c r="B96" s="1613"/>
      <c r="D96" s="1613"/>
      <c r="F96" s="1613"/>
      <c r="H96" s="1613"/>
    </row>
    <row r="97">
      <c r="B97" s="1613"/>
      <c r="D97" s="1613"/>
      <c r="F97" s="1613"/>
      <c r="H97" s="1613"/>
    </row>
    <row r="98">
      <c r="B98" s="1613"/>
      <c r="D98" s="1613"/>
      <c r="F98" s="1613"/>
      <c r="H98" s="1613"/>
    </row>
    <row r="99">
      <c r="B99" s="1613"/>
      <c r="D99" s="1613"/>
      <c r="F99" s="1613"/>
      <c r="H99" s="1613"/>
    </row>
    <row r="100">
      <c r="B100" s="1613"/>
      <c r="D100" s="1613"/>
      <c r="F100" s="1613"/>
      <c r="H100" s="1613"/>
    </row>
    <row r="101">
      <c r="B101" s="1613"/>
      <c r="D101" s="1613"/>
      <c r="F101" s="1613"/>
      <c r="H101" s="1613"/>
    </row>
    <row r="102">
      <c r="B102" s="1613"/>
      <c r="D102" s="1613"/>
      <c r="F102" s="1613"/>
      <c r="H102" s="1613"/>
    </row>
    <row r="103">
      <c r="B103" s="1613"/>
      <c r="D103" s="1613"/>
      <c r="F103" s="1613"/>
      <c r="H103" s="1613"/>
    </row>
    <row r="104">
      <c r="B104" s="1613"/>
      <c r="D104" s="1613"/>
      <c r="F104" s="1613"/>
      <c r="H104" s="1613"/>
    </row>
    <row r="105">
      <c r="B105" s="1613"/>
      <c r="D105" s="1613"/>
      <c r="F105" s="1613"/>
      <c r="H105" s="1613"/>
    </row>
    <row r="106">
      <c r="B106" s="1613"/>
      <c r="D106" s="1613"/>
      <c r="F106" s="1613"/>
      <c r="H106" s="1613"/>
    </row>
    <row r="107">
      <c r="B107" s="1613"/>
      <c r="D107" s="1613"/>
      <c r="F107" s="1613"/>
      <c r="H107" s="1613"/>
    </row>
    <row r="108">
      <c r="B108" s="1613"/>
      <c r="D108" s="1613"/>
      <c r="F108" s="1613"/>
      <c r="H108" s="1613"/>
    </row>
    <row r="109">
      <c r="B109" s="1613"/>
      <c r="D109" s="1613"/>
      <c r="F109" s="1613"/>
      <c r="H109" s="1613"/>
    </row>
    <row r="110">
      <c r="B110" s="1613"/>
      <c r="D110" s="1613"/>
      <c r="F110" s="1613"/>
      <c r="H110" s="1613"/>
    </row>
    <row r="111">
      <c r="B111" s="1613"/>
      <c r="D111" s="1613"/>
      <c r="F111" s="1613"/>
      <c r="H111" s="1613"/>
    </row>
    <row r="112">
      <c r="B112" s="1613"/>
      <c r="D112" s="1613"/>
      <c r="F112" s="1613"/>
      <c r="H112" s="1613"/>
    </row>
    <row r="113">
      <c r="B113" s="1613"/>
      <c r="D113" s="1613"/>
      <c r="F113" s="1613"/>
      <c r="H113" s="1613"/>
    </row>
    <row r="114">
      <c r="B114" s="1613"/>
      <c r="D114" s="1613"/>
      <c r="F114" s="1613"/>
      <c r="H114" s="1613"/>
    </row>
    <row r="115">
      <c r="B115" s="1613"/>
      <c r="D115" s="1613"/>
      <c r="F115" s="1613"/>
      <c r="H115" s="1613"/>
    </row>
    <row r="116">
      <c r="B116" s="1613"/>
      <c r="D116" s="1613"/>
      <c r="F116" s="1613"/>
      <c r="H116" s="1613"/>
    </row>
    <row r="117">
      <c r="B117" s="1613"/>
      <c r="D117" s="1613"/>
      <c r="F117" s="1613"/>
      <c r="H117" s="1613"/>
    </row>
    <row r="118">
      <c r="B118" s="1613"/>
      <c r="D118" s="1613"/>
      <c r="F118" s="1613"/>
      <c r="H118" s="1613"/>
    </row>
    <row r="119">
      <c r="B119" s="1613"/>
      <c r="D119" s="1613"/>
      <c r="F119" s="1613"/>
      <c r="H119" s="1613"/>
    </row>
    <row r="120">
      <c r="B120" s="1613"/>
      <c r="D120" s="1613"/>
      <c r="F120" s="1613"/>
      <c r="H120" s="1613"/>
    </row>
    <row r="121">
      <c r="B121" s="1613"/>
      <c r="D121" s="1613"/>
      <c r="F121" s="1613"/>
      <c r="H121" s="1613"/>
    </row>
    <row r="122">
      <c r="B122" s="1613"/>
      <c r="D122" s="1613"/>
      <c r="F122" s="1613"/>
      <c r="H122" s="1613"/>
    </row>
    <row r="123">
      <c r="B123" s="1613"/>
      <c r="D123" s="1613"/>
      <c r="F123" s="1613"/>
      <c r="H123" s="1613"/>
    </row>
    <row r="124">
      <c r="B124" s="1613"/>
      <c r="D124" s="1613"/>
      <c r="F124" s="1613"/>
      <c r="H124" s="1613"/>
    </row>
    <row r="125">
      <c r="B125" s="1613"/>
      <c r="D125" s="1613"/>
      <c r="F125" s="1613"/>
      <c r="H125" s="1613"/>
    </row>
    <row r="126">
      <c r="B126" s="1613"/>
      <c r="D126" s="1613"/>
      <c r="F126" s="1613"/>
      <c r="H126" s="1613"/>
    </row>
    <row r="127">
      <c r="B127" s="1613"/>
      <c r="D127" s="1613"/>
      <c r="F127" s="1613"/>
      <c r="H127" s="1613"/>
    </row>
    <row r="128">
      <c r="B128" s="1613"/>
      <c r="D128" s="1613"/>
      <c r="F128" s="1613"/>
      <c r="H128" s="1613"/>
    </row>
    <row r="129">
      <c r="B129" s="1613"/>
      <c r="D129" s="1613"/>
      <c r="F129" s="1613"/>
      <c r="H129" s="1613"/>
    </row>
    <row r="130">
      <c r="B130" s="1613"/>
      <c r="D130" s="1613"/>
      <c r="F130" s="1613"/>
      <c r="H130" s="1613"/>
    </row>
    <row r="131">
      <c r="B131" s="1613"/>
      <c r="D131" s="1613"/>
      <c r="F131" s="1613"/>
      <c r="H131" s="1613"/>
    </row>
    <row r="132">
      <c r="B132" s="1613"/>
      <c r="D132" s="1613"/>
      <c r="F132" s="1613"/>
      <c r="H132" s="1613"/>
    </row>
    <row r="133">
      <c r="B133" s="1613"/>
      <c r="D133" s="1613"/>
      <c r="F133" s="1613"/>
      <c r="H133" s="1613"/>
    </row>
    <row r="134">
      <c r="B134" s="1613"/>
      <c r="D134" s="1613"/>
      <c r="F134" s="1613"/>
      <c r="H134" s="1613"/>
    </row>
    <row r="135">
      <c r="B135" s="1613"/>
      <c r="D135" s="1613"/>
      <c r="F135" s="1613"/>
      <c r="H135" s="1613"/>
    </row>
    <row r="136">
      <c r="B136" s="1613"/>
      <c r="D136" s="1613"/>
      <c r="F136" s="1613"/>
      <c r="H136" s="1613"/>
    </row>
    <row r="137">
      <c r="B137" s="1613"/>
      <c r="D137" s="1613"/>
      <c r="F137" s="1613"/>
      <c r="H137" s="1613"/>
    </row>
    <row r="138">
      <c r="B138" s="1613"/>
      <c r="D138" s="1613"/>
      <c r="F138" s="1613"/>
      <c r="H138" s="1613"/>
    </row>
    <row r="139">
      <c r="B139" s="1613"/>
      <c r="D139" s="1613"/>
      <c r="F139" s="1613"/>
      <c r="H139" s="1613"/>
    </row>
    <row r="140">
      <c r="B140" s="1613"/>
      <c r="D140" s="1613"/>
      <c r="F140" s="1613"/>
      <c r="H140" s="1613"/>
    </row>
    <row r="141">
      <c r="B141" s="1613"/>
      <c r="D141" s="1613"/>
      <c r="F141" s="1613"/>
      <c r="H141" s="1613"/>
    </row>
    <row r="142">
      <c r="B142" s="1613"/>
      <c r="D142" s="1613"/>
      <c r="F142" s="1613"/>
      <c r="H142" s="1613"/>
    </row>
    <row r="143">
      <c r="B143" s="1613"/>
      <c r="D143" s="1613"/>
      <c r="F143" s="1613"/>
      <c r="H143" s="1613"/>
    </row>
    <row r="144">
      <c r="B144" s="1613"/>
      <c r="D144" s="1613"/>
      <c r="F144" s="1613"/>
      <c r="H144" s="1613"/>
    </row>
    <row r="145">
      <c r="B145" s="1613"/>
      <c r="D145" s="1613"/>
      <c r="F145" s="1613"/>
      <c r="H145" s="1613"/>
    </row>
    <row r="146">
      <c r="B146" s="1613"/>
      <c r="D146" s="1613"/>
      <c r="F146" s="1613"/>
      <c r="H146" s="1613"/>
    </row>
    <row r="147">
      <c r="B147" s="1613"/>
      <c r="D147" s="1613"/>
      <c r="F147" s="1613"/>
      <c r="H147" s="1613"/>
    </row>
    <row r="148">
      <c r="B148" s="1613"/>
      <c r="D148" s="1613"/>
      <c r="F148" s="1613"/>
      <c r="H148" s="1613"/>
    </row>
    <row r="149">
      <c r="B149" s="1613"/>
      <c r="D149" s="1613"/>
      <c r="F149" s="1613"/>
      <c r="H149" s="1613"/>
    </row>
    <row r="150">
      <c r="B150" s="1613"/>
      <c r="D150" s="1613"/>
      <c r="F150" s="1613"/>
      <c r="H150" s="1613"/>
    </row>
    <row r="151">
      <c r="B151" s="1613"/>
      <c r="D151" s="1613"/>
      <c r="F151" s="1613"/>
      <c r="H151" s="1613"/>
    </row>
    <row r="152">
      <c r="B152" s="1613"/>
      <c r="D152" s="1613"/>
      <c r="F152" s="1613"/>
      <c r="H152" s="1613"/>
    </row>
    <row r="153">
      <c r="B153" s="1613"/>
      <c r="D153" s="1613"/>
      <c r="F153" s="1613"/>
      <c r="H153" s="1613"/>
    </row>
    <row r="154">
      <c r="B154" s="1613"/>
      <c r="D154" s="1613"/>
      <c r="F154" s="1613"/>
      <c r="H154" s="1613"/>
    </row>
    <row r="155">
      <c r="B155" s="1613"/>
      <c r="D155" s="1613"/>
      <c r="F155" s="1613"/>
      <c r="H155" s="1613"/>
    </row>
    <row r="156">
      <c r="B156" s="1613"/>
      <c r="D156" s="1613"/>
      <c r="F156" s="1613"/>
      <c r="H156" s="1613"/>
    </row>
    <row r="157">
      <c r="B157" s="1613"/>
      <c r="D157" s="1613"/>
      <c r="F157" s="1613"/>
      <c r="H157" s="1613"/>
    </row>
    <row r="158">
      <c r="B158" s="1613"/>
      <c r="D158" s="1613"/>
      <c r="F158" s="1613"/>
      <c r="H158" s="1613"/>
    </row>
    <row r="159">
      <c r="B159" s="1613"/>
      <c r="D159" s="1613"/>
      <c r="F159" s="1613"/>
      <c r="H159" s="1613"/>
    </row>
    <row r="160">
      <c r="B160" s="1613"/>
      <c r="D160" s="1613"/>
      <c r="F160" s="1613"/>
      <c r="H160" s="1613"/>
    </row>
    <row r="161">
      <c r="B161" s="1613"/>
      <c r="D161" s="1613"/>
      <c r="F161" s="1613"/>
      <c r="H161" s="1613"/>
    </row>
    <row r="162">
      <c r="B162" s="1613"/>
      <c r="D162" s="1613"/>
      <c r="F162" s="1613"/>
      <c r="H162" s="1613"/>
    </row>
    <row r="163">
      <c r="B163" s="1613"/>
      <c r="D163" s="1613"/>
      <c r="F163" s="1613"/>
      <c r="H163" s="1613"/>
    </row>
    <row r="164">
      <c r="B164" s="1613"/>
      <c r="D164" s="1613"/>
      <c r="F164" s="1613"/>
      <c r="H164" s="1613"/>
    </row>
    <row r="165">
      <c r="B165" s="1613"/>
      <c r="D165" s="1613"/>
      <c r="F165" s="1613"/>
      <c r="H165" s="1613"/>
    </row>
    <row r="166">
      <c r="B166" s="1613"/>
      <c r="D166" s="1613"/>
      <c r="F166" s="1613"/>
      <c r="H166" s="1613"/>
    </row>
    <row r="167">
      <c r="B167" s="1613"/>
      <c r="D167" s="1613"/>
      <c r="F167" s="1613"/>
      <c r="H167" s="1613"/>
    </row>
    <row r="168">
      <c r="B168" s="1613"/>
      <c r="D168" s="1613"/>
      <c r="F168" s="1613"/>
      <c r="H168" s="1613"/>
    </row>
    <row r="169">
      <c r="B169" s="1613"/>
      <c r="D169" s="1613"/>
      <c r="F169" s="1613"/>
      <c r="H169" s="1613"/>
    </row>
    <row r="170">
      <c r="B170" s="1613"/>
      <c r="D170" s="1613"/>
      <c r="F170" s="1613"/>
      <c r="H170" s="1613"/>
    </row>
    <row r="171">
      <c r="B171" s="1613"/>
      <c r="D171" s="1613"/>
      <c r="F171" s="1613"/>
      <c r="H171" s="1613"/>
    </row>
    <row r="172">
      <c r="B172" s="1613"/>
      <c r="D172" s="1613"/>
      <c r="F172" s="1613"/>
      <c r="H172" s="1613"/>
    </row>
    <row r="173">
      <c r="B173" s="1613"/>
      <c r="D173" s="1613"/>
      <c r="F173" s="1613"/>
      <c r="H173" s="1613"/>
    </row>
    <row r="174">
      <c r="B174" s="1613"/>
      <c r="D174" s="1613"/>
      <c r="F174" s="1613"/>
      <c r="H174" s="1613"/>
    </row>
    <row r="175">
      <c r="B175" s="1613"/>
      <c r="D175" s="1613"/>
      <c r="F175" s="1613"/>
      <c r="H175" s="1613"/>
    </row>
    <row r="176">
      <c r="B176" s="1613"/>
      <c r="D176" s="1613"/>
      <c r="F176" s="1613"/>
      <c r="H176" s="1613"/>
    </row>
    <row r="177">
      <c r="B177" s="1613"/>
      <c r="D177" s="1613"/>
      <c r="F177" s="1613"/>
      <c r="H177" s="1613"/>
    </row>
    <row r="178">
      <c r="B178" s="1613"/>
      <c r="D178" s="1613"/>
      <c r="F178" s="1613"/>
      <c r="H178" s="1613"/>
    </row>
    <row r="179">
      <c r="B179" s="1613"/>
      <c r="D179" s="1613"/>
      <c r="F179" s="1613"/>
      <c r="H179" s="1613"/>
    </row>
    <row r="180">
      <c r="B180" s="1613"/>
      <c r="D180" s="1613"/>
      <c r="F180" s="1613"/>
      <c r="H180" s="1613"/>
    </row>
    <row r="181">
      <c r="B181" s="1613"/>
      <c r="D181" s="1613"/>
      <c r="F181" s="1613"/>
      <c r="H181" s="1613"/>
    </row>
    <row r="182">
      <c r="B182" s="1613"/>
      <c r="D182" s="1613"/>
      <c r="F182" s="1613"/>
      <c r="H182" s="1613"/>
    </row>
    <row r="183">
      <c r="B183" s="1613"/>
      <c r="D183" s="1613"/>
      <c r="F183" s="1613"/>
      <c r="H183" s="1613"/>
    </row>
    <row r="184">
      <c r="B184" s="1613"/>
      <c r="D184" s="1613"/>
      <c r="F184" s="1613"/>
      <c r="H184" s="1613"/>
    </row>
    <row r="185">
      <c r="B185" s="1613"/>
      <c r="D185" s="1613"/>
      <c r="F185" s="1613"/>
      <c r="H185" s="1613"/>
    </row>
    <row r="186">
      <c r="B186" s="1613"/>
      <c r="D186" s="1613"/>
      <c r="F186" s="1613"/>
      <c r="H186" s="1613"/>
    </row>
    <row r="187">
      <c r="B187" s="1613"/>
      <c r="D187" s="1613"/>
      <c r="F187" s="1613"/>
      <c r="H187" s="1613"/>
    </row>
    <row r="188">
      <c r="B188" s="1613"/>
      <c r="D188" s="1613"/>
      <c r="F188" s="1613"/>
      <c r="H188" s="1613"/>
    </row>
    <row r="189">
      <c r="B189" s="1613"/>
      <c r="D189" s="1613"/>
      <c r="F189" s="1613"/>
      <c r="H189" s="1613"/>
    </row>
    <row r="190">
      <c r="B190" s="1613"/>
      <c r="D190" s="1613"/>
      <c r="F190" s="1613"/>
      <c r="H190" s="1613"/>
    </row>
    <row r="191">
      <c r="B191" s="1613"/>
      <c r="D191" s="1613"/>
      <c r="F191" s="1613"/>
      <c r="H191" s="1613"/>
    </row>
    <row r="192">
      <c r="B192" s="1613"/>
      <c r="D192" s="1613"/>
      <c r="F192" s="1613"/>
      <c r="H192" s="1613"/>
    </row>
    <row r="193">
      <c r="B193" s="1613"/>
      <c r="D193" s="1613"/>
      <c r="F193" s="1613"/>
      <c r="H193" s="1613"/>
    </row>
    <row r="194">
      <c r="B194" s="1613"/>
      <c r="D194" s="1613"/>
      <c r="F194" s="1613"/>
      <c r="H194" s="1613"/>
    </row>
    <row r="195">
      <c r="B195" s="1613"/>
      <c r="D195" s="1613"/>
      <c r="F195" s="1613"/>
      <c r="H195" s="1613"/>
    </row>
    <row r="196">
      <c r="B196" s="1613"/>
      <c r="D196" s="1613"/>
      <c r="F196" s="1613"/>
      <c r="H196" s="1613"/>
    </row>
    <row r="197">
      <c r="B197" s="1613"/>
      <c r="D197" s="1613"/>
      <c r="F197" s="1613"/>
      <c r="H197" s="1613"/>
    </row>
    <row r="198">
      <c r="B198" s="1613"/>
      <c r="D198" s="1613"/>
      <c r="F198" s="1613"/>
      <c r="H198" s="1613"/>
    </row>
    <row r="199">
      <c r="B199" s="1613"/>
      <c r="D199" s="1613"/>
      <c r="F199" s="1613"/>
      <c r="H199" s="1613"/>
    </row>
    <row r="200">
      <c r="B200" s="1613"/>
      <c r="D200" s="1613"/>
      <c r="F200" s="1613"/>
      <c r="H200" s="1613"/>
    </row>
    <row r="201">
      <c r="B201" s="1613"/>
      <c r="D201" s="1613"/>
      <c r="F201" s="1613"/>
      <c r="H201" s="1613"/>
    </row>
    <row r="202">
      <c r="B202" s="1613"/>
      <c r="D202" s="1613"/>
      <c r="F202" s="1613"/>
      <c r="H202" s="1613"/>
    </row>
    <row r="203">
      <c r="B203" s="1613"/>
      <c r="D203" s="1613"/>
      <c r="F203" s="1613"/>
      <c r="H203" s="1613"/>
    </row>
    <row r="204">
      <c r="B204" s="1613"/>
      <c r="D204" s="1613"/>
      <c r="F204" s="1613"/>
      <c r="H204" s="1613"/>
    </row>
    <row r="205">
      <c r="B205" s="1613"/>
      <c r="D205" s="1613"/>
      <c r="F205" s="1613"/>
      <c r="H205" s="1613"/>
    </row>
    <row r="206">
      <c r="B206" s="1613"/>
      <c r="D206" s="1613"/>
      <c r="F206" s="1613"/>
      <c r="H206" s="1613"/>
    </row>
    <row r="207">
      <c r="B207" s="1613"/>
      <c r="D207" s="1613"/>
      <c r="F207" s="1613"/>
      <c r="H207" s="1613"/>
    </row>
    <row r="208">
      <c r="B208" s="1613"/>
      <c r="D208" s="1613"/>
      <c r="F208" s="1613"/>
      <c r="H208" s="1613"/>
    </row>
    <row r="209">
      <c r="B209" s="1613"/>
      <c r="D209" s="1613"/>
      <c r="F209" s="1613"/>
      <c r="H209" s="1613"/>
    </row>
    <row r="210">
      <c r="B210" s="1613"/>
      <c r="D210" s="1613"/>
      <c r="F210" s="1613"/>
      <c r="H210" s="1613"/>
    </row>
    <row r="211">
      <c r="B211" s="1613"/>
      <c r="D211" s="1613"/>
      <c r="F211" s="1613"/>
      <c r="H211" s="1613"/>
    </row>
    <row r="212">
      <c r="B212" s="1613"/>
      <c r="D212" s="1613"/>
      <c r="F212" s="1613"/>
      <c r="H212" s="1613"/>
    </row>
    <row r="213">
      <c r="B213" s="1613"/>
      <c r="D213" s="1613"/>
      <c r="F213" s="1613"/>
      <c r="H213" s="1613"/>
    </row>
    <row r="214">
      <c r="B214" s="1613"/>
      <c r="D214" s="1613"/>
      <c r="F214" s="1613"/>
      <c r="H214" s="1613"/>
    </row>
    <row r="215">
      <c r="B215" s="1613"/>
      <c r="D215" s="1613"/>
      <c r="F215" s="1613"/>
      <c r="H215" s="1613"/>
    </row>
    <row r="216">
      <c r="B216" s="1613"/>
      <c r="D216" s="1613"/>
      <c r="F216" s="1613"/>
      <c r="H216" s="1613"/>
    </row>
    <row r="217">
      <c r="B217" s="1613"/>
      <c r="D217" s="1613"/>
      <c r="F217" s="1613"/>
      <c r="H217" s="1613"/>
    </row>
    <row r="218">
      <c r="B218" s="1613"/>
      <c r="D218" s="1613"/>
      <c r="F218" s="1613"/>
      <c r="H218" s="1613"/>
    </row>
    <row r="219">
      <c r="B219" s="1613"/>
      <c r="D219" s="1613"/>
      <c r="F219" s="1613"/>
      <c r="H219" s="1613"/>
    </row>
    <row r="220">
      <c r="B220" s="1613"/>
      <c r="D220" s="1613"/>
      <c r="F220" s="1613"/>
      <c r="H220" s="1613"/>
    </row>
    <row r="221">
      <c r="B221" s="1613"/>
      <c r="D221" s="1613"/>
      <c r="F221" s="1613"/>
      <c r="H221" s="1613"/>
    </row>
    <row r="222">
      <c r="B222" s="1613"/>
      <c r="D222" s="1613"/>
      <c r="F222" s="1613"/>
      <c r="H222" s="1613"/>
    </row>
    <row r="223">
      <c r="B223" s="1613"/>
      <c r="D223" s="1613"/>
      <c r="F223" s="1613"/>
      <c r="H223" s="1613"/>
    </row>
    <row r="224">
      <c r="B224" s="1613"/>
      <c r="D224" s="1613"/>
      <c r="F224" s="1613"/>
      <c r="H224" s="1613"/>
    </row>
    <row r="225">
      <c r="B225" s="1613"/>
      <c r="D225" s="1613"/>
      <c r="F225" s="1613"/>
      <c r="H225" s="1613"/>
    </row>
    <row r="226">
      <c r="B226" s="1613"/>
      <c r="D226" s="1613"/>
      <c r="F226" s="1613"/>
      <c r="H226" s="1613"/>
    </row>
    <row r="227">
      <c r="B227" s="1613"/>
      <c r="D227" s="1613"/>
      <c r="F227" s="1613"/>
      <c r="H227" s="1613"/>
    </row>
    <row r="228">
      <c r="B228" s="1613"/>
      <c r="D228" s="1613"/>
      <c r="F228" s="1613"/>
      <c r="H228" s="1613"/>
    </row>
    <row r="229">
      <c r="B229" s="1613"/>
      <c r="D229" s="1613"/>
      <c r="F229" s="1613"/>
      <c r="H229" s="1613"/>
    </row>
    <row r="230">
      <c r="B230" s="1613"/>
      <c r="D230" s="1613"/>
      <c r="F230" s="1613"/>
      <c r="H230" s="1613"/>
    </row>
    <row r="231">
      <c r="B231" s="1613"/>
      <c r="D231" s="1613"/>
      <c r="F231" s="1613"/>
      <c r="H231" s="1613"/>
    </row>
    <row r="232">
      <c r="B232" s="1613"/>
      <c r="D232" s="1613"/>
      <c r="F232" s="1613"/>
      <c r="H232" s="1613"/>
    </row>
    <row r="233">
      <c r="B233" s="1613"/>
      <c r="D233" s="1613"/>
      <c r="F233" s="1613"/>
      <c r="H233" s="1613"/>
    </row>
    <row r="234">
      <c r="B234" s="1613"/>
      <c r="D234" s="1613"/>
      <c r="F234" s="1613"/>
      <c r="H234" s="1613"/>
    </row>
    <row r="235">
      <c r="B235" s="1613"/>
      <c r="D235" s="1613"/>
      <c r="F235" s="1613"/>
      <c r="H235" s="1613"/>
    </row>
    <row r="236">
      <c r="B236" s="1613"/>
      <c r="D236" s="1613"/>
      <c r="F236" s="1613"/>
      <c r="H236" s="1613"/>
    </row>
    <row r="237">
      <c r="B237" s="1613"/>
      <c r="D237" s="1613"/>
      <c r="F237" s="1613"/>
      <c r="H237" s="1613"/>
    </row>
    <row r="238">
      <c r="B238" s="1613"/>
      <c r="D238" s="1613"/>
      <c r="F238" s="1613"/>
      <c r="H238" s="1613"/>
    </row>
    <row r="239">
      <c r="B239" s="1613"/>
      <c r="D239" s="1613"/>
      <c r="F239" s="1613"/>
      <c r="H239" s="1613"/>
    </row>
    <row r="240">
      <c r="B240" s="1613"/>
      <c r="D240" s="1613"/>
      <c r="F240" s="1613"/>
      <c r="H240" s="1613"/>
    </row>
    <row r="241">
      <c r="B241" s="1613"/>
      <c r="D241" s="1613"/>
      <c r="F241" s="1613"/>
      <c r="H241" s="1613"/>
    </row>
    <row r="242">
      <c r="B242" s="1613"/>
      <c r="D242" s="1613"/>
      <c r="F242" s="1613"/>
      <c r="H242" s="1613"/>
    </row>
    <row r="243">
      <c r="B243" s="1613"/>
      <c r="D243" s="1613"/>
      <c r="F243" s="1613"/>
      <c r="H243" s="1613"/>
    </row>
    <row r="244">
      <c r="B244" s="1613"/>
      <c r="D244" s="1613"/>
      <c r="F244" s="1613"/>
      <c r="H244" s="1613"/>
    </row>
    <row r="245">
      <c r="B245" s="1613"/>
      <c r="D245" s="1613"/>
      <c r="F245" s="1613"/>
      <c r="H245" s="1613"/>
    </row>
    <row r="246">
      <c r="B246" s="1613"/>
      <c r="D246" s="1613"/>
      <c r="F246" s="1613"/>
      <c r="H246" s="1613"/>
    </row>
    <row r="247">
      <c r="B247" s="1613"/>
      <c r="D247" s="1613"/>
      <c r="F247" s="1613"/>
      <c r="H247" s="1613"/>
    </row>
    <row r="248">
      <c r="B248" s="1613"/>
      <c r="D248" s="1613"/>
      <c r="F248" s="1613"/>
      <c r="H248" s="1613"/>
    </row>
    <row r="249">
      <c r="B249" s="1613"/>
      <c r="D249" s="1613"/>
      <c r="F249" s="1613"/>
      <c r="H249" s="1613"/>
    </row>
    <row r="250">
      <c r="B250" s="1613"/>
      <c r="D250" s="1613"/>
      <c r="F250" s="1613"/>
      <c r="H250" s="1613"/>
    </row>
    <row r="251">
      <c r="B251" s="1613"/>
      <c r="D251" s="1613"/>
      <c r="F251" s="1613"/>
      <c r="H251" s="1613"/>
    </row>
    <row r="252">
      <c r="B252" s="1613"/>
      <c r="D252" s="1613"/>
      <c r="F252" s="1613"/>
      <c r="H252" s="1613"/>
    </row>
    <row r="253">
      <c r="B253" s="1613"/>
      <c r="D253" s="1613"/>
      <c r="F253" s="1613"/>
      <c r="H253" s="1613"/>
    </row>
    <row r="254">
      <c r="B254" s="1613"/>
      <c r="D254" s="1613"/>
      <c r="F254" s="1613"/>
      <c r="H254" s="1613"/>
    </row>
    <row r="255">
      <c r="B255" s="1613"/>
      <c r="D255" s="1613"/>
      <c r="F255" s="1613"/>
      <c r="H255" s="1613"/>
    </row>
    <row r="256">
      <c r="B256" s="1613"/>
      <c r="D256" s="1613"/>
      <c r="F256" s="1613"/>
      <c r="H256" s="1613"/>
    </row>
    <row r="257">
      <c r="B257" s="1613"/>
      <c r="D257" s="1613"/>
      <c r="F257" s="1613"/>
      <c r="H257" s="1613"/>
    </row>
    <row r="258">
      <c r="B258" s="1613"/>
      <c r="D258" s="1613"/>
      <c r="F258" s="1613"/>
      <c r="H258" s="1613"/>
    </row>
    <row r="259">
      <c r="B259" s="1613"/>
      <c r="D259" s="1613"/>
      <c r="F259" s="1613"/>
      <c r="H259" s="1613"/>
    </row>
    <row r="260">
      <c r="B260" s="1613"/>
      <c r="D260" s="1613"/>
      <c r="F260" s="1613"/>
      <c r="H260" s="1613"/>
    </row>
    <row r="261">
      <c r="B261" s="1613"/>
      <c r="D261" s="1613"/>
      <c r="F261" s="1613"/>
      <c r="H261" s="1613"/>
    </row>
    <row r="262">
      <c r="B262" s="1613"/>
      <c r="D262" s="1613"/>
      <c r="F262" s="1613"/>
      <c r="H262" s="1613"/>
    </row>
    <row r="263">
      <c r="B263" s="1613"/>
      <c r="D263" s="1613"/>
      <c r="F263" s="1613"/>
      <c r="H263" s="1613"/>
    </row>
    <row r="264">
      <c r="B264" s="1613"/>
      <c r="D264" s="1613"/>
      <c r="F264" s="1613"/>
      <c r="H264" s="1613"/>
    </row>
    <row r="265">
      <c r="B265" s="1613"/>
      <c r="D265" s="1613"/>
      <c r="F265" s="1613"/>
      <c r="H265" s="1613"/>
    </row>
    <row r="266">
      <c r="B266" s="1613"/>
      <c r="D266" s="1613"/>
      <c r="F266" s="1613"/>
      <c r="H266" s="1613"/>
    </row>
    <row r="267">
      <c r="B267" s="1613"/>
      <c r="D267" s="1613"/>
      <c r="F267" s="1613"/>
      <c r="H267" s="1613"/>
    </row>
    <row r="268">
      <c r="B268" s="1613"/>
      <c r="D268" s="1613"/>
      <c r="F268" s="1613"/>
      <c r="H268" s="1613"/>
    </row>
    <row r="269">
      <c r="B269" s="1613"/>
      <c r="D269" s="1613"/>
      <c r="F269" s="1613"/>
      <c r="H269" s="1613"/>
    </row>
    <row r="270">
      <c r="B270" s="1613"/>
      <c r="D270" s="1613"/>
      <c r="F270" s="1613"/>
      <c r="H270" s="1613"/>
    </row>
    <row r="271">
      <c r="B271" s="1613"/>
      <c r="D271" s="1613"/>
      <c r="F271" s="1613"/>
      <c r="H271" s="1613"/>
    </row>
    <row r="272">
      <c r="B272" s="1613"/>
      <c r="D272" s="1613"/>
      <c r="F272" s="1613"/>
      <c r="H272" s="1613"/>
    </row>
    <row r="273">
      <c r="B273" s="1613"/>
      <c r="D273" s="1613"/>
      <c r="F273" s="1613"/>
      <c r="H273" s="1613"/>
    </row>
    <row r="274">
      <c r="B274" s="1613"/>
      <c r="D274" s="1613"/>
      <c r="F274" s="1613"/>
      <c r="H274" s="1613"/>
    </row>
    <row r="275">
      <c r="B275" s="1613"/>
      <c r="D275" s="1613"/>
      <c r="F275" s="1613"/>
      <c r="H275" s="1613"/>
    </row>
    <row r="276">
      <c r="B276" s="1613"/>
      <c r="D276" s="1613"/>
      <c r="F276" s="1613"/>
      <c r="H276" s="1613"/>
    </row>
    <row r="277">
      <c r="B277" s="1613"/>
      <c r="D277" s="1613"/>
      <c r="F277" s="1613"/>
      <c r="H277" s="1613"/>
    </row>
    <row r="278">
      <c r="B278" s="1613"/>
      <c r="D278" s="1613"/>
      <c r="F278" s="1613"/>
      <c r="H278" s="1613"/>
    </row>
    <row r="279">
      <c r="B279" s="1613"/>
      <c r="D279" s="1613"/>
      <c r="F279" s="1613"/>
      <c r="H279" s="1613"/>
    </row>
    <row r="280">
      <c r="B280" s="1613"/>
      <c r="D280" s="1613"/>
      <c r="F280" s="1613"/>
      <c r="H280" s="1613"/>
    </row>
    <row r="281">
      <c r="B281" s="1613"/>
      <c r="D281" s="1613"/>
      <c r="F281" s="1613"/>
      <c r="H281" s="1613"/>
    </row>
    <row r="282">
      <c r="B282" s="1613"/>
      <c r="D282" s="1613"/>
      <c r="F282" s="1613"/>
      <c r="H282" s="1613"/>
    </row>
    <row r="283">
      <c r="B283" s="1613"/>
      <c r="D283" s="1613"/>
      <c r="F283" s="1613"/>
      <c r="H283" s="1613"/>
    </row>
    <row r="284">
      <c r="B284" s="1613"/>
      <c r="D284" s="1613"/>
      <c r="F284" s="1613"/>
      <c r="H284" s="1613"/>
    </row>
    <row r="285">
      <c r="B285" s="1613"/>
      <c r="D285" s="1613"/>
      <c r="F285" s="1613"/>
      <c r="H285" s="1613"/>
    </row>
    <row r="286">
      <c r="B286" s="1613"/>
      <c r="D286" s="1613"/>
      <c r="F286" s="1613"/>
      <c r="H286" s="1613"/>
    </row>
    <row r="287">
      <c r="B287" s="1613"/>
      <c r="D287" s="1613"/>
      <c r="F287" s="1613"/>
      <c r="H287" s="1613"/>
    </row>
    <row r="288">
      <c r="B288" s="1613"/>
      <c r="D288" s="1613"/>
      <c r="F288" s="1613"/>
      <c r="H288" s="1613"/>
    </row>
    <row r="289">
      <c r="B289" s="1613"/>
      <c r="D289" s="1613"/>
      <c r="F289" s="1613"/>
      <c r="H289" s="1613"/>
    </row>
    <row r="290">
      <c r="B290" s="1613"/>
      <c r="D290" s="1613"/>
      <c r="F290" s="1613"/>
      <c r="H290" s="1613"/>
    </row>
    <row r="291">
      <c r="B291" s="1613"/>
      <c r="D291" s="1613"/>
      <c r="F291" s="1613"/>
      <c r="H291" s="1613"/>
    </row>
    <row r="292">
      <c r="B292" s="1613"/>
      <c r="D292" s="1613"/>
      <c r="F292" s="1613"/>
      <c r="H292" s="1613"/>
    </row>
    <row r="293">
      <c r="B293" s="1613"/>
      <c r="D293" s="1613"/>
      <c r="F293" s="1613"/>
      <c r="H293" s="1613"/>
    </row>
    <row r="294">
      <c r="B294" s="1613"/>
      <c r="D294" s="1613"/>
      <c r="F294" s="1613"/>
      <c r="H294" s="1613"/>
    </row>
    <row r="295">
      <c r="B295" s="1613"/>
      <c r="D295" s="1613"/>
      <c r="F295" s="1613"/>
      <c r="H295" s="1613"/>
    </row>
    <row r="296">
      <c r="B296" s="1613"/>
      <c r="D296" s="1613"/>
      <c r="F296" s="1613"/>
      <c r="H296" s="1613"/>
    </row>
    <row r="297">
      <c r="B297" s="1613"/>
      <c r="D297" s="1613"/>
      <c r="F297" s="1613"/>
      <c r="H297" s="1613"/>
    </row>
    <row r="298">
      <c r="B298" s="1613"/>
      <c r="D298" s="1613"/>
      <c r="F298" s="1613"/>
      <c r="H298" s="1613"/>
    </row>
    <row r="299">
      <c r="B299" s="1613"/>
      <c r="D299" s="1613"/>
      <c r="F299" s="1613"/>
      <c r="H299" s="1613"/>
    </row>
    <row r="300">
      <c r="B300" s="1613"/>
      <c r="D300" s="1613"/>
      <c r="F300" s="1613"/>
      <c r="H300" s="1613"/>
    </row>
    <row r="301">
      <c r="B301" s="1613"/>
      <c r="D301" s="1613"/>
      <c r="F301" s="1613"/>
      <c r="H301" s="1613"/>
    </row>
    <row r="302">
      <c r="B302" s="1613"/>
      <c r="D302" s="1613"/>
      <c r="F302" s="1613"/>
      <c r="H302" s="1613"/>
    </row>
    <row r="303">
      <c r="B303" s="1613"/>
      <c r="D303" s="1613"/>
      <c r="F303" s="1613"/>
      <c r="H303" s="1613"/>
    </row>
    <row r="304">
      <c r="B304" s="1613"/>
      <c r="D304" s="1613"/>
      <c r="F304" s="1613"/>
      <c r="H304" s="1613"/>
    </row>
    <row r="305">
      <c r="B305" s="1613"/>
      <c r="D305" s="1613"/>
      <c r="F305" s="1613"/>
      <c r="H305" s="1613"/>
    </row>
    <row r="306">
      <c r="B306" s="1613"/>
      <c r="D306" s="1613"/>
      <c r="F306" s="1613"/>
      <c r="H306" s="1613"/>
    </row>
    <row r="307">
      <c r="B307" s="1613"/>
      <c r="D307" s="1613"/>
      <c r="F307" s="1613"/>
      <c r="H307" s="1613"/>
    </row>
    <row r="308">
      <c r="B308" s="1613"/>
      <c r="D308" s="1613"/>
      <c r="F308" s="1613"/>
      <c r="H308" s="1613"/>
    </row>
    <row r="309">
      <c r="B309" s="1613"/>
      <c r="D309" s="1613"/>
      <c r="F309" s="1613"/>
      <c r="H309" s="1613"/>
    </row>
    <row r="310">
      <c r="B310" s="1613"/>
      <c r="D310" s="1613"/>
      <c r="F310" s="1613"/>
      <c r="H310" s="1613"/>
    </row>
    <row r="311">
      <c r="B311" s="1613"/>
      <c r="D311" s="1613"/>
      <c r="F311" s="1613"/>
      <c r="H311" s="1613"/>
    </row>
    <row r="312">
      <c r="B312" s="1613"/>
      <c r="D312" s="1613"/>
      <c r="F312" s="1613"/>
      <c r="H312" s="1613"/>
    </row>
    <row r="313">
      <c r="B313" s="1613"/>
      <c r="D313" s="1613"/>
      <c r="F313" s="1613"/>
      <c r="H313" s="1613"/>
    </row>
    <row r="314">
      <c r="B314" s="1613"/>
      <c r="D314" s="1613"/>
      <c r="F314" s="1613"/>
      <c r="H314" s="1613"/>
    </row>
    <row r="315">
      <c r="B315" s="1613"/>
      <c r="D315" s="1613"/>
      <c r="F315" s="1613"/>
      <c r="H315" s="1613"/>
    </row>
    <row r="316">
      <c r="B316" s="1613"/>
      <c r="D316" s="1613"/>
      <c r="F316" s="1613"/>
      <c r="H316" s="1613"/>
    </row>
    <row r="317">
      <c r="B317" s="1613"/>
      <c r="D317" s="1613"/>
      <c r="F317" s="1613"/>
      <c r="H317" s="1613"/>
    </row>
    <row r="318">
      <c r="B318" s="1613"/>
      <c r="D318" s="1613"/>
      <c r="F318" s="1613"/>
      <c r="H318" s="1613"/>
    </row>
    <row r="319">
      <c r="B319" s="1613"/>
      <c r="D319" s="1613"/>
      <c r="F319" s="1613"/>
      <c r="H319" s="1613"/>
    </row>
    <row r="320">
      <c r="B320" s="1613"/>
      <c r="D320" s="1613"/>
      <c r="F320" s="1613"/>
      <c r="H320" s="1613"/>
    </row>
    <row r="321">
      <c r="B321" s="1613"/>
      <c r="D321" s="1613"/>
      <c r="F321" s="1613"/>
      <c r="H321" s="1613"/>
    </row>
    <row r="322">
      <c r="B322" s="1613"/>
      <c r="D322" s="1613"/>
      <c r="F322" s="1613"/>
      <c r="H322" s="1613"/>
    </row>
    <row r="323">
      <c r="B323" s="1613"/>
      <c r="D323" s="1613"/>
      <c r="F323" s="1613"/>
      <c r="H323" s="1613"/>
    </row>
    <row r="324">
      <c r="B324" s="1613"/>
      <c r="D324" s="1613"/>
      <c r="F324" s="1613"/>
      <c r="H324" s="1613"/>
    </row>
    <row r="325">
      <c r="B325" s="1613"/>
      <c r="D325" s="1613"/>
      <c r="F325" s="1613"/>
      <c r="H325" s="1613"/>
    </row>
    <row r="326">
      <c r="B326" s="1613"/>
      <c r="D326" s="1613"/>
      <c r="F326" s="1613"/>
      <c r="H326" s="1613"/>
    </row>
    <row r="327">
      <c r="B327" s="1613"/>
      <c r="D327" s="1613"/>
      <c r="F327" s="1613"/>
      <c r="H327" s="1613"/>
    </row>
    <row r="328">
      <c r="B328" s="1613"/>
      <c r="D328" s="1613"/>
      <c r="F328" s="1613"/>
      <c r="H328" s="1613"/>
    </row>
    <row r="329">
      <c r="B329" s="1613"/>
      <c r="D329" s="1613"/>
      <c r="F329" s="1613"/>
      <c r="H329" s="1613"/>
    </row>
    <row r="330">
      <c r="B330" s="1613"/>
      <c r="D330" s="1613"/>
      <c r="F330" s="1613"/>
      <c r="H330" s="1613"/>
    </row>
    <row r="331">
      <c r="B331" s="1613"/>
      <c r="D331" s="1613"/>
      <c r="F331" s="1613"/>
      <c r="H331" s="1613"/>
    </row>
    <row r="332">
      <c r="B332" s="1613"/>
      <c r="D332" s="1613"/>
      <c r="F332" s="1613"/>
      <c r="H332" s="1613"/>
    </row>
    <row r="333">
      <c r="B333" s="1613"/>
      <c r="D333" s="1613"/>
      <c r="F333" s="1613"/>
      <c r="H333" s="1613"/>
    </row>
    <row r="334">
      <c r="B334" s="1613"/>
      <c r="D334" s="1613"/>
      <c r="F334" s="1613"/>
      <c r="H334" s="1613"/>
    </row>
    <row r="335">
      <c r="B335" s="1613"/>
      <c r="D335" s="1613"/>
      <c r="F335" s="1613"/>
      <c r="H335" s="1613"/>
    </row>
    <row r="336">
      <c r="B336" s="1613"/>
      <c r="D336" s="1613"/>
      <c r="F336" s="1613"/>
      <c r="H336" s="1613"/>
    </row>
    <row r="337">
      <c r="B337" s="1613"/>
      <c r="D337" s="1613"/>
      <c r="F337" s="1613"/>
      <c r="H337" s="1613"/>
    </row>
    <row r="338">
      <c r="B338" s="1613"/>
      <c r="D338" s="1613"/>
      <c r="F338" s="1613"/>
      <c r="H338" s="1613"/>
    </row>
    <row r="339">
      <c r="B339" s="1613"/>
      <c r="D339" s="1613"/>
      <c r="F339" s="1613"/>
      <c r="H339" s="1613"/>
    </row>
    <row r="340">
      <c r="B340" s="1613"/>
      <c r="D340" s="1613"/>
      <c r="F340" s="1613"/>
      <c r="H340" s="1613"/>
    </row>
    <row r="341">
      <c r="B341" s="1613"/>
      <c r="D341" s="1613"/>
      <c r="F341" s="1613"/>
      <c r="H341" s="1613"/>
    </row>
    <row r="342">
      <c r="B342" s="1613"/>
      <c r="D342" s="1613"/>
      <c r="F342" s="1613"/>
      <c r="H342" s="1613"/>
    </row>
    <row r="343">
      <c r="B343" s="1613"/>
      <c r="D343" s="1613"/>
      <c r="F343" s="1613"/>
      <c r="H343" s="1613"/>
    </row>
    <row r="344">
      <c r="B344" s="1613"/>
      <c r="D344" s="1613"/>
      <c r="F344" s="1613"/>
      <c r="H344" s="1613"/>
    </row>
    <row r="345">
      <c r="B345" s="1613"/>
      <c r="D345" s="1613"/>
      <c r="F345" s="1613"/>
      <c r="H345" s="1613"/>
    </row>
    <row r="346">
      <c r="B346" s="1613"/>
      <c r="D346" s="1613"/>
      <c r="F346" s="1613"/>
      <c r="H346" s="1613"/>
    </row>
    <row r="347">
      <c r="B347" s="1613"/>
      <c r="D347" s="1613"/>
      <c r="F347" s="1613"/>
      <c r="H347" s="1613"/>
    </row>
    <row r="348">
      <c r="B348" s="1613"/>
      <c r="D348" s="1613"/>
      <c r="F348" s="1613"/>
      <c r="H348" s="1613"/>
    </row>
    <row r="349">
      <c r="B349" s="1613"/>
      <c r="D349" s="1613"/>
      <c r="F349" s="1613"/>
      <c r="H349" s="1613"/>
    </row>
    <row r="350">
      <c r="B350" s="1613"/>
      <c r="D350" s="1613"/>
      <c r="F350" s="1613"/>
      <c r="H350" s="1613"/>
    </row>
    <row r="351">
      <c r="B351" s="1613"/>
      <c r="D351" s="1613"/>
      <c r="F351" s="1613"/>
      <c r="H351" s="1613"/>
    </row>
    <row r="352">
      <c r="B352" s="1613"/>
      <c r="D352" s="1613"/>
      <c r="F352" s="1613"/>
      <c r="H352" s="1613"/>
    </row>
    <row r="353">
      <c r="B353" s="1613"/>
      <c r="D353" s="1613"/>
      <c r="F353" s="1613"/>
      <c r="H353" s="1613"/>
    </row>
    <row r="354">
      <c r="B354" s="1613"/>
      <c r="D354" s="1613"/>
      <c r="F354" s="1613"/>
      <c r="H354" s="1613"/>
    </row>
    <row r="355">
      <c r="B355" s="1613"/>
      <c r="D355" s="1613"/>
      <c r="F355" s="1613"/>
      <c r="H355" s="1613"/>
    </row>
    <row r="356">
      <c r="B356" s="1613"/>
      <c r="D356" s="1613"/>
      <c r="F356" s="1613"/>
      <c r="H356" s="1613"/>
    </row>
    <row r="357">
      <c r="B357" s="1613"/>
      <c r="D357" s="1613"/>
      <c r="F357" s="1613"/>
      <c r="H357" s="1613"/>
    </row>
    <row r="358">
      <c r="B358" s="1613"/>
      <c r="D358" s="1613"/>
      <c r="F358" s="1613"/>
      <c r="H358" s="1613"/>
    </row>
    <row r="359">
      <c r="B359" s="1613"/>
      <c r="D359" s="1613"/>
      <c r="F359" s="1613"/>
      <c r="H359" s="1613"/>
    </row>
    <row r="360">
      <c r="B360" s="1613"/>
      <c r="D360" s="1613"/>
      <c r="F360" s="1613"/>
      <c r="H360" s="1613"/>
    </row>
    <row r="361">
      <c r="B361" s="1613"/>
      <c r="D361" s="1613"/>
      <c r="F361" s="1613"/>
      <c r="H361" s="1613"/>
    </row>
    <row r="362">
      <c r="B362" s="1613"/>
      <c r="D362" s="1613"/>
      <c r="F362" s="1613"/>
      <c r="H362" s="1613"/>
    </row>
    <row r="363">
      <c r="B363" s="1613"/>
      <c r="D363" s="1613"/>
      <c r="F363" s="1613"/>
      <c r="H363" s="1613"/>
    </row>
    <row r="364">
      <c r="B364" s="1613"/>
      <c r="D364" s="1613"/>
      <c r="F364" s="1613"/>
      <c r="H364" s="1613"/>
    </row>
    <row r="365">
      <c r="B365" s="1613"/>
      <c r="D365" s="1613"/>
      <c r="F365" s="1613"/>
      <c r="H365" s="1613"/>
    </row>
    <row r="366">
      <c r="B366" s="1613"/>
      <c r="D366" s="1613"/>
      <c r="F366" s="1613"/>
      <c r="H366" s="1613"/>
    </row>
    <row r="367">
      <c r="B367" s="1613"/>
      <c r="D367" s="1613"/>
      <c r="F367" s="1613"/>
      <c r="H367" s="1613"/>
    </row>
    <row r="368">
      <c r="B368" s="1613"/>
      <c r="D368" s="1613"/>
      <c r="F368" s="1613"/>
      <c r="H368" s="1613"/>
    </row>
    <row r="369">
      <c r="B369" s="1613"/>
      <c r="D369" s="1613"/>
      <c r="F369" s="1613"/>
      <c r="H369" s="1613"/>
    </row>
    <row r="370">
      <c r="B370" s="1613"/>
      <c r="D370" s="1613"/>
      <c r="F370" s="1613"/>
      <c r="H370" s="1613"/>
    </row>
    <row r="371">
      <c r="B371" s="1613"/>
      <c r="D371" s="1613"/>
      <c r="F371" s="1613"/>
      <c r="H371" s="1613"/>
    </row>
    <row r="372">
      <c r="B372" s="1613"/>
      <c r="D372" s="1613"/>
      <c r="F372" s="1613"/>
      <c r="H372" s="1613"/>
    </row>
    <row r="373">
      <c r="B373" s="1613"/>
      <c r="D373" s="1613"/>
      <c r="F373" s="1613"/>
      <c r="H373" s="1613"/>
    </row>
    <row r="374">
      <c r="B374" s="1613"/>
      <c r="D374" s="1613"/>
      <c r="F374" s="1613"/>
      <c r="H374" s="1613"/>
    </row>
    <row r="375">
      <c r="B375" s="1613"/>
      <c r="D375" s="1613"/>
      <c r="F375" s="1613"/>
      <c r="H375" s="1613"/>
    </row>
    <row r="376">
      <c r="B376" s="1613"/>
      <c r="D376" s="1613"/>
      <c r="F376" s="1613"/>
      <c r="H376" s="1613"/>
    </row>
    <row r="377">
      <c r="B377" s="1613"/>
      <c r="D377" s="1613"/>
      <c r="F377" s="1613"/>
      <c r="H377" s="1613"/>
    </row>
    <row r="378">
      <c r="B378" s="1613"/>
      <c r="D378" s="1613"/>
      <c r="F378" s="1613"/>
      <c r="H378" s="1613"/>
    </row>
    <row r="379">
      <c r="B379" s="1613"/>
      <c r="D379" s="1613"/>
      <c r="F379" s="1613"/>
      <c r="H379" s="1613"/>
    </row>
    <row r="380">
      <c r="B380" s="1613"/>
      <c r="D380" s="1613"/>
      <c r="F380" s="1613"/>
      <c r="H380" s="1613"/>
    </row>
    <row r="381">
      <c r="B381" s="1613"/>
      <c r="D381" s="1613"/>
      <c r="F381" s="1613"/>
      <c r="H381" s="1613"/>
    </row>
    <row r="382">
      <c r="B382" s="1613"/>
      <c r="D382" s="1613"/>
      <c r="F382" s="1613"/>
      <c r="H382" s="1613"/>
    </row>
    <row r="383">
      <c r="B383" s="1613"/>
      <c r="D383" s="1613"/>
      <c r="F383" s="1613"/>
      <c r="H383" s="1613"/>
    </row>
    <row r="384">
      <c r="B384" s="1613"/>
      <c r="D384" s="1613"/>
      <c r="F384" s="1613"/>
      <c r="H384" s="1613"/>
    </row>
    <row r="385">
      <c r="B385" s="1613"/>
      <c r="D385" s="1613"/>
      <c r="F385" s="1613"/>
      <c r="H385" s="1613"/>
    </row>
    <row r="386">
      <c r="B386" s="1613"/>
      <c r="D386" s="1613"/>
      <c r="F386" s="1613"/>
      <c r="H386" s="1613"/>
    </row>
    <row r="387">
      <c r="B387" s="1613"/>
      <c r="D387" s="1613"/>
      <c r="F387" s="1613"/>
      <c r="H387" s="1613"/>
    </row>
    <row r="388">
      <c r="B388" s="1613"/>
      <c r="D388" s="1613"/>
      <c r="F388" s="1613"/>
      <c r="H388" s="1613"/>
    </row>
    <row r="389">
      <c r="B389" s="1613"/>
      <c r="D389" s="1613"/>
      <c r="F389" s="1613"/>
      <c r="H389" s="1613"/>
    </row>
    <row r="390">
      <c r="B390" s="1613"/>
      <c r="D390" s="1613"/>
      <c r="F390" s="1613"/>
      <c r="H390" s="1613"/>
    </row>
    <row r="391">
      <c r="B391" s="1613"/>
      <c r="D391" s="1613"/>
      <c r="F391" s="1613"/>
      <c r="H391" s="1613"/>
    </row>
    <row r="392">
      <c r="B392" s="1613"/>
      <c r="D392" s="1613"/>
      <c r="F392" s="1613"/>
      <c r="H392" s="1613"/>
    </row>
    <row r="393">
      <c r="B393" s="1613"/>
      <c r="D393" s="1613"/>
      <c r="F393" s="1613"/>
      <c r="H393" s="1613"/>
    </row>
    <row r="394">
      <c r="B394" s="1613"/>
      <c r="D394" s="1613"/>
      <c r="F394" s="1613"/>
      <c r="H394" s="1613"/>
    </row>
    <row r="395">
      <c r="B395" s="1613"/>
      <c r="D395" s="1613"/>
      <c r="F395" s="1613"/>
      <c r="H395" s="1613"/>
    </row>
    <row r="396">
      <c r="B396" s="1613"/>
      <c r="D396" s="1613"/>
      <c r="F396" s="1613"/>
      <c r="H396" s="1613"/>
    </row>
    <row r="397">
      <c r="B397" s="1613"/>
      <c r="D397" s="1613"/>
      <c r="F397" s="1613"/>
      <c r="H397" s="1613"/>
    </row>
    <row r="398">
      <c r="B398" s="1613"/>
      <c r="D398" s="1613"/>
      <c r="F398" s="1613"/>
      <c r="H398" s="1613"/>
    </row>
    <row r="399">
      <c r="B399" s="1613"/>
      <c r="D399" s="1613"/>
      <c r="F399" s="1613"/>
      <c r="H399" s="1613"/>
    </row>
    <row r="400">
      <c r="B400" s="1613"/>
      <c r="D400" s="1613"/>
      <c r="F400" s="1613"/>
      <c r="H400" s="1613"/>
    </row>
    <row r="401">
      <c r="B401" s="1613"/>
      <c r="D401" s="1613"/>
      <c r="F401" s="1613"/>
      <c r="H401" s="1613"/>
    </row>
    <row r="402">
      <c r="B402" s="1613"/>
      <c r="D402" s="1613"/>
      <c r="F402" s="1613"/>
      <c r="H402" s="1613"/>
    </row>
    <row r="403">
      <c r="B403" s="1613"/>
      <c r="D403" s="1613"/>
      <c r="F403" s="1613"/>
      <c r="H403" s="1613"/>
    </row>
    <row r="404">
      <c r="B404" s="1613"/>
      <c r="D404" s="1613"/>
      <c r="F404" s="1613"/>
      <c r="H404" s="1613"/>
    </row>
    <row r="405">
      <c r="B405" s="1613"/>
      <c r="D405" s="1613"/>
      <c r="F405" s="1613"/>
      <c r="H405" s="1613"/>
    </row>
    <row r="406">
      <c r="B406" s="1613"/>
      <c r="D406" s="1613"/>
      <c r="F406" s="1613"/>
      <c r="H406" s="1613"/>
    </row>
    <row r="407">
      <c r="B407" s="1613"/>
      <c r="D407" s="1613"/>
      <c r="F407" s="1613"/>
      <c r="H407" s="1613"/>
    </row>
    <row r="408">
      <c r="B408" s="1613"/>
      <c r="D408" s="1613"/>
      <c r="F408" s="1613"/>
      <c r="H408" s="1613"/>
    </row>
    <row r="409">
      <c r="B409" s="1613"/>
      <c r="D409" s="1613"/>
      <c r="F409" s="1613"/>
      <c r="H409" s="1613"/>
    </row>
    <row r="410">
      <c r="B410" s="1613"/>
      <c r="D410" s="1613"/>
      <c r="F410" s="1613"/>
      <c r="H410" s="1613"/>
    </row>
    <row r="411">
      <c r="B411" s="1613"/>
      <c r="D411" s="1613"/>
      <c r="F411" s="1613"/>
      <c r="H411" s="1613"/>
    </row>
    <row r="412">
      <c r="B412" s="1613"/>
      <c r="D412" s="1613"/>
      <c r="F412" s="1613"/>
      <c r="H412" s="1613"/>
    </row>
    <row r="413">
      <c r="B413" s="1613"/>
      <c r="D413" s="1613"/>
      <c r="F413" s="1613"/>
      <c r="H413" s="1613"/>
    </row>
    <row r="414">
      <c r="B414" s="1613"/>
      <c r="D414" s="1613"/>
      <c r="F414" s="1613"/>
      <c r="H414" s="1613"/>
    </row>
    <row r="415">
      <c r="B415" s="1613"/>
      <c r="D415" s="1613"/>
      <c r="F415" s="1613"/>
      <c r="H415" s="1613"/>
    </row>
    <row r="416">
      <c r="B416" s="1613"/>
      <c r="D416" s="1613"/>
      <c r="F416" s="1613"/>
      <c r="H416" s="1613"/>
    </row>
    <row r="417">
      <c r="B417" s="1613"/>
      <c r="D417" s="1613"/>
      <c r="F417" s="1613"/>
      <c r="H417" s="1613"/>
    </row>
    <row r="418">
      <c r="B418" s="1613"/>
      <c r="D418" s="1613"/>
      <c r="F418" s="1613"/>
      <c r="H418" s="1613"/>
    </row>
    <row r="419">
      <c r="B419" s="1613"/>
      <c r="D419" s="1613"/>
      <c r="F419" s="1613"/>
      <c r="H419" s="1613"/>
    </row>
    <row r="420">
      <c r="B420" s="1613"/>
      <c r="D420" s="1613"/>
      <c r="F420" s="1613"/>
      <c r="H420" s="1613"/>
    </row>
    <row r="421">
      <c r="B421" s="1613"/>
      <c r="D421" s="1613"/>
      <c r="F421" s="1613"/>
      <c r="H421" s="1613"/>
    </row>
    <row r="422">
      <c r="B422" s="1613"/>
      <c r="D422" s="1613"/>
      <c r="F422" s="1613"/>
      <c r="H422" s="1613"/>
    </row>
    <row r="423">
      <c r="B423" s="1613"/>
      <c r="D423" s="1613"/>
      <c r="F423" s="1613"/>
      <c r="H423" s="1613"/>
    </row>
    <row r="424">
      <c r="B424" s="1613"/>
      <c r="D424" s="1613"/>
      <c r="F424" s="1613"/>
      <c r="H424" s="1613"/>
    </row>
    <row r="425">
      <c r="B425" s="1613"/>
      <c r="D425" s="1613"/>
      <c r="F425" s="1613"/>
      <c r="H425" s="1613"/>
    </row>
    <row r="426">
      <c r="B426" s="1613"/>
      <c r="D426" s="1613"/>
      <c r="F426" s="1613"/>
      <c r="H426" s="1613"/>
    </row>
    <row r="427">
      <c r="B427" s="1613"/>
      <c r="D427" s="1613"/>
      <c r="F427" s="1613"/>
      <c r="H427" s="1613"/>
    </row>
    <row r="428">
      <c r="B428" s="1613"/>
      <c r="D428" s="1613"/>
      <c r="F428" s="1613"/>
      <c r="H428" s="1613"/>
    </row>
    <row r="429">
      <c r="B429" s="1613"/>
      <c r="D429" s="1613"/>
      <c r="F429" s="1613"/>
      <c r="H429" s="1613"/>
    </row>
    <row r="430">
      <c r="B430" s="1613"/>
      <c r="D430" s="1613"/>
      <c r="F430" s="1613"/>
      <c r="H430" s="1613"/>
    </row>
    <row r="431">
      <c r="B431" s="1613"/>
      <c r="D431" s="1613"/>
      <c r="F431" s="1613"/>
      <c r="H431" s="1613"/>
    </row>
    <row r="432">
      <c r="B432" s="1613"/>
      <c r="D432" s="1613"/>
      <c r="F432" s="1613"/>
      <c r="H432" s="1613"/>
    </row>
    <row r="433">
      <c r="B433" s="1613"/>
      <c r="D433" s="1613"/>
      <c r="F433" s="1613"/>
      <c r="H433" s="1613"/>
    </row>
    <row r="434">
      <c r="B434" s="1613"/>
      <c r="D434" s="1613"/>
      <c r="F434" s="1613"/>
      <c r="H434" s="1613"/>
    </row>
    <row r="435">
      <c r="B435" s="1613"/>
      <c r="D435" s="1613"/>
      <c r="F435" s="1613"/>
      <c r="H435" s="1613"/>
    </row>
    <row r="436">
      <c r="B436" s="1613"/>
      <c r="D436" s="1613"/>
      <c r="F436" s="1613"/>
      <c r="H436" s="1613"/>
    </row>
    <row r="437">
      <c r="B437" s="1613"/>
      <c r="D437" s="1613"/>
      <c r="F437" s="1613"/>
      <c r="H437" s="1613"/>
    </row>
    <row r="438">
      <c r="B438" s="1613"/>
      <c r="D438" s="1613"/>
      <c r="F438" s="1613"/>
      <c r="H438" s="1613"/>
    </row>
    <row r="439">
      <c r="B439" s="1613"/>
      <c r="D439" s="1613"/>
      <c r="F439" s="1613"/>
      <c r="H439" s="1613"/>
    </row>
    <row r="440">
      <c r="B440" s="1613"/>
      <c r="D440" s="1613"/>
      <c r="F440" s="1613"/>
      <c r="H440" s="1613"/>
    </row>
    <row r="441">
      <c r="B441" s="1613"/>
      <c r="D441" s="1613"/>
      <c r="F441" s="1613"/>
      <c r="H441" s="1613"/>
    </row>
    <row r="442">
      <c r="B442" s="1613"/>
      <c r="D442" s="1613"/>
      <c r="F442" s="1613"/>
      <c r="H442" s="1613"/>
    </row>
    <row r="443">
      <c r="B443" s="1613"/>
      <c r="D443" s="1613"/>
      <c r="F443" s="1613"/>
      <c r="H443" s="1613"/>
    </row>
    <row r="444">
      <c r="B444" s="1613"/>
      <c r="D444" s="1613"/>
      <c r="F444" s="1613"/>
      <c r="H444" s="1613"/>
    </row>
    <row r="445">
      <c r="B445" s="1613"/>
      <c r="D445" s="1613"/>
      <c r="F445" s="1613"/>
      <c r="H445" s="1613"/>
    </row>
    <row r="446">
      <c r="B446" s="1613"/>
      <c r="D446" s="1613"/>
      <c r="F446" s="1613"/>
      <c r="H446" s="1613"/>
    </row>
    <row r="447">
      <c r="B447" s="1613"/>
      <c r="D447" s="1613"/>
      <c r="F447" s="1613"/>
      <c r="H447" s="1613"/>
    </row>
    <row r="448">
      <c r="B448" s="1613"/>
      <c r="D448" s="1613"/>
      <c r="F448" s="1613"/>
      <c r="H448" s="1613"/>
    </row>
    <row r="449">
      <c r="B449" s="1613"/>
      <c r="D449" s="1613"/>
      <c r="F449" s="1613"/>
      <c r="H449" s="1613"/>
    </row>
    <row r="450">
      <c r="B450" s="1613"/>
      <c r="D450" s="1613"/>
      <c r="F450" s="1613"/>
      <c r="H450" s="1613"/>
    </row>
    <row r="451">
      <c r="B451" s="1613"/>
      <c r="D451" s="1613"/>
      <c r="F451" s="1613"/>
      <c r="H451" s="1613"/>
    </row>
    <row r="452">
      <c r="B452" s="1613"/>
      <c r="D452" s="1613"/>
      <c r="F452" s="1613"/>
      <c r="H452" s="1613"/>
    </row>
    <row r="453">
      <c r="B453" s="1613"/>
      <c r="D453" s="1613"/>
      <c r="F453" s="1613"/>
      <c r="H453" s="1613"/>
    </row>
    <row r="454">
      <c r="B454" s="1613"/>
      <c r="D454" s="1613"/>
      <c r="F454" s="1613"/>
      <c r="H454" s="1613"/>
    </row>
    <row r="455">
      <c r="B455" s="1613"/>
      <c r="D455" s="1613"/>
      <c r="F455" s="1613"/>
      <c r="H455" s="1613"/>
    </row>
    <row r="456">
      <c r="B456" s="1613"/>
      <c r="D456" s="1613"/>
      <c r="F456" s="1613"/>
      <c r="H456" s="1613"/>
    </row>
    <row r="457">
      <c r="B457" s="1613"/>
      <c r="D457" s="1613"/>
      <c r="F457" s="1613"/>
      <c r="H457" s="1613"/>
    </row>
    <row r="458">
      <c r="B458" s="1613"/>
      <c r="D458" s="1613"/>
      <c r="F458" s="1613"/>
      <c r="H458" s="1613"/>
    </row>
    <row r="459">
      <c r="B459" s="1613"/>
      <c r="D459" s="1613"/>
      <c r="F459" s="1613"/>
      <c r="H459" s="1613"/>
    </row>
    <row r="460">
      <c r="B460" s="1613"/>
      <c r="D460" s="1613"/>
      <c r="F460" s="1613"/>
      <c r="H460" s="1613"/>
    </row>
    <row r="461">
      <c r="B461" s="1613"/>
      <c r="D461" s="1613"/>
      <c r="F461" s="1613"/>
      <c r="H461" s="1613"/>
    </row>
    <row r="462">
      <c r="B462" s="1613"/>
      <c r="D462" s="1613"/>
      <c r="F462" s="1613"/>
      <c r="H462" s="1613"/>
    </row>
    <row r="463">
      <c r="B463" s="1613"/>
      <c r="D463" s="1613"/>
      <c r="F463" s="1613"/>
      <c r="H463" s="1613"/>
    </row>
    <row r="464">
      <c r="B464" s="1613"/>
      <c r="D464" s="1613"/>
      <c r="F464" s="1613"/>
      <c r="H464" s="1613"/>
    </row>
    <row r="465">
      <c r="B465" s="1613"/>
      <c r="D465" s="1613"/>
      <c r="F465" s="1613"/>
      <c r="H465" s="1613"/>
    </row>
    <row r="466">
      <c r="B466" s="1613"/>
      <c r="D466" s="1613"/>
      <c r="F466" s="1613"/>
      <c r="H466" s="1613"/>
    </row>
    <row r="467">
      <c r="B467" s="1613"/>
      <c r="D467" s="1613"/>
      <c r="F467" s="1613"/>
      <c r="H467" s="1613"/>
    </row>
    <row r="468">
      <c r="B468" s="1613"/>
      <c r="D468" s="1613"/>
      <c r="F468" s="1613"/>
      <c r="H468" s="1613"/>
    </row>
    <row r="469">
      <c r="B469" s="1613"/>
      <c r="D469" s="1613"/>
      <c r="F469" s="1613"/>
      <c r="H469" s="1613"/>
    </row>
    <row r="470">
      <c r="B470" s="1613"/>
      <c r="D470" s="1613"/>
      <c r="F470" s="1613"/>
      <c r="H470" s="1613"/>
    </row>
    <row r="471">
      <c r="B471" s="1613"/>
      <c r="D471" s="1613"/>
      <c r="F471" s="1613"/>
      <c r="H471" s="1613"/>
    </row>
    <row r="472">
      <c r="B472" s="1613"/>
      <c r="D472" s="1613"/>
      <c r="F472" s="1613"/>
      <c r="H472" s="1613"/>
    </row>
    <row r="473">
      <c r="B473" s="1613"/>
      <c r="D473" s="1613"/>
      <c r="F473" s="1613"/>
      <c r="H473" s="1613"/>
    </row>
    <row r="474">
      <c r="B474" s="1613"/>
      <c r="D474" s="1613"/>
      <c r="F474" s="1613"/>
      <c r="H474" s="1613"/>
    </row>
    <row r="475">
      <c r="B475" s="1613"/>
      <c r="D475" s="1613"/>
      <c r="F475" s="1613"/>
      <c r="H475" s="1613"/>
    </row>
    <row r="476">
      <c r="B476" s="1613"/>
      <c r="D476" s="1613"/>
      <c r="F476" s="1613"/>
      <c r="H476" s="1613"/>
    </row>
    <row r="477">
      <c r="B477" s="1613"/>
      <c r="D477" s="1613"/>
      <c r="F477" s="1613"/>
      <c r="H477" s="1613"/>
    </row>
    <row r="478">
      <c r="B478" s="1613"/>
      <c r="D478" s="1613"/>
      <c r="F478" s="1613"/>
      <c r="H478" s="1613"/>
    </row>
    <row r="479">
      <c r="B479" s="1613"/>
      <c r="D479" s="1613"/>
      <c r="F479" s="1613"/>
      <c r="H479" s="1613"/>
    </row>
    <row r="480">
      <c r="B480" s="1613"/>
      <c r="D480" s="1613"/>
      <c r="F480" s="1613"/>
      <c r="H480" s="1613"/>
    </row>
    <row r="481">
      <c r="B481" s="1613"/>
      <c r="D481" s="1613"/>
      <c r="F481" s="1613"/>
      <c r="H481" s="1613"/>
    </row>
    <row r="482">
      <c r="B482" s="1613"/>
      <c r="D482" s="1613"/>
      <c r="F482" s="1613"/>
      <c r="H482" s="1613"/>
    </row>
    <row r="483">
      <c r="B483" s="1613"/>
      <c r="D483" s="1613"/>
      <c r="F483" s="1613"/>
      <c r="H483" s="1613"/>
    </row>
    <row r="484">
      <c r="B484" s="1613"/>
      <c r="D484" s="1613"/>
      <c r="F484" s="1613"/>
      <c r="H484" s="1613"/>
    </row>
    <row r="485">
      <c r="B485" s="1613"/>
      <c r="D485" s="1613"/>
      <c r="F485" s="1613"/>
      <c r="H485" s="1613"/>
    </row>
    <row r="486">
      <c r="B486" s="1613"/>
      <c r="D486" s="1613"/>
      <c r="F486" s="1613"/>
      <c r="H486" s="1613"/>
    </row>
    <row r="487">
      <c r="B487" s="1613"/>
      <c r="D487" s="1613"/>
      <c r="F487" s="1613"/>
      <c r="H487" s="1613"/>
    </row>
    <row r="488">
      <c r="B488" s="1613"/>
      <c r="D488" s="1613"/>
      <c r="F488" s="1613"/>
      <c r="H488" s="1613"/>
    </row>
    <row r="489">
      <c r="B489" s="1613"/>
      <c r="D489" s="1613"/>
      <c r="F489" s="1613"/>
      <c r="H489" s="1613"/>
    </row>
    <row r="490">
      <c r="B490" s="1613"/>
      <c r="D490" s="1613"/>
      <c r="F490" s="1613"/>
      <c r="H490" s="1613"/>
    </row>
    <row r="491">
      <c r="B491" s="1613"/>
      <c r="D491" s="1613"/>
      <c r="F491" s="1613"/>
      <c r="H491" s="1613"/>
    </row>
    <row r="492">
      <c r="B492" s="1613"/>
      <c r="D492" s="1613"/>
      <c r="F492" s="1613"/>
      <c r="H492" s="1613"/>
    </row>
    <row r="493">
      <c r="B493" s="1613"/>
      <c r="D493" s="1613"/>
      <c r="F493" s="1613"/>
      <c r="H493" s="1613"/>
    </row>
    <row r="494">
      <c r="B494" s="1613"/>
      <c r="D494" s="1613"/>
      <c r="F494" s="1613"/>
      <c r="H494" s="1613"/>
    </row>
    <row r="495">
      <c r="B495" s="1613"/>
      <c r="D495" s="1613"/>
      <c r="F495" s="1613"/>
      <c r="H495" s="1613"/>
    </row>
    <row r="496">
      <c r="B496" s="1613"/>
      <c r="D496" s="1613"/>
      <c r="F496" s="1613"/>
      <c r="H496" s="1613"/>
    </row>
    <row r="497">
      <c r="B497" s="1613"/>
      <c r="D497" s="1613"/>
      <c r="F497" s="1613"/>
      <c r="H497" s="1613"/>
    </row>
    <row r="498">
      <c r="B498" s="1613"/>
      <c r="D498" s="1613"/>
      <c r="F498" s="1613"/>
      <c r="H498" s="1613"/>
    </row>
    <row r="499">
      <c r="B499" s="1613"/>
      <c r="D499" s="1613"/>
      <c r="F499" s="1613"/>
      <c r="H499" s="1613"/>
    </row>
    <row r="500">
      <c r="B500" s="1613"/>
      <c r="D500" s="1613"/>
      <c r="F500" s="1613"/>
      <c r="H500" s="1613"/>
    </row>
    <row r="501">
      <c r="B501" s="1613"/>
      <c r="D501" s="1613"/>
      <c r="F501" s="1613"/>
      <c r="H501" s="1613"/>
    </row>
    <row r="502">
      <c r="B502" s="1613"/>
      <c r="D502" s="1613"/>
      <c r="F502" s="1613"/>
      <c r="H502" s="1613"/>
    </row>
    <row r="503">
      <c r="B503" s="1613"/>
      <c r="D503" s="1613"/>
      <c r="F503" s="1613"/>
      <c r="H503" s="1613"/>
    </row>
    <row r="504">
      <c r="B504" s="1613"/>
      <c r="D504" s="1613"/>
      <c r="F504" s="1613"/>
      <c r="H504" s="1613"/>
    </row>
    <row r="505">
      <c r="B505" s="1613"/>
      <c r="D505" s="1613"/>
      <c r="F505" s="1613"/>
      <c r="H505" s="1613"/>
    </row>
    <row r="506">
      <c r="B506" s="1613"/>
      <c r="D506" s="1613"/>
      <c r="F506" s="1613"/>
      <c r="H506" s="1613"/>
    </row>
    <row r="507">
      <c r="B507" s="1613"/>
      <c r="D507" s="1613"/>
      <c r="F507" s="1613"/>
      <c r="H507" s="1613"/>
    </row>
    <row r="508">
      <c r="B508" s="1613"/>
      <c r="D508" s="1613"/>
      <c r="F508" s="1613"/>
      <c r="H508" s="1613"/>
    </row>
    <row r="509">
      <c r="B509" s="1613"/>
      <c r="D509" s="1613"/>
      <c r="F509" s="1613"/>
      <c r="H509" s="1613"/>
    </row>
    <row r="510">
      <c r="B510" s="1613"/>
      <c r="D510" s="1613"/>
      <c r="F510" s="1613"/>
      <c r="H510" s="1613"/>
    </row>
    <row r="511">
      <c r="B511" s="1613"/>
      <c r="D511" s="1613"/>
      <c r="F511" s="1613"/>
      <c r="H511" s="1613"/>
    </row>
    <row r="512">
      <c r="B512" s="1613"/>
      <c r="D512" s="1613"/>
      <c r="F512" s="1613"/>
      <c r="H512" s="1613"/>
    </row>
    <row r="513">
      <c r="B513" s="1613"/>
      <c r="D513" s="1613"/>
      <c r="F513" s="1613"/>
      <c r="H513" s="1613"/>
    </row>
    <row r="514">
      <c r="B514" s="1613"/>
      <c r="D514" s="1613"/>
      <c r="F514" s="1613"/>
      <c r="H514" s="1613"/>
    </row>
    <row r="515">
      <c r="B515" s="1613"/>
      <c r="D515" s="1613"/>
      <c r="F515" s="1613"/>
      <c r="H515" s="1613"/>
    </row>
    <row r="516">
      <c r="B516" s="1613"/>
      <c r="D516" s="1613"/>
      <c r="F516" s="1613"/>
      <c r="H516" s="1613"/>
    </row>
    <row r="517">
      <c r="B517" s="1613"/>
      <c r="D517" s="1613"/>
      <c r="F517" s="1613"/>
      <c r="H517" s="1613"/>
    </row>
    <row r="518">
      <c r="B518" s="1613"/>
      <c r="D518" s="1613"/>
      <c r="F518" s="1613"/>
      <c r="H518" s="1613"/>
    </row>
    <row r="519">
      <c r="B519" s="1613"/>
      <c r="D519" s="1613"/>
      <c r="F519" s="1613"/>
      <c r="H519" s="1613"/>
    </row>
    <row r="520">
      <c r="B520" s="1613"/>
      <c r="D520" s="1613"/>
      <c r="F520" s="1613"/>
      <c r="H520" s="1613"/>
    </row>
    <row r="521">
      <c r="B521" s="1613"/>
      <c r="D521" s="1613"/>
      <c r="F521" s="1613"/>
      <c r="H521" s="1613"/>
    </row>
    <row r="522">
      <c r="B522" s="1613"/>
      <c r="D522" s="1613"/>
      <c r="F522" s="1613"/>
      <c r="H522" s="1613"/>
    </row>
    <row r="523">
      <c r="B523" s="1613"/>
      <c r="D523" s="1613"/>
      <c r="F523" s="1613"/>
      <c r="H523" s="1613"/>
    </row>
    <row r="524">
      <c r="B524" s="1613"/>
      <c r="D524" s="1613"/>
      <c r="F524" s="1613"/>
      <c r="H524" s="1613"/>
    </row>
    <row r="525">
      <c r="B525" s="1613"/>
      <c r="D525" s="1613"/>
      <c r="F525" s="1613"/>
      <c r="H525" s="1613"/>
    </row>
    <row r="526">
      <c r="B526" s="1613"/>
      <c r="D526" s="1613"/>
      <c r="F526" s="1613"/>
      <c r="H526" s="1613"/>
    </row>
    <row r="527">
      <c r="B527" s="1613"/>
      <c r="D527" s="1613"/>
      <c r="F527" s="1613"/>
      <c r="H527" s="1613"/>
    </row>
    <row r="528">
      <c r="B528" s="1613"/>
      <c r="D528" s="1613"/>
      <c r="F528" s="1613"/>
      <c r="H528" s="1613"/>
    </row>
    <row r="529">
      <c r="B529" s="1613"/>
      <c r="D529" s="1613"/>
      <c r="F529" s="1613"/>
      <c r="H529" s="1613"/>
    </row>
    <row r="530">
      <c r="B530" s="1613"/>
      <c r="D530" s="1613"/>
      <c r="F530" s="1613"/>
      <c r="H530" s="1613"/>
    </row>
    <row r="531">
      <c r="B531" s="1613"/>
      <c r="D531" s="1613"/>
      <c r="F531" s="1613"/>
      <c r="H531" s="1613"/>
    </row>
    <row r="532">
      <c r="B532" s="1613"/>
      <c r="D532" s="1613"/>
      <c r="F532" s="1613"/>
      <c r="H532" s="1613"/>
    </row>
    <row r="533">
      <c r="B533" s="1613"/>
      <c r="D533" s="1613"/>
      <c r="F533" s="1613"/>
      <c r="H533" s="1613"/>
    </row>
    <row r="534">
      <c r="B534" s="1613"/>
      <c r="D534" s="1613"/>
      <c r="F534" s="1613"/>
      <c r="H534" s="1613"/>
    </row>
    <row r="535">
      <c r="B535" s="1613"/>
      <c r="D535" s="1613"/>
      <c r="F535" s="1613"/>
      <c r="H535" s="1613"/>
    </row>
    <row r="536">
      <c r="B536" s="1613"/>
      <c r="D536" s="1613"/>
      <c r="F536" s="1613"/>
      <c r="H536" s="1613"/>
    </row>
    <row r="537">
      <c r="B537" s="1613"/>
      <c r="D537" s="1613"/>
      <c r="F537" s="1613"/>
      <c r="H537" s="1613"/>
    </row>
    <row r="538">
      <c r="B538" s="1613"/>
      <c r="D538" s="1613"/>
      <c r="F538" s="1613"/>
      <c r="H538" s="1613"/>
    </row>
    <row r="539">
      <c r="B539" s="1613"/>
      <c r="D539" s="1613"/>
      <c r="F539" s="1613"/>
      <c r="H539" s="1613"/>
    </row>
    <row r="540">
      <c r="B540" s="1613"/>
      <c r="D540" s="1613"/>
      <c r="F540" s="1613"/>
      <c r="H540" s="1613"/>
    </row>
    <row r="541">
      <c r="B541" s="1613"/>
      <c r="D541" s="1613"/>
      <c r="F541" s="1613"/>
      <c r="H541" s="1613"/>
    </row>
    <row r="542">
      <c r="B542" s="1613"/>
      <c r="D542" s="1613"/>
      <c r="F542" s="1613"/>
      <c r="H542" s="1613"/>
    </row>
    <row r="543">
      <c r="B543" s="1613"/>
      <c r="D543" s="1613"/>
      <c r="F543" s="1613"/>
      <c r="H543" s="1613"/>
    </row>
    <row r="544">
      <c r="B544" s="1613"/>
      <c r="D544" s="1613"/>
      <c r="F544" s="1613"/>
      <c r="H544" s="1613"/>
    </row>
    <row r="545">
      <c r="B545" s="1613"/>
      <c r="D545" s="1613"/>
      <c r="F545" s="1613"/>
      <c r="H545" s="1613"/>
    </row>
    <row r="546">
      <c r="B546" s="1613"/>
      <c r="D546" s="1613"/>
      <c r="F546" s="1613"/>
      <c r="H546" s="1613"/>
    </row>
    <row r="547">
      <c r="B547" s="1613"/>
      <c r="D547" s="1613"/>
      <c r="F547" s="1613"/>
      <c r="H547" s="1613"/>
    </row>
    <row r="548">
      <c r="B548" s="1613"/>
      <c r="D548" s="1613"/>
      <c r="F548" s="1613"/>
      <c r="H548" s="1613"/>
    </row>
    <row r="549">
      <c r="B549" s="1613"/>
      <c r="D549" s="1613"/>
      <c r="F549" s="1613"/>
      <c r="H549" s="1613"/>
    </row>
    <row r="550">
      <c r="B550" s="1613"/>
      <c r="D550" s="1613"/>
      <c r="F550" s="1613"/>
      <c r="H550" s="1613"/>
    </row>
    <row r="551">
      <c r="B551" s="1613"/>
      <c r="D551" s="1613"/>
      <c r="F551" s="1613"/>
      <c r="H551" s="1613"/>
    </row>
    <row r="552">
      <c r="B552" s="1613"/>
      <c r="D552" s="1613"/>
      <c r="F552" s="1613"/>
      <c r="H552" s="1613"/>
    </row>
    <row r="553">
      <c r="B553" s="1613"/>
      <c r="D553" s="1613"/>
      <c r="F553" s="1613"/>
      <c r="H553" s="1613"/>
    </row>
    <row r="554">
      <c r="B554" s="1613"/>
      <c r="D554" s="1613"/>
      <c r="F554" s="1613"/>
      <c r="H554" s="1613"/>
    </row>
    <row r="555">
      <c r="B555" s="1613"/>
      <c r="D555" s="1613"/>
      <c r="F555" s="1613"/>
      <c r="H555" s="1613"/>
    </row>
    <row r="556">
      <c r="B556" s="1613"/>
      <c r="D556" s="1613"/>
      <c r="F556" s="1613"/>
      <c r="H556" s="1613"/>
    </row>
    <row r="557">
      <c r="B557" s="1613"/>
      <c r="D557" s="1613"/>
      <c r="F557" s="1613"/>
      <c r="H557" s="1613"/>
    </row>
    <row r="558">
      <c r="B558" s="1613"/>
      <c r="D558" s="1613"/>
      <c r="F558" s="1613"/>
      <c r="H558" s="1613"/>
    </row>
    <row r="559">
      <c r="B559" s="1613"/>
      <c r="D559" s="1613"/>
      <c r="F559" s="1613"/>
      <c r="H559" s="1613"/>
    </row>
    <row r="560">
      <c r="B560" s="1613"/>
      <c r="D560" s="1613"/>
      <c r="F560" s="1613"/>
      <c r="H560" s="1613"/>
    </row>
    <row r="561">
      <c r="B561" s="1613"/>
      <c r="D561" s="1613"/>
      <c r="F561" s="1613"/>
      <c r="H561" s="1613"/>
    </row>
    <row r="562">
      <c r="B562" s="1613"/>
      <c r="D562" s="1613"/>
      <c r="F562" s="1613"/>
      <c r="H562" s="1613"/>
    </row>
    <row r="563">
      <c r="B563" s="1613"/>
      <c r="D563" s="1613"/>
      <c r="F563" s="1613"/>
      <c r="H563" s="1613"/>
    </row>
    <row r="564">
      <c r="B564" s="1613"/>
      <c r="D564" s="1613"/>
      <c r="F564" s="1613"/>
      <c r="H564" s="1613"/>
    </row>
    <row r="565">
      <c r="B565" s="1613"/>
      <c r="D565" s="1613"/>
      <c r="F565" s="1613"/>
      <c r="H565" s="1613"/>
    </row>
    <row r="566">
      <c r="B566" s="1613"/>
      <c r="D566" s="1613"/>
      <c r="F566" s="1613"/>
      <c r="H566" s="1613"/>
    </row>
    <row r="567">
      <c r="B567" s="1613"/>
      <c r="D567" s="1613"/>
      <c r="F567" s="1613"/>
      <c r="H567" s="1613"/>
    </row>
    <row r="568">
      <c r="B568" s="1613"/>
      <c r="D568" s="1613"/>
      <c r="F568" s="1613"/>
      <c r="H568" s="1613"/>
    </row>
    <row r="569">
      <c r="B569" s="1613"/>
      <c r="D569" s="1613"/>
      <c r="F569" s="1613"/>
      <c r="H569" s="1613"/>
    </row>
    <row r="570">
      <c r="B570" s="1613"/>
      <c r="D570" s="1613"/>
      <c r="F570" s="1613"/>
      <c r="H570" s="1613"/>
    </row>
    <row r="571">
      <c r="B571" s="1613"/>
      <c r="D571" s="1613"/>
      <c r="F571" s="1613"/>
      <c r="H571" s="1613"/>
    </row>
    <row r="572">
      <c r="B572" s="1613"/>
      <c r="D572" s="1613"/>
      <c r="F572" s="1613"/>
      <c r="H572" s="1613"/>
    </row>
    <row r="573">
      <c r="B573" s="1613"/>
      <c r="D573" s="1613"/>
      <c r="F573" s="1613"/>
      <c r="H573" s="1613"/>
    </row>
    <row r="574">
      <c r="B574" s="1613"/>
      <c r="D574" s="1613"/>
      <c r="F574" s="1613"/>
      <c r="H574" s="1613"/>
    </row>
    <row r="575">
      <c r="B575" s="1613"/>
      <c r="D575" s="1613"/>
      <c r="F575" s="1613"/>
      <c r="H575" s="1613"/>
    </row>
    <row r="576">
      <c r="B576" s="1613"/>
      <c r="D576" s="1613"/>
      <c r="F576" s="1613"/>
      <c r="H576" s="1613"/>
    </row>
    <row r="577">
      <c r="B577" s="1613"/>
      <c r="D577" s="1613"/>
      <c r="F577" s="1613"/>
      <c r="H577" s="1613"/>
    </row>
    <row r="578">
      <c r="B578" s="1613"/>
      <c r="D578" s="1613"/>
      <c r="F578" s="1613"/>
      <c r="H578" s="1613"/>
    </row>
    <row r="579">
      <c r="B579" s="1613"/>
      <c r="D579" s="1613"/>
      <c r="F579" s="1613"/>
      <c r="H579" s="1613"/>
    </row>
    <row r="580">
      <c r="B580" s="1613"/>
      <c r="D580" s="1613"/>
      <c r="F580" s="1613"/>
      <c r="H580" s="1613"/>
    </row>
    <row r="581">
      <c r="B581" s="1613"/>
      <c r="D581" s="1613"/>
      <c r="F581" s="1613"/>
      <c r="H581" s="1613"/>
    </row>
    <row r="582">
      <c r="B582" s="1613"/>
      <c r="D582" s="1613"/>
      <c r="F582" s="1613"/>
      <c r="H582" s="1613"/>
    </row>
    <row r="583">
      <c r="B583" s="1613"/>
      <c r="D583" s="1613"/>
      <c r="F583" s="1613"/>
      <c r="H583" s="1613"/>
    </row>
    <row r="584">
      <c r="B584" s="1613"/>
      <c r="D584" s="1613"/>
      <c r="F584" s="1613"/>
      <c r="H584" s="1613"/>
    </row>
    <row r="585">
      <c r="B585" s="1613"/>
      <c r="D585" s="1613"/>
      <c r="F585" s="1613"/>
      <c r="H585" s="1613"/>
    </row>
    <row r="586">
      <c r="B586" s="1613"/>
      <c r="D586" s="1613"/>
      <c r="F586" s="1613"/>
      <c r="H586" s="1613"/>
    </row>
    <row r="587">
      <c r="B587" s="1613"/>
      <c r="D587" s="1613"/>
      <c r="F587" s="1613"/>
      <c r="H587" s="1613"/>
    </row>
    <row r="588">
      <c r="B588" s="1613"/>
      <c r="D588" s="1613"/>
      <c r="F588" s="1613"/>
      <c r="H588" s="1613"/>
    </row>
    <row r="589">
      <c r="B589" s="1613"/>
      <c r="D589" s="1613"/>
      <c r="F589" s="1613"/>
      <c r="H589" s="1613"/>
    </row>
    <row r="590">
      <c r="B590" s="1613"/>
      <c r="D590" s="1613"/>
      <c r="F590" s="1613"/>
      <c r="H590" s="1613"/>
    </row>
    <row r="591">
      <c r="B591" s="1613"/>
      <c r="D591" s="1613"/>
      <c r="F591" s="1613"/>
      <c r="H591" s="1613"/>
    </row>
    <row r="592">
      <c r="B592" s="1613"/>
      <c r="D592" s="1613"/>
      <c r="F592" s="1613"/>
      <c r="H592" s="1613"/>
    </row>
    <row r="593">
      <c r="B593" s="1613"/>
      <c r="D593" s="1613"/>
      <c r="F593" s="1613"/>
      <c r="H593" s="1613"/>
    </row>
    <row r="594">
      <c r="B594" s="1613"/>
      <c r="D594" s="1613"/>
      <c r="F594" s="1613"/>
      <c r="H594" s="1613"/>
    </row>
    <row r="595">
      <c r="B595" s="1613"/>
      <c r="D595" s="1613"/>
      <c r="F595" s="1613"/>
      <c r="H595" s="1613"/>
    </row>
    <row r="596">
      <c r="B596" s="1613"/>
      <c r="D596" s="1613"/>
      <c r="F596" s="1613"/>
      <c r="H596" s="1613"/>
    </row>
    <row r="597">
      <c r="B597" s="1613"/>
      <c r="D597" s="1613"/>
      <c r="F597" s="1613"/>
      <c r="H597" s="1613"/>
    </row>
    <row r="598">
      <c r="B598" s="1613"/>
      <c r="D598" s="1613"/>
      <c r="F598" s="1613"/>
      <c r="H598" s="1613"/>
    </row>
    <row r="599">
      <c r="B599" s="1613"/>
      <c r="D599" s="1613"/>
      <c r="F599" s="1613"/>
      <c r="H599" s="1613"/>
    </row>
    <row r="600">
      <c r="B600" s="1613"/>
      <c r="D600" s="1613"/>
      <c r="F600" s="1613"/>
      <c r="H600" s="1613"/>
    </row>
    <row r="601">
      <c r="B601" s="1613"/>
      <c r="D601" s="1613"/>
      <c r="F601" s="1613"/>
      <c r="H601" s="1613"/>
    </row>
    <row r="602">
      <c r="B602" s="1613"/>
      <c r="D602" s="1613"/>
      <c r="F602" s="1613"/>
      <c r="H602" s="1613"/>
    </row>
    <row r="603">
      <c r="B603" s="1613"/>
      <c r="D603" s="1613"/>
      <c r="F603" s="1613"/>
      <c r="H603" s="1613"/>
    </row>
    <row r="604">
      <c r="B604" s="1613"/>
      <c r="D604" s="1613"/>
      <c r="F604" s="1613"/>
      <c r="H604" s="1613"/>
    </row>
    <row r="605">
      <c r="B605" s="1613"/>
      <c r="D605" s="1613"/>
      <c r="F605" s="1613"/>
      <c r="H605" s="1613"/>
    </row>
    <row r="606">
      <c r="B606" s="1613"/>
      <c r="D606" s="1613"/>
      <c r="F606" s="1613"/>
      <c r="H606" s="1613"/>
    </row>
    <row r="607">
      <c r="B607" s="1613"/>
      <c r="D607" s="1613"/>
      <c r="F607" s="1613"/>
      <c r="H607" s="1613"/>
    </row>
    <row r="608">
      <c r="B608" s="1613"/>
      <c r="D608" s="1613"/>
      <c r="F608" s="1613"/>
      <c r="H608" s="1613"/>
    </row>
    <row r="609">
      <c r="B609" s="1613"/>
      <c r="D609" s="1613"/>
      <c r="F609" s="1613"/>
      <c r="H609" s="1613"/>
    </row>
    <row r="610">
      <c r="B610" s="1613"/>
      <c r="D610" s="1613"/>
      <c r="F610" s="1613"/>
      <c r="H610" s="1613"/>
    </row>
    <row r="611">
      <c r="B611" s="1613"/>
      <c r="D611" s="1613"/>
      <c r="F611" s="1613"/>
      <c r="H611" s="1613"/>
    </row>
    <row r="612">
      <c r="B612" s="1613"/>
      <c r="D612" s="1613"/>
      <c r="F612" s="1613"/>
      <c r="H612" s="1613"/>
    </row>
    <row r="613">
      <c r="B613" s="1613"/>
      <c r="D613" s="1613"/>
      <c r="F613" s="1613"/>
      <c r="H613" s="1613"/>
    </row>
    <row r="614">
      <c r="B614" s="1613"/>
      <c r="D614" s="1613"/>
      <c r="F614" s="1613"/>
      <c r="H614" s="1613"/>
    </row>
    <row r="615">
      <c r="B615" s="1613"/>
      <c r="D615" s="1613"/>
      <c r="F615" s="1613"/>
      <c r="H615" s="1613"/>
    </row>
    <row r="616">
      <c r="B616" s="1613"/>
      <c r="D616" s="1613"/>
      <c r="F616" s="1613"/>
      <c r="H616" s="1613"/>
    </row>
    <row r="617">
      <c r="B617" s="1613"/>
      <c r="D617" s="1613"/>
      <c r="F617" s="1613"/>
      <c r="H617" s="1613"/>
    </row>
    <row r="618">
      <c r="B618" s="1613"/>
      <c r="D618" s="1613"/>
      <c r="F618" s="1613"/>
      <c r="H618" s="1613"/>
    </row>
    <row r="619">
      <c r="B619" s="1613"/>
      <c r="D619" s="1613"/>
      <c r="F619" s="1613"/>
      <c r="H619" s="1613"/>
    </row>
    <row r="620">
      <c r="B620" s="1613"/>
      <c r="D620" s="1613"/>
      <c r="F620" s="1613"/>
      <c r="H620" s="1613"/>
    </row>
    <row r="621">
      <c r="B621" s="1613"/>
      <c r="D621" s="1613"/>
      <c r="F621" s="1613"/>
      <c r="H621" s="1613"/>
    </row>
    <row r="622">
      <c r="B622" s="1613"/>
      <c r="D622" s="1613"/>
      <c r="F622" s="1613"/>
      <c r="H622" s="1613"/>
    </row>
    <row r="623">
      <c r="B623" s="1613"/>
      <c r="D623" s="1613"/>
      <c r="F623" s="1613"/>
      <c r="H623" s="1613"/>
    </row>
    <row r="624">
      <c r="B624" s="1613"/>
      <c r="D624" s="1613"/>
      <c r="F624" s="1613"/>
      <c r="H624" s="1613"/>
    </row>
    <row r="625">
      <c r="B625" s="1613"/>
      <c r="D625" s="1613"/>
      <c r="F625" s="1613"/>
      <c r="H625" s="1613"/>
    </row>
    <row r="626">
      <c r="B626" s="1613"/>
      <c r="D626" s="1613"/>
      <c r="F626" s="1613"/>
      <c r="H626" s="1613"/>
    </row>
    <row r="627">
      <c r="B627" s="1613"/>
      <c r="D627" s="1613"/>
      <c r="F627" s="1613"/>
      <c r="H627" s="1613"/>
    </row>
    <row r="628">
      <c r="B628" s="1613"/>
      <c r="D628" s="1613"/>
      <c r="F628" s="1613"/>
      <c r="H628" s="1613"/>
    </row>
    <row r="629">
      <c r="B629" s="1613"/>
      <c r="D629" s="1613"/>
      <c r="F629" s="1613"/>
      <c r="H629" s="1613"/>
    </row>
    <row r="630">
      <c r="B630" s="1613"/>
      <c r="D630" s="1613"/>
      <c r="F630" s="1613"/>
      <c r="H630" s="1613"/>
    </row>
    <row r="631">
      <c r="B631" s="1613"/>
      <c r="D631" s="1613"/>
      <c r="F631" s="1613"/>
      <c r="H631" s="1613"/>
    </row>
    <row r="632">
      <c r="B632" s="1613"/>
      <c r="D632" s="1613"/>
      <c r="F632" s="1613"/>
      <c r="H632" s="1613"/>
    </row>
    <row r="633">
      <c r="B633" s="1613"/>
      <c r="D633" s="1613"/>
      <c r="F633" s="1613"/>
      <c r="H633" s="1613"/>
    </row>
    <row r="634">
      <c r="B634" s="1613"/>
      <c r="D634" s="1613"/>
      <c r="F634" s="1613"/>
      <c r="H634" s="1613"/>
    </row>
    <row r="635">
      <c r="B635" s="1613"/>
      <c r="D635" s="1613"/>
      <c r="F635" s="1613"/>
      <c r="H635" s="1613"/>
    </row>
    <row r="636">
      <c r="B636" s="1613"/>
      <c r="D636" s="1613"/>
      <c r="F636" s="1613"/>
      <c r="H636" s="1613"/>
    </row>
    <row r="637">
      <c r="B637" s="1613"/>
      <c r="D637" s="1613"/>
      <c r="F637" s="1613"/>
      <c r="H637" s="1613"/>
    </row>
    <row r="638">
      <c r="B638" s="1613"/>
      <c r="D638" s="1613"/>
      <c r="F638" s="1613"/>
      <c r="H638" s="1613"/>
    </row>
    <row r="639">
      <c r="B639" s="1613"/>
      <c r="D639" s="1613"/>
      <c r="F639" s="1613"/>
      <c r="H639" s="1613"/>
    </row>
    <row r="640">
      <c r="B640" s="1613"/>
      <c r="D640" s="1613"/>
      <c r="F640" s="1613"/>
      <c r="H640" s="1613"/>
    </row>
    <row r="641">
      <c r="B641" s="1613"/>
      <c r="D641" s="1613"/>
      <c r="F641" s="1613"/>
      <c r="H641" s="1613"/>
    </row>
    <row r="642">
      <c r="B642" s="1613"/>
      <c r="D642" s="1613"/>
      <c r="F642" s="1613"/>
      <c r="H642" s="1613"/>
    </row>
    <row r="643">
      <c r="B643" s="1613"/>
      <c r="D643" s="1613"/>
      <c r="F643" s="1613"/>
      <c r="H643" s="1613"/>
    </row>
    <row r="644">
      <c r="B644" s="1613"/>
      <c r="D644" s="1613"/>
      <c r="F644" s="1613"/>
      <c r="H644" s="1613"/>
    </row>
    <row r="645">
      <c r="B645" s="1613"/>
      <c r="D645" s="1613"/>
      <c r="F645" s="1613"/>
      <c r="H645" s="1613"/>
    </row>
    <row r="646">
      <c r="B646" s="1613"/>
      <c r="D646" s="1613"/>
      <c r="F646" s="1613"/>
      <c r="H646" s="1613"/>
    </row>
    <row r="647">
      <c r="B647" s="1613"/>
      <c r="D647" s="1613"/>
      <c r="F647" s="1613"/>
      <c r="H647" s="1613"/>
    </row>
    <row r="648">
      <c r="B648" s="1613"/>
      <c r="D648" s="1613"/>
      <c r="F648" s="1613"/>
      <c r="H648" s="1613"/>
    </row>
    <row r="649">
      <c r="B649" s="1613"/>
      <c r="D649" s="1613"/>
      <c r="F649" s="1613"/>
      <c r="H649" s="1613"/>
    </row>
    <row r="650">
      <c r="B650" s="1613"/>
      <c r="D650" s="1613"/>
      <c r="F650" s="1613"/>
      <c r="H650" s="1613"/>
    </row>
    <row r="651">
      <c r="B651" s="1613"/>
      <c r="D651" s="1613"/>
      <c r="F651" s="1613"/>
      <c r="H651" s="1613"/>
    </row>
    <row r="652">
      <c r="B652" s="1613"/>
      <c r="D652" s="1613"/>
      <c r="F652" s="1613"/>
      <c r="H652" s="1613"/>
    </row>
    <row r="653">
      <c r="B653" s="1613"/>
      <c r="D653" s="1613"/>
      <c r="F653" s="1613"/>
      <c r="H653" s="1613"/>
    </row>
    <row r="654">
      <c r="B654" s="1613"/>
      <c r="D654" s="1613"/>
      <c r="F654" s="1613"/>
      <c r="H654" s="1613"/>
    </row>
    <row r="655">
      <c r="B655" s="1613"/>
      <c r="D655" s="1613"/>
      <c r="F655" s="1613"/>
      <c r="H655" s="1613"/>
    </row>
    <row r="656">
      <c r="B656" s="1613"/>
      <c r="D656" s="1613"/>
      <c r="F656" s="1613"/>
      <c r="H656" s="1613"/>
    </row>
    <row r="657">
      <c r="B657" s="1613"/>
      <c r="D657" s="1613"/>
      <c r="F657" s="1613"/>
      <c r="H657" s="1613"/>
    </row>
    <row r="658">
      <c r="B658" s="1613"/>
      <c r="D658" s="1613"/>
      <c r="F658" s="1613"/>
      <c r="H658" s="1613"/>
    </row>
    <row r="659">
      <c r="B659" s="1613"/>
      <c r="D659" s="1613"/>
      <c r="F659" s="1613"/>
      <c r="H659" s="1613"/>
    </row>
    <row r="660">
      <c r="B660" s="1613"/>
      <c r="D660" s="1613"/>
      <c r="F660" s="1613"/>
      <c r="H660" s="1613"/>
    </row>
    <row r="661">
      <c r="B661" s="1613"/>
      <c r="D661" s="1613"/>
      <c r="F661" s="1613"/>
      <c r="H661" s="1613"/>
    </row>
    <row r="662">
      <c r="B662" s="1613"/>
      <c r="D662" s="1613"/>
      <c r="F662" s="1613"/>
      <c r="H662" s="1613"/>
    </row>
    <row r="663">
      <c r="B663" s="1613"/>
      <c r="D663" s="1613"/>
      <c r="F663" s="1613"/>
      <c r="H663" s="1613"/>
    </row>
    <row r="664">
      <c r="B664" s="1613"/>
      <c r="D664" s="1613"/>
      <c r="F664" s="1613"/>
      <c r="H664" s="1613"/>
    </row>
    <row r="665">
      <c r="B665" s="1613"/>
      <c r="D665" s="1613"/>
      <c r="F665" s="1613"/>
      <c r="H665" s="1613"/>
    </row>
    <row r="666">
      <c r="B666" s="1613"/>
      <c r="D666" s="1613"/>
      <c r="F666" s="1613"/>
      <c r="H666" s="1613"/>
    </row>
    <row r="667">
      <c r="B667" s="1613"/>
      <c r="D667" s="1613"/>
      <c r="F667" s="1613"/>
      <c r="H667" s="1613"/>
    </row>
    <row r="668">
      <c r="B668" s="1613"/>
      <c r="D668" s="1613"/>
      <c r="F668" s="1613"/>
      <c r="H668" s="1613"/>
    </row>
    <row r="669">
      <c r="B669" s="1613"/>
      <c r="D669" s="1613"/>
      <c r="F669" s="1613"/>
      <c r="H669" s="1613"/>
    </row>
    <row r="670">
      <c r="B670" s="1613"/>
      <c r="D670" s="1613"/>
      <c r="F670" s="1613"/>
      <c r="H670" s="1613"/>
    </row>
    <row r="671">
      <c r="B671" s="1613"/>
      <c r="D671" s="1613"/>
      <c r="F671" s="1613"/>
      <c r="H671" s="1613"/>
    </row>
    <row r="672">
      <c r="B672" s="1613"/>
      <c r="D672" s="1613"/>
      <c r="F672" s="1613"/>
      <c r="H672" s="1613"/>
    </row>
    <row r="673">
      <c r="B673" s="1613"/>
      <c r="D673" s="1613"/>
      <c r="F673" s="1613"/>
      <c r="H673" s="1613"/>
    </row>
    <row r="674">
      <c r="B674" s="1613"/>
      <c r="D674" s="1613"/>
      <c r="F674" s="1613"/>
      <c r="H674" s="1613"/>
    </row>
    <row r="675">
      <c r="B675" s="1613"/>
      <c r="D675" s="1613"/>
      <c r="F675" s="1613"/>
      <c r="H675" s="1613"/>
    </row>
    <row r="676">
      <c r="B676" s="1613"/>
      <c r="D676" s="1613"/>
      <c r="F676" s="1613"/>
      <c r="H676" s="1613"/>
    </row>
    <row r="677">
      <c r="B677" s="1613"/>
      <c r="D677" s="1613"/>
      <c r="F677" s="1613"/>
      <c r="H677" s="1613"/>
    </row>
    <row r="678">
      <c r="B678" s="1613"/>
      <c r="D678" s="1613"/>
      <c r="F678" s="1613"/>
      <c r="H678" s="1613"/>
    </row>
    <row r="679">
      <c r="B679" s="1613"/>
      <c r="D679" s="1613"/>
      <c r="F679" s="1613"/>
      <c r="H679" s="1613"/>
    </row>
    <row r="680">
      <c r="B680" s="1613"/>
      <c r="D680" s="1613"/>
      <c r="F680" s="1613"/>
      <c r="H680" s="1613"/>
    </row>
    <row r="681">
      <c r="B681" s="1613"/>
      <c r="D681" s="1613"/>
      <c r="F681" s="1613"/>
      <c r="H681" s="1613"/>
    </row>
    <row r="682">
      <c r="B682" s="1613"/>
      <c r="D682" s="1613"/>
      <c r="F682" s="1613"/>
      <c r="H682" s="1613"/>
    </row>
    <row r="683">
      <c r="B683" s="1613"/>
      <c r="D683" s="1613"/>
      <c r="F683" s="1613"/>
      <c r="H683" s="1613"/>
    </row>
    <row r="684">
      <c r="B684" s="1613"/>
      <c r="D684" s="1613"/>
      <c r="F684" s="1613"/>
      <c r="H684" s="1613"/>
    </row>
    <row r="685">
      <c r="B685" s="1613"/>
      <c r="D685" s="1613"/>
      <c r="F685" s="1613"/>
      <c r="H685" s="1613"/>
    </row>
    <row r="686">
      <c r="B686" s="1613"/>
      <c r="D686" s="1613"/>
      <c r="F686" s="1613"/>
      <c r="H686" s="1613"/>
    </row>
    <row r="687">
      <c r="B687" s="1613"/>
      <c r="D687" s="1613"/>
      <c r="F687" s="1613"/>
      <c r="H687" s="1613"/>
    </row>
    <row r="688">
      <c r="B688" s="1613"/>
      <c r="D688" s="1613"/>
      <c r="F688" s="1613"/>
      <c r="H688" s="1613"/>
    </row>
    <row r="689">
      <c r="B689" s="1613"/>
      <c r="D689" s="1613"/>
      <c r="F689" s="1613"/>
      <c r="H689" s="1613"/>
    </row>
    <row r="690">
      <c r="B690" s="1613"/>
      <c r="D690" s="1613"/>
      <c r="F690" s="1613"/>
      <c r="H690" s="1613"/>
    </row>
    <row r="691">
      <c r="B691" s="1613"/>
      <c r="D691" s="1613"/>
      <c r="F691" s="1613"/>
      <c r="H691" s="1613"/>
    </row>
    <row r="692">
      <c r="B692" s="1613"/>
      <c r="D692" s="1613"/>
      <c r="F692" s="1613"/>
      <c r="H692" s="1613"/>
    </row>
    <row r="693">
      <c r="B693" s="1613"/>
      <c r="D693" s="1613"/>
      <c r="F693" s="1613"/>
      <c r="H693" s="1613"/>
    </row>
    <row r="694">
      <c r="B694" s="1613"/>
      <c r="D694" s="1613"/>
      <c r="F694" s="1613"/>
      <c r="H694" s="1613"/>
    </row>
    <row r="695">
      <c r="B695" s="1613"/>
      <c r="D695" s="1613"/>
      <c r="F695" s="1613"/>
      <c r="H695" s="1613"/>
    </row>
    <row r="696">
      <c r="B696" s="1613"/>
      <c r="D696" s="1613"/>
      <c r="F696" s="1613"/>
      <c r="H696" s="1613"/>
    </row>
    <row r="697">
      <c r="B697" s="1613"/>
      <c r="D697" s="1613"/>
      <c r="F697" s="1613"/>
      <c r="H697" s="1613"/>
    </row>
    <row r="698">
      <c r="B698" s="1613"/>
      <c r="D698" s="1613"/>
      <c r="F698" s="1613"/>
      <c r="H698" s="1613"/>
    </row>
    <row r="699">
      <c r="B699" s="1613"/>
      <c r="D699" s="1613"/>
      <c r="F699" s="1613"/>
      <c r="H699" s="1613"/>
    </row>
    <row r="700">
      <c r="B700" s="1613"/>
      <c r="D700" s="1613"/>
      <c r="F700" s="1613"/>
      <c r="H700" s="1613"/>
    </row>
    <row r="701">
      <c r="B701" s="1613"/>
      <c r="D701" s="1613"/>
      <c r="F701" s="1613"/>
      <c r="H701" s="1613"/>
    </row>
    <row r="702">
      <c r="B702" s="1613"/>
      <c r="D702" s="1613"/>
      <c r="F702" s="1613"/>
      <c r="H702" s="1613"/>
    </row>
    <row r="703">
      <c r="B703" s="1613"/>
      <c r="D703" s="1613"/>
      <c r="F703" s="1613"/>
      <c r="H703" s="1613"/>
    </row>
    <row r="704">
      <c r="B704" s="1613"/>
      <c r="D704" s="1613"/>
      <c r="F704" s="1613"/>
      <c r="H704" s="1613"/>
    </row>
    <row r="705">
      <c r="B705" s="1613"/>
      <c r="D705" s="1613"/>
      <c r="F705" s="1613"/>
      <c r="H705" s="1613"/>
    </row>
    <row r="706">
      <c r="B706" s="1613"/>
      <c r="D706" s="1613"/>
      <c r="F706" s="1613"/>
      <c r="H706" s="1613"/>
    </row>
    <row r="707">
      <c r="B707" s="1613"/>
      <c r="D707" s="1613"/>
      <c r="F707" s="1613"/>
      <c r="H707" s="1613"/>
    </row>
    <row r="708">
      <c r="B708" s="1613"/>
      <c r="D708" s="1613"/>
      <c r="F708" s="1613"/>
      <c r="H708" s="1613"/>
    </row>
    <row r="709">
      <c r="B709" s="1613"/>
      <c r="D709" s="1613"/>
      <c r="F709" s="1613"/>
      <c r="H709" s="1613"/>
    </row>
    <row r="710">
      <c r="B710" s="1613"/>
      <c r="D710" s="1613"/>
      <c r="F710" s="1613"/>
      <c r="H710" s="1613"/>
    </row>
    <row r="711">
      <c r="B711" s="1613"/>
      <c r="D711" s="1613"/>
      <c r="F711" s="1613"/>
      <c r="H711" s="1613"/>
    </row>
    <row r="712">
      <c r="B712" s="1613"/>
      <c r="D712" s="1613"/>
      <c r="F712" s="1613"/>
      <c r="H712" s="1613"/>
    </row>
    <row r="713">
      <c r="B713" s="1613"/>
      <c r="D713" s="1613"/>
      <c r="F713" s="1613"/>
      <c r="H713" s="1613"/>
    </row>
    <row r="714">
      <c r="B714" s="1613"/>
      <c r="D714" s="1613"/>
      <c r="F714" s="1613"/>
      <c r="H714" s="1613"/>
    </row>
    <row r="715">
      <c r="B715" s="1613"/>
      <c r="D715" s="1613"/>
      <c r="F715" s="1613"/>
      <c r="H715" s="1613"/>
    </row>
    <row r="716">
      <c r="B716" s="1613"/>
      <c r="D716" s="1613"/>
      <c r="F716" s="1613"/>
      <c r="H716" s="1613"/>
    </row>
    <row r="717">
      <c r="B717" s="1613"/>
      <c r="D717" s="1613"/>
      <c r="F717" s="1613"/>
      <c r="H717" s="1613"/>
    </row>
    <row r="718">
      <c r="B718" s="1613"/>
      <c r="D718" s="1613"/>
      <c r="F718" s="1613"/>
      <c r="H718" s="1613"/>
    </row>
    <row r="719">
      <c r="B719" s="1613"/>
      <c r="D719" s="1613"/>
      <c r="F719" s="1613"/>
      <c r="H719" s="1613"/>
    </row>
    <row r="720">
      <c r="B720" s="1613"/>
      <c r="D720" s="1613"/>
      <c r="F720" s="1613"/>
      <c r="H720" s="1613"/>
    </row>
    <row r="721">
      <c r="B721" s="1613"/>
      <c r="D721" s="1613"/>
      <c r="F721" s="1613"/>
      <c r="H721" s="1613"/>
    </row>
    <row r="722">
      <c r="B722" s="1613"/>
      <c r="D722" s="1613"/>
      <c r="F722" s="1613"/>
      <c r="H722" s="1613"/>
    </row>
    <row r="723">
      <c r="B723" s="1613"/>
      <c r="D723" s="1613"/>
      <c r="F723" s="1613"/>
      <c r="H723" s="1613"/>
    </row>
    <row r="724">
      <c r="B724" s="1613"/>
      <c r="D724" s="1613"/>
      <c r="F724" s="1613"/>
      <c r="H724" s="1613"/>
    </row>
    <row r="725">
      <c r="B725" s="1613"/>
      <c r="D725" s="1613"/>
      <c r="F725" s="1613"/>
      <c r="H725" s="1613"/>
    </row>
    <row r="726">
      <c r="B726" s="1613"/>
      <c r="D726" s="1613"/>
      <c r="F726" s="1613"/>
      <c r="H726" s="1613"/>
    </row>
    <row r="727">
      <c r="B727" s="1613"/>
      <c r="D727" s="1613"/>
      <c r="F727" s="1613"/>
      <c r="H727" s="1613"/>
    </row>
    <row r="728">
      <c r="B728" s="1613"/>
      <c r="D728" s="1613"/>
      <c r="F728" s="1613"/>
      <c r="H728" s="1613"/>
    </row>
    <row r="729">
      <c r="B729" s="1613"/>
      <c r="D729" s="1613"/>
      <c r="F729" s="1613"/>
      <c r="H729" s="1613"/>
    </row>
    <row r="730">
      <c r="B730" s="1613"/>
      <c r="D730" s="1613"/>
      <c r="F730" s="1613"/>
      <c r="H730" s="1613"/>
    </row>
    <row r="731">
      <c r="B731" s="1613"/>
      <c r="D731" s="1613"/>
      <c r="F731" s="1613"/>
      <c r="H731" s="1613"/>
    </row>
    <row r="732">
      <c r="B732" s="1613"/>
      <c r="D732" s="1613"/>
      <c r="F732" s="1613"/>
      <c r="H732" s="1613"/>
    </row>
    <row r="733">
      <c r="B733" s="1613"/>
      <c r="D733" s="1613"/>
      <c r="F733" s="1613"/>
      <c r="H733" s="1613"/>
    </row>
    <row r="734">
      <c r="B734" s="1613"/>
      <c r="D734" s="1613"/>
      <c r="F734" s="1613"/>
      <c r="H734" s="1613"/>
    </row>
    <row r="735">
      <c r="B735" s="1613"/>
      <c r="D735" s="1613"/>
      <c r="F735" s="1613"/>
      <c r="H735" s="1613"/>
    </row>
    <row r="736">
      <c r="B736" s="1613"/>
      <c r="D736" s="1613"/>
      <c r="F736" s="1613"/>
      <c r="H736" s="1613"/>
    </row>
    <row r="737">
      <c r="B737" s="1613"/>
      <c r="D737" s="1613"/>
      <c r="F737" s="1613"/>
      <c r="H737" s="1613"/>
    </row>
    <row r="738">
      <c r="B738" s="1613"/>
      <c r="D738" s="1613"/>
      <c r="F738" s="1613"/>
      <c r="H738" s="1613"/>
    </row>
    <row r="739">
      <c r="B739" s="1613"/>
      <c r="D739" s="1613"/>
      <c r="F739" s="1613"/>
      <c r="H739" s="1613"/>
    </row>
    <row r="740">
      <c r="B740" s="1613"/>
      <c r="D740" s="1613"/>
      <c r="F740" s="1613"/>
      <c r="H740" s="1613"/>
    </row>
    <row r="741">
      <c r="B741" s="1613"/>
      <c r="D741" s="1613"/>
      <c r="F741" s="1613"/>
      <c r="H741" s="1613"/>
    </row>
    <row r="742">
      <c r="B742" s="1613"/>
      <c r="D742" s="1613"/>
      <c r="F742" s="1613"/>
      <c r="H742" s="1613"/>
    </row>
    <row r="743">
      <c r="B743" s="1613"/>
      <c r="D743" s="1613"/>
      <c r="F743" s="1613"/>
      <c r="H743" s="1613"/>
    </row>
    <row r="744">
      <c r="B744" s="1613"/>
      <c r="D744" s="1613"/>
      <c r="F744" s="1613"/>
      <c r="H744" s="1613"/>
    </row>
    <row r="745">
      <c r="B745" s="1613"/>
      <c r="D745" s="1613"/>
      <c r="F745" s="1613"/>
      <c r="H745" s="1613"/>
    </row>
    <row r="746">
      <c r="B746" s="1613"/>
      <c r="D746" s="1613"/>
      <c r="F746" s="1613"/>
      <c r="H746" s="1613"/>
    </row>
    <row r="747">
      <c r="B747" s="1613"/>
      <c r="D747" s="1613"/>
      <c r="F747" s="1613"/>
      <c r="H747" s="1613"/>
    </row>
    <row r="748">
      <c r="B748" s="1613"/>
      <c r="D748" s="1613"/>
      <c r="F748" s="1613"/>
      <c r="H748" s="1613"/>
    </row>
    <row r="749">
      <c r="B749" s="1613"/>
      <c r="D749" s="1613"/>
      <c r="F749" s="1613"/>
      <c r="H749" s="1613"/>
    </row>
    <row r="750">
      <c r="B750" s="1613"/>
      <c r="D750" s="1613"/>
      <c r="F750" s="1613"/>
      <c r="H750" s="1613"/>
    </row>
    <row r="751">
      <c r="B751" s="1613"/>
      <c r="D751" s="1613"/>
      <c r="F751" s="1613"/>
      <c r="H751" s="1613"/>
    </row>
    <row r="752">
      <c r="B752" s="1613"/>
      <c r="D752" s="1613"/>
      <c r="F752" s="1613"/>
      <c r="H752" s="1613"/>
    </row>
    <row r="753">
      <c r="B753" s="1613"/>
      <c r="D753" s="1613"/>
      <c r="F753" s="1613"/>
      <c r="H753" s="1613"/>
    </row>
    <row r="754">
      <c r="B754" s="1613"/>
      <c r="D754" s="1613"/>
      <c r="F754" s="1613"/>
      <c r="H754" s="1613"/>
    </row>
    <row r="755">
      <c r="B755" s="1613"/>
      <c r="D755" s="1613"/>
      <c r="F755" s="1613"/>
      <c r="H755" s="1613"/>
    </row>
    <row r="756">
      <c r="B756" s="1613"/>
      <c r="D756" s="1613"/>
      <c r="F756" s="1613"/>
      <c r="H756" s="1613"/>
    </row>
    <row r="757">
      <c r="B757" s="1613"/>
      <c r="D757" s="1613"/>
      <c r="F757" s="1613"/>
      <c r="H757" s="1613"/>
    </row>
    <row r="758">
      <c r="B758" s="1613"/>
      <c r="D758" s="1613"/>
      <c r="F758" s="1613"/>
      <c r="H758" s="1613"/>
    </row>
    <row r="759">
      <c r="B759" s="1613"/>
      <c r="D759" s="1613"/>
      <c r="F759" s="1613"/>
      <c r="H759" s="1613"/>
    </row>
    <row r="760">
      <c r="B760" s="1613"/>
      <c r="D760" s="1613"/>
      <c r="F760" s="1613"/>
      <c r="H760" s="1613"/>
    </row>
    <row r="761">
      <c r="B761" s="1613"/>
      <c r="D761" s="1613"/>
      <c r="F761" s="1613"/>
      <c r="H761" s="1613"/>
    </row>
    <row r="762">
      <c r="B762" s="1613"/>
      <c r="D762" s="1613"/>
      <c r="F762" s="1613"/>
      <c r="H762" s="1613"/>
    </row>
    <row r="763">
      <c r="B763" s="1613"/>
      <c r="D763" s="1613"/>
      <c r="F763" s="1613"/>
      <c r="H763" s="1613"/>
    </row>
    <row r="764">
      <c r="B764" s="1613"/>
      <c r="D764" s="1613"/>
      <c r="F764" s="1613"/>
      <c r="H764" s="1613"/>
    </row>
    <row r="765">
      <c r="B765" s="1613"/>
      <c r="D765" s="1613"/>
      <c r="F765" s="1613"/>
      <c r="H765" s="1613"/>
    </row>
    <row r="766">
      <c r="B766" s="1613"/>
      <c r="D766" s="1613"/>
      <c r="F766" s="1613"/>
      <c r="H766" s="1613"/>
    </row>
    <row r="767">
      <c r="B767" s="1613"/>
      <c r="D767" s="1613"/>
      <c r="F767" s="1613"/>
      <c r="H767" s="1613"/>
    </row>
    <row r="768">
      <c r="B768" s="1613"/>
      <c r="D768" s="1613"/>
      <c r="F768" s="1613"/>
      <c r="H768" s="1613"/>
    </row>
    <row r="769">
      <c r="B769" s="1613"/>
      <c r="D769" s="1613"/>
      <c r="F769" s="1613"/>
      <c r="H769" s="1613"/>
    </row>
    <row r="770">
      <c r="B770" s="1613"/>
      <c r="D770" s="1613"/>
      <c r="F770" s="1613"/>
      <c r="H770" s="1613"/>
    </row>
    <row r="771">
      <c r="B771" s="1613"/>
      <c r="D771" s="1613"/>
      <c r="F771" s="1613"/>
      <c r="H771" s="1613"/>
    </row>
    <row r="772">
      <c r="B772" s="1613"/>
      <c r="D772" s="1613"/>
      <c r="F772" s="1613"/>
      <c r="H772" s="1613"/>
    </row>
    <row r="773">
      <c r="B773" s="1613"/>
      <c r="D773" s="1613"/>
      <c r="F773" s="1613"/>
      <c r="H773" s="1613"/>
    </row>
    <row r="774">
      <c r="B774" s="1613"/>
      <c r="D774" s="1613"/>
      <c r="F774" s="1613"/>
      <c r="H774" s="1613"/>
    </row>
    <row r="775">
      <c r="B775" s="1613"/>
      <c r="D775" s="1613"/>
      <c r="F775" s="1613"/>
      <c r="H775" s="1613"/>
    </row>
    <row r="776">
      <c r="B776" s="1613"/>
      <c r="D776" s="1613"/>
      <c r="F776" s="1613"/>
      <c r="H776" s="1613"/>
    </row>
    <row r="777">
      <c r="B777" s="1613"/>
      <c r="D777" s="1613"/>
      <c r="F777" s="1613"/>
      <c r="H777" s="1613"/>
    </row>
    <row r="778">
      <c r="B778" s="1613"/>
      <c r="D778" s="1613"/>
      <c r="F778" s="1613"/>
      <c r="H778" s="1613"/>
    </row>
    <row r="779">
      <c r="B779" s="1613"/>
      <c r="D779" s="1613"/>
      <c r="F779" s="1613"/>
      <c r="H779" s="1613"/>
    </row>
    <row r="780">
      <c r="B780" s="1613"/>
      <c r="D780" s="1613"/>
      <c r="F780" s="1613"/>
      <c r="H780" s="1613"/>
    </row>
    <row r="781">
      <c r="B781" s="1613"/>
      <c r="D781" s="1613"/>
      <c r="F781" s="1613"/>
      <c r="H781" s="1613"/>
    </row>
    <row r="782">
      <c r="B782" s="1613"/>
      <c r="D782" s="1613"/>
      <c r="F782" s="1613"/>
      <c r="H782" s="1613"/>
    </row>
    <row r="783">
      <c r="B783" s="1613"/>
      <c r="D783" s="1613"/>
      <c r="F783" s="1613"/>
      <c r="H783" s="1613"/>
    </row>
    <row r="784">
      <c r="B784" s="1613"/>
      <c r="D784" s="1613"/>
      <c r="F784" s="1613"/>
      <c r="H784" s="1613"/>
    </row>
    <row r="785">
      <c r="B785" s="1613"/>
      <c r="D785" s="1613"/>
      <c r="F785" s="1613"/>
      <c r="H785" s="1613"/>
    </row>
    <row r="786">
      <c r="B786" s="1613"/>
      <c r="D786" s="1613"/>
      <c r="F786" s="1613"/>
      <c r="H786" s="1613"/>
    </row>
    <row r="787">
      <c r="B787" s="1613"/>
      <c r="D787" s="1613"/>
      <c r="F787" s="1613"/>
      <c r="H787" s="1613"/>
    </row>
    <row r="788">
      <c r="B788" s="1613"/>
      <c r="D788" s="1613"/>
      <c r="F788" s="1613"/>
      <c r="H788" s="1613"/>
    </row>
    <row r="789">
      <c r="B789" s="1613"/>
      <c r="D789" s="1613"/>
      <c r="F789" s="1613"/>
      <c r="H789" s="1613"/>
    </row>
    <row r="790">
      <c r="B790" s="1613"/>
      <c r="D790" s="1613"/>
      <c r="F790" s="1613"/>
      <c r="H790" s="1613"/>
    </row>
    <row r="791">
      <c r="B791" s="1613"/>
      <c r="D791" s="1613"/>
      <c r="F791" s="1613"/>
      <c r="H791" s="1613"/>
    </row>
    <row r="792">
      <c r="B792" s="1613"/>
      <c r="D792" s="1613"/>
      <c r="F792" s="1613"/>
      <c r="H792" s="1613"/>
    </row>
    <row r="793">
      <c r="B793" s="1613"/>
      <c r="D793" s="1613"/>
      <c r="F793" s="1613"/>
      <c r="H793" s="1613"/>
    </row>
    <row r="794">
      <c r="B794" s="1613"/>
      <c r="D794" s="1613"/>
      <c r="F794" s="1613"/>
      <c r="H794" s="1613"/>
    </row>
    <row r="795">
      <c r="B795" s="1613"/>
      <c r="D795" s="1613"/>
      <c r="F795" s="1613"/>
      <c r="H795" s="1613"/>
    </row>
    <row r="796">
      <c r="B796" s="1613"/>
      <c r="D796" s="1613"/>
      <c r="F796" s="1613"/>
      <c r="H796" s="1613"/>
    </row>
    <row r="797">
      <c r="B797" s="1613"/>
      <c r="D797" s="1613"/>
      <c r="F797" s="1613"/>
      <c r="H797" s="1613"/>
    </row>
    <row r="798">
      <c r="B798" s="1613"/>
      <c r="D798" s="1613"/>
      <c r="F798" s="1613"/>
      <c r="H798" s="1613"/>
    </row>
    <row r="799">
      <c r="B799" s="1613"/>
      <c r="D799" s="1613"/>
      <c r="F799" s="1613"/>
      <c r="H799" s="1613"/>
    </row>
    <row r="800">
      <c r="B800" s="1613"/>
      <c r="D800" s="1613"/>
      <c r="F800" s="1613"/>
      <c r="H800" s="1613"/>
    </row>
    <row r="801">
      <c r="B801" s="1613"/>
      <c r="D801" s="1613"/>
      <c r="F801" s="1613"/>
      <c r="H801" s="1613"/>
    </row>
    <row r="802">
      <c r="B802" s="1613"/>
      <c r="D802" s="1613"/>
      <c r="F802" s="1613"/>
      <c r="H802" s="1613"/>
    </row>
    <row r="803">
      <c r="B803" s="1613"/>
      <c r="D803" s="1613"/>
      <c r="F803" s="1613"/>
      <c r="H803" s="1613"/>
    </row>
    <row r="804">
      <c r="B804" s="1613"/>
      <c r="D804" s="1613"/>
      <c r="F804" s="1613"/>
      <c r="H804" s="1613"/>
    </row>
    <row r="805">
      <c r="B805" s="1613"/>
      <c r="D805" s="1613"/>
      <c r="F805" s="1613"/>
      <c r="H805" s="1613"/>
    </row>
    <row r="806">
      <c r="B806" s="1613"/>
      <c r="D806" s="1613"/>
      <c r="F806" s="1613"/>
      <c r="H806" s="1613"/>
    </row>
    <row r="807">
      <c r="B807" s="1613"/>
      <c r="D807" s="1613"/>
      <c r="F807" s="1613"/>
      <c r="H807" s="1613"/>
    </row>
    <row r="808">
      <c r="B808" s="1613"/>
      <c r="D808" s="1613"/>
      <c r="F808" s="1613"/>
      <c r="H808" s="1613"/>
    </row>
    <row r="809">
      <c r="B809" s="1613"/>
      <c r="D809" s="1613"/>
      <c r="F809" s="1613"/>
      <c r="H809" s="1613"/>
    </row>
    <row r="810">
      <c r="B810" s="1613"/>
      <c r="D810" s="1613"/>
      <c r="F810" s="1613"/>
      <c r="H810" s="1613"/>
    </row>
    <row r="811">
      <c r="B811" s="1613"/>
      <c r="D811" s="1613"/>
      <c r="F811" s="1613"/>
      <c r="H811" s="1613"/>
    </row>
    <row r="812">
      <c r="B812" s="1613"/>
      <c r="D812" s="1613"/>
      <c r="F812" s="1613"/>
      <c r="H812" s="1613"/>
    </row>
    <row r="813">
      <c r="B813" s="1613"/>
      <c r="D813" s="1613"/>
      <c r="F813" s="1613"/>
      <c r="H813" s="1613"/>
    </row>
    <row r="814">
      <c r="B814" s="1613"/>
      <c r="D814" s="1613"/>
      <c r="F814" s="1613"/>
      <c r="H814" s="1613"/>
    </row>
    <row r="815">
      <c r="B815" s="1613"/>
      <c r="D815" s="1613"/>
      <c r="F815" s="1613"/>
      <c r="H815" s="1613"/>
    </row>
    <row r="816">
      <c r="B816" s="1613"/>
      <c r="D816" s="1613"/>
      <c r="F816" s="1613"/>
      <c r="H816" s="1613"/>
    </row>
    <row r="817">
      <c r="B817" s="1613"/>
      <c r="D817" s="1613"/>
      <c r="F817" s="1613"/>
      <c r="H817" s="1613"/>
    </row>
    <row r="818">
      <c r="B818" s="1613"/>
      <c r="D818" s="1613"/>
      <c r="F818" s="1613"/>
      <c r="H818" s="1613"/>
    </row>
    <row r="819">
      <c r="B819" s="1613"/>
      <c r="D819" s="1613"/>
      <c r="F819" s="1613"/>
      <c r="H819" s="1613"/>
    </row>
    <row r="820">
      <c r="B820" s="1613"/>
      <c r="D820" s="1613"/>
      <c r="F820" s="1613"/>
      <c r="H820" s="1613"/>
    </row>
    <row r="821">
      <c r="B821" s="1613"/>
      <c r="D821" s="1613"/>
      <c r="F821" s="1613"/>
      <c r="H821" s="1613"/>
    </row>
    <row r="822">
      <c r="B822" s="1613"/>
      <c r="D822" s="1613"/>
      <c r="F822" s="1613"/>
      <c r="H822" s="1613"/>
    </row>
    <row r="823">
      <c r="B823" s="1613"/>
      <c r="D823" s="1613"/>
      <c r="F823" s="1613"/>
      <c r="H823" s="1613"/>
    </row>
    <row r="824">
      <c r="B824" s="1613"/>
      <c r="D824" s="1613"/>
      <c r="F824" s="1613"/>
      <c r="H824" s="1613"/>
    </row>
    <row r="825">
      <c r="B825" s="1613"/>
      <c r="D825" s="1613"/>
      <c r="F825" s="1613"/>
      <c r="H825" s="1613"/>
    </row>
    <row r="826">
      <c r="B826" s="1613"/>
      <c r="D826" s="1613"/>
      <c r="F826" s="1613"/>
      <c r="H826" s="1613"/>
    </row>
    <row r="827">
      <c r="B827" s="1613"/>
      <c r="D827" s="1613"/>
      <c r="F827" s="1613"/>
      <c r="H827" s="1613"/>
    </row>
    <row r="828">
      <c r="B828" s="1613"/>
      <c r="D828" s="1613"/>
      <c r="F828" s="1613"/>
      <c r="H828" s="1613"/>
    </row>
    <row r="829">
      <c r="B829" s="1613"/>
      <c r="D829" s="1613"/>
      <c r="F829" s="1613"/>
      <c r="H829" s="1613"/>
    </row>
    <row r="830">
      <c r="B830" s="1613"/>
      <c r="D830" s="1613"/>
      <c r="F830" s="1613"/>
      <c r="H830" s="1613"/>
    </row>
    <row r="831">
      <c r="B831" s="1613"/>
      <c r="D831" s="1613"/>
      <c r="F831" s="1613"/>
      <c r="H831" s="1613"/>
    </row>
    <row r="832">
      <c r="B832" s="1613"/>
      <c r="D832" s="1613"/>
      <c r="F832" s="1613"/>
      <c r="H832" s="1613"/>
    </row>
    <row r="833">
      <c r="B833" s="1613"/>
      <c r="D833" s="1613"/>
      <c r="F833" s="1613"/>
      <c r="H833" s="1613"/>
    </row>
    <row r="834">
      <c r="B834" s="1613"/>
      <c r="D834" s="1613"/>
      <c r="F834" s="1613"/>
      <c r="H834" s="1613"/>
    </row>
    <row r="835">
      <c r="B835" s="1613"/>
      <c r="D835" s="1613"/>
      <c r="F835" s="1613"/>
      <c r="H835" s="1613"/>
    </row>
    <row r="836">
      <c r="B836" s="1613"/>
      <c r="D836" s="1613"/>
      <c r="F836" s="1613"/>
      <c r="H836" s="1613"/>
    </row>
    <row r="837">
      <c r="B837" s="1613"/>
      <c r="D837" s="1613"/>
      <c r="F837" s="1613"/>
      <c r="H837" s="1613"/>
    </row>
    <row r="838">
      <c r="B838" s="1613"/>
      <c r="D838" s="1613"/>
      <c r="F838" s="1613"/>
      <c r="H838" s="1613"/>
    </row>
    <row r="839">
      <c r="B839" s="1613"/>
      <c r="D839" s="1613"/>
      <c r="F839" s="1613"/>
      <c r="H839" s="1613"/>
    </row>
    <row r="840">
      <c r="B840" s="1613"/>
      <c r="D840" s="1613"/>
      <c r="F840" s="1613"/>
      <c r="H840" s="1613"/>
    </row>
    <row r="841">
      <c r="B841" s="1613"/>
      <c r="D841" s="1613"/>
      <c r="F841" s="1613"/>
      <c r="H841" s="1613"/>
    </row>
    <row r="842">
      <c r="B842" s="1613"/>
      <c r="D842" s="1613"/>
      <c r="F842" s="1613"/>
      <c r="H842" s="1613"/>
    </row>
    <row r="843">
      <c r="B843" s="1613"/>
      <c r="D843" s="1613"/>
      <c r="F843" s="1613"/>
      <c r="H843" s="1613"/>
    </row>
    <row r="844">
      <c r="B844" s="1613"/>
      <c r="D844" s="1613"/>
      <c r="F844" s="1613"/>
      <c r="H844" s="1613"/>
    </row>
    <row r="845">
      <c r="B845" s="1613"/>
      <c r="D845" s="1613"/>
      <c r="F845" s="1613"/>
      <c r="H845" s="1613"/>
    </row>
    <row r="846">
      <c r="B846" s="1613"/>
      <c r="D846" s="1613"/>
      <c r="F846" s="1613"/>
      <c r="H846" s="1613"/>
    </row>
    <row r="847">
      <c r="B847" s="1613"/>
      <c r="D847" s="1613"/>
      <c r="F847" s="1613"/>
      <c r="H847" s="1613"/>
    </row>
    <row r="848">
      <c r="B848" s="1613"/>
      <c r="D848" s="1613"/>
      <c r="F848" s="1613"/>
      <c r="H848" s="1613"/>
    </row>
    <row r="849">
      <c r="B849" s="1613"/>
      <c r="D849" s="1613"/>
      <c r="F849" s="1613"/>
      <c r="H849" s="1613"/>
    </row>
    <row r="850">
      <c r="B850" s="1613"/>
      <c r="D850" s="1613"/>
      <c r="F850" s="1613"/>
      <c r="H850" s="1613"/>
    </row>
    <row r="851">
      <c r="B851" s="1613"/>
      <c r="D851" s="1613"/>
      <c r="F851" s="1613"/>
      <c r="H851" s="1613"/>
    </row>
    <row r="852">
      <c r="B852" s="1613"/>
      <c r="D852" s="1613"/>
      <c r="F852" s="1613"/>
      <c r="H852" s="1613"/>
    </row>
    <row r="853">
      <c r="B853" s="1613"/>
      <c r="D853" s="1613"/>
      <c r="F853" s="1613"/>
      <c r="H853" s="1613"/>
    </row>
    <row r="854">
      <c r="B854" s="1613"/>
      <c r="D854" s="1613"/>
      <c r="F854" s="1613"/>
      <c r="H854" s="1613"/>
    </row>
    <row r="855">
      <c r="B855" s="1613"/>
      <c r="D855" s="1613"/>
      <c r="F855" s="1613"/>
      <c r="H855" s="1613"/>
    </row>
    <row r="856">
      <c r="B856" s="1613"/>
      <c r="D856" s="1613"/>
      <c r="F856" s="1613"/>
      <c r="H856" s="1613"/>
    </row>
    <row r="857">
      <c r="B857" s="1613"/>
      <c r="D857" s="1613"/>
      <c r="F857" s="1613"/>
      <c r="H857" s="1613"/>
    </row>
    <row r="858">
      <c r="B858" s="1613"/>
      <c r="D858" s="1613"/>
      <c r="F858" s="1613"/>
      <c r="H858" s="1613"/>
    </row>
    <row r="859">
      <c r="B859" s="1613"/>
      <c r="D859" s="1613"/>
      <c r="F859" s="1613"/>
      <c r="H859" s="1613"/>
    </row>
    <row r="860">
      <c r="B860" s="1613"/>
      <c r="D860" s="1613"/>
      <c r="F860" s="1613"/>
      <c r="H860" s="1613"/>
    </row>
    <row r="861">
      <c r="B861" s="1613"/>
      <c r="D861" s="1613"/>
      <c r="F861" s="1613"/>
      <c r="H861" s="1613"/>
    </row>
    <row r="862">
      <c r="B862" s="1613"/>
      <c r="D862" s="1613"/>
      <c r="F862" s="1613"/>
      <c r="H862" s="1613"/>
    </row>
    <row r="863">
      <c r="B863" s="1613"/>
      <c r="D863" s="1613"/>
      <c r="F863" s="1613"/>
      <c r="H863" s="1613"/>
    </row>
    <row r="864">
      <c r="B864" s="1613"/>
      <c r="D864" s="1613"/>
      <c r="F864" s="1613"/>
      <c r="H864" s="1613"/>
    </row>
    <row r="865">
      <c r="B865" s="1613"/>
      <c r="D865" s="1613"/>
      <c r="F865" s="1613"/>
      <c r="H865" s="1613"/>
    </row>
    <row r="866">
      <c r="B866" s="1613"/>
      <c r="D866" s="1613"/>
      <c r="F866" s="1613"/>
      <c r="H866" s="1613"/>
    </row>
    <row r="867">
      <c r="B867" s="1613"/>
      <c r="D867" s="1613"/>
      <c r="F867" s="1613"/>
      <c r="H867" s="1613"/>
    </row>
    <row r="868">
      <c r="B868" s="1613"/>
      <c r="D868" s="1613"/>
      <c r="F868" s="1613"/>
      <c r="H868" s="1613"/>
    </row>
    <row r="869">
      <c r="B869" s="1613"/>
      <c r="D869" s="1613"/>
      <c r="F869" s="1613"/>
      <c r="H869" s="1613"/>
    </row>
    <row r="870">
      <c r="B870" s="1613"/>
      <c r="D870" s="1613"/>
      <c r="F870" s="1613"/>
      <c r="H870" s="1613"/>
    </row>
    <row r="871">
      <c r="B871" s="1613"/>
      <c r="D871" s="1613"/>
      <c r="F871" s="1613"/>
      <c r="H871" s="1613"/>
    </row>
    <row r="872">
      <c r="B872" s="1613"/>
      <c r="D872" s="1613"/>
      <c r="F872" s="1613"/>
      <c r="H872" s="1613"/>
    </row>
    <row r="873">
      <c r="B873" s="1613"/>
      <c r="D873" s="1613"/>
      <c r="F873" s="1613"/>
      <c r="H873" s="1613"/>
    </row>
    <row r="874">
      <c r="B874" s="1613"/>
      <c r="D874" s="1613"/>
      <c r="F874" s="1613"/>
      <c r="H874" s="1613"/>
    </row>
    <row r="875">
      <c r="B875" s="1613"/>
      <c r="D875" s="1613"/>
      <c r="F875" s="1613"/>
      <c r="H875" s="1613"/>
    </row>
    <row r="876">
      <c r="B876" s="1613"/>
      <c r="D876" s="1613"/>
      <c r="F876" s="1613"/>
      <c r="H876" s="1613"/>
    </row>
    <row r="877">
      <c r="B877" s="1613"/>
      <c r="D877" s="1613"/>
      <c r="F877" s="1613"/>
      <c r="H877" s="1613"/>
    </row>
    <row r="878">
      <c r="B878" s="1613"/>
      <c r="D878" s="1613"/>
      <c r="F878" s="1613"/>
      <c r="H878" s="1613"/>
    </row>
    <row r="879">
      <c r="B879" s="1613"/>
      <c r="D879" s="1613"/>
      <c r="F879" s="1613"/>
      <c r="H879" s="1613"/>
    </row>
    <row r="880">
      <c r="B880" s="1613"/>
      <c r="D880" s="1613"/>
      <c r="F880" s="1613"/>
      <c r="H880" s="1613"/>
    </row>
    <row r="881">
      <c r="B881" s="1613"/>
      <c r="D881" s="1613"/>
      <c r="F881" s="1613"/>
      <c r="H881" s="1613"/>
    </row>
    <row r="882">
      <c r="B882" s="1613"/>
      <c r="D882" s="1613"/>
      <c r="F882" s="1613"/>
      <c r="H882" s="1613"/>
    </row>
    <row r="883">
      <c r="B883" s="1613"/>
      <c r="D883" s="1613"/>
      <c r="F883" s="1613"/>
      <c r="H883" s="1613"/>
    </row>
    <row r="884">
      <c r="B884" s="1613"/>
      <c r="D884" s="1613"/>
      <c r="F884" s="1613"/>
      <c r="H884" s="1613"/>
    </row>
    <row r="885">
      <c r="B885" s="1613"/>
      <c r="D885" s="1613"/>
      <c r="F885" s="1613"/>
      <c r="H885" s="1613"/>
    </row>
    <row r="886">
      <c r="B886" s="1613"/>
      <c r="D886" s="1613"/>
      <c r="F886" s="1613"/>
      <c r="H886" s="1613"/>
    </row>
    <row r="887">
      <c r="B887" s="1613"/>
      <c r="D887" s="1613"/>
      <c r="F887" s="1613"/>
      <c r="H887" s="1613"/>
    </row>
    <row r="888">
      <c r="B888" s="1613"/>
      <c r="D888" s="1613"/>
      <c r="F888" s="1613"/>
      <c r="H888" s="1613"/>
    </row>
    <row r="889">
      <c r="B889" s="1613"/>
      <c r="D889" s="1613"/>
      <c r="F889" s="1613"/>
      <c r="H889" s="1613"/>
    </row>
    <row r="890">
      <c r="B890" s="1613"/>
      <c r="D890" s="1613"/>
      <c r="F890" s="1613"/>
      <c r="H890" s="1613"/>
    </row>
    <row r="891">
      <c r="B891" s="1613"/>
      <c r="D891" s="1613"/>
      <c r="F891" s="1613"/>
      <c r="H891" s="1613"/>
    </row>
    <row r="892">
      <c r="B892" s="1613"/>
      <c r="D892" s="1613"/>
      <c r="F892" s="1613"/>
      <c r="H892" s="1613"/>
    </row>
    <row r="893">
      <c r="B893" s="1613"/>
      <c r="D893" s="1613"/>
      <c r="F893" s="1613"/>
      <c r="H893" s="1613"/>
    </row>
    <row r="894">
      <c r="B894" s="1613"/>
      <c r="D894" s="1613"/>
      <c r="F894" s="1613"/>
      <c r="H894" s="1613"/>
    </row>
    <row r="895">
      <c r="B895" s="1613"/>
      <c r="D895" s="1613"/>
      <c r="F895" s="1613"/>
      <c r="H895" s="1613"/>
    </row>
    <row r="896">
      <c r="B896" s="1613"/>
      <c r="D896" s="1613"/>
      <c r="F896" s="1613"/>
      <c r="H896" s="1613"/>
    </row>
    <row r="897">
      <c r="B897" s="1613"/>
      <c r="D897" s="1613"/>
      <c r="F897" s="1613"/>
      <c r="H897" s="1613"/>
    </row>
    <row r="898">
      <c r="B898" s="1613"/>
      <c r="D898" s="1613"/>
      <c r="F898" s="1613"/>
      <c r="H898" s="1613"/>
    </row>
    <row r="899">
      <c r="B899" s="1613"/>
      <c r="D899" s="1613"/>
      <c r="F899" s="1613"/>
      <c r="H899" s="1613"/>
    </row>
    <row r="900">
      <c r="B900" s="1613"/>
      <c r="D900" s="1613"/>
      <c r="F900" s="1613"/>
      <c r="H900" s="1613"/>
    </row>
    <row r="901">
      <c r="B901" s="1613"/>
      <c r="D901" s="1613"/>
      <c r="F901" s="1613"/>
      <c r="H901" s="1613"/>
    </row>
    <row r="902">
      <c r="B902" s="1613"/>
      <c r="D902" s="1613"/>
      <c r="F902" s="1613"/>
      <c r="H902" s="1613"/>
    </row>
    <row r="903">
      <c r="B903" s="1613"/>
      <c r="D903" s="1613"/>
      <c r="F903" s="1613"/>
      <c r="H903" s="1613"/>
    </row>
    <row r="904">
      <c r="B904" s="1613"/>
      <c r="D904" s="1613"/>
      <c r="F904" s="1613"/>
      <c r="H904" s="1613"/>
    </row>
    <row r="905">
      <c r="B905" s="1613"/>
      <c r="D905" s="1613"/>
      <c r="F905" s="1613"/>
      <c r="H905" s="1613"/>
    </row>
    <row r="906">
      <c r="B906" s="1613"/>
      <c r="D906" s="1613"/>
      <c r="F906" s="1613"/>
      <c r="H906" s="1613"/>
    </row>
    <row r="907">
      <c r="B907" s="1613"/>
      <c r="D907" s="1613"/>
      <c r="F907" s="1613"/>
      <c r="H907" s="1613"/>
    </row>
    <row r="908">
      <c r="B908" s="1613"/>
      <c r="D908" s="1613"/>
      <c r="F908" s="1613"/>
      <c r="H908" s="1613"/>
    </row>
    <row r="909">
      <c r="B909" s="1613"/>
      <c r="D909" s="1613"/>
      <c r="F909" s="1613"/>
      <c r="H909" s="1613"/>
    </row>
    <row r="910">
      <c r="B910" s="1613"/>
      <c r="D910" s="1613"/>
      <c r="F910" s="1613"/>
      <c r="H910" s="1613"/>
    </row>
    <row r="911">
      <c r="B911" s="1613"/>
      <c r="D911" s="1613"/>
      <c r="F911" s="1613"/>
      <c r="H911" s="1613"/>
    </row>
    <row r="912">
      <c r="B912" s="1613"/>
      <c r="D912" s="1613"/>
      <c r="F912" s="1613"/>
      <c r="H912" s="1613"/>
    </row>
    <row r="913">
      <c r="B913" s="1613"/>
      <c r="D913" s="1613"/>
      <c r="F913" s="1613"/>
      <c r="H913" s="1613"/>
    </row>
    <row r="914">
      <c r="B914" s="1613"/>
      <c r="D914" s="1613"/>
      <c r="F914" s="1613"/>
      <c r="H914" s="1613"/>
    </row>
    <row r="915">
      <c r="B915" s="1613"/>
      <c r="D915" s="1613"/>
      <c r="F915" s="1613"/>
      <c r="H915" s="1613"/>
    </row>
    <row r="916">
      <c r="B916" s="1613"/>
      <c r="D916" s="1613"/>
      <c r="F916" s="1613"/>
      <c r="H916" s="1613"/>
    </row>
    <row r="917">
      <c r="B917" s="1613"/>
      <c r="D917" s="1613"/>
      <c r="F917" s="1613"/>
      <c r="H917" s="1613"/>
    </row>
    <row r="918">
      <c r="B918" s="1613"/>
      <c r="D918" s="1613"/>
      <c r="F918" s="1613"/>
      <c r="H918" s="1613"/>
    </row>
    <row r="919">
      <c r="B919" s="1613"/>
      <c r="D919" s="1613"/>
      <c r="F919" s="1613"/>
      <c r="H919" s="1613"/>
    </row>
    <row r="920">
      <c r="B920" s="1613"/>
      <c r="D920" s="1613"/>
      <c r="F920" s="1613"/>
      <c r="H920" s="1613"/>
    </row>
    <row r="921">
      <c r="B921" s="1613"/>
      <c r="D921" s="1613"/>
      <c r="F921" s="1613"/>
      <c r="H921" s="1613"/>
    </row>
    <row r="922">
      <c r="B922" s="1613"/>
      <c r="D922" s="1613"/>
      <c r="F922" s="1613"/>
      <c r="H922" s="1613"/>
    </row>
    <row r="923">
      <c r="B923" s="1613"/>
      <c r="D923" s="1613"/>
      <c r="F923" s="1613"/>
      <c r="H923" s="1613"/>
    </row>
    <row r="924">
      <c r="B924" s="1613"/>
      <c r="D924" s="1613"/>
      <c r="F924" s="1613"/>
      <c r="H924" s="1613"/>
    </row>
    <row r="925">
      <c r="B925" s="1613"/>
      <c r="D925" s="1613"/>
      <c r="F925" s="1613"/>
      <c r="H925" s="1613"/>
    </row>
    <row r="926">
      <c r="B926" s="1613"/>
      <c r="D926" s="1613"/>
      <c r="F926" s="1613"/>
      <c r="H926" s="1613"/>
    </row>
    <row r="927">
      <c r="B927" s="1613"/>
      <c r="D927" s="1613"/>
      <c r="F927" s="1613"/>
      <c r="H927" s="1613"/>
    </row>
    <row r="928">
      <c r="B928" s="1613"/>
      <c r="D928" s="1613"/>
      <c r="F928" s="1613"/>
      <c r="H928" s="1613"/>
    </row>
    <row r="929">
      <c r="B929" s="1613"/>
      <c r="D929" s="1613"/>
      <c r="F929" s="1613"/>
      <c r="H929" s="1613"/>
    </row>
    <row r="930">
      <c r="B930" s="1613"/>
      <c r="D930" s="1613"/>
      <c r="F930" s="1613"/>
      <c r="H930" s="1613"/>
    </row>
    <row r="931">
      <c r="B931" s="1613"/>
      <c r="D931" s="1613"/>
      <c r="F931" s="1613"/>
      <c r="H931" s="1613"/>
    </row>
    <row r="932">
      <c r="B932" s="1613"/>
      <c r="D932" s="1613"/>
      <c r="F932" s="1613"/>
      <c r="H932" s="1613"/>
    </row>
    <row r="933">
      <c r="B933" s="1613"/>
      <c r="D933" s="1613"/>
      <c r="F933" s="1613"/>
      <c r="H933" s="1613"/>
    </row>
    <row r="934">
      <c r="B934" s="1613"/>
      <c r="D934" s="1613"/>
      <c r="F934" s="1613"/>
      <c r="H934" s="1613"/>
    </row>
    <row r="935">
      <c r="B935" s="1613"/>
      <c r="D935" s="1613"/>
      <c r="F935" s="1613"/>
      <c r="H935" s="1613"/>
    </row>
    <row r="936">
      <c r="B936" s="1613"/>
      <c r="D936" s="1613"/>
      <c r="F936" s="1613"/>
      <c r="H936" s="1613"/>
    </row>
    <row r="937">
      <c r="B937" s="1613"/>
      <c r="D937" s="1613"/>
      <c r="F937" s="1613"/>
      <c r="H937" s="1613"/>
    </row>
    <row r="938">
      <c r="B938" s="1613"/>
      <c r="D938" s="1613"/>
      <c r="F938" s="1613"/>
      <c r="H938" s="1613"/>
    </row>
    <row r="939">
      <c r="B939" s="1613"/>
      <c r="D939" s="1613"/>
      <c r="F939" s="1613"/>
      <c r="H939" s="1613"/>
    </row>
    <row r="940">
      <c r="B940" s="1613"/>
      <c r="D940" s="1613"/>
      <c r="F940" s="1613"/>
      <c r="H940" s="1613"/>
    </row>
    <row r="941">
      <c r="B941" s="1613"/>
      <c r="D941" s="1613"/>
      <c r="F941" s="1613"/>
      <c r="H941" s="1613"/>
    </row>
    <row r="942">
      <c r="B942" s="1613"/>
      <c r="D942" s="1613"/>
      <c r="F942" s="1613"/>
      <c r="H942" s="1613"/>
    </row>
    <row r="943">
      <c r="B943" s="1613"/>
      <c r="D943" s="1613"/>
      <c r="F943" s="1613"/>
      <c r="H943" s="1613"/>
    </row>
    <row r="944">
      <c r="B944" s="1613"/>
      <c r="D944" s="1613"/>
      <c r="F944" s="1613"/>
      <c r="H944" s="1613"/>
    </row>
    <row r="945">
      <c r="B945" s="1613"/>
      <c r="D945" s="1613"/>
      <c r="F945" s="1613"/>
      <c r="H945" s="1613"/>
    </row>
    <row r="946">
      <c r="B946" s="1613"/>
      <c r="D946" s="1613"/>
      <c r="F946" s="1613"/>
      <c r="H946" s="1613"/>
    </row>
    <row r="947">
      <c r="B947" s="1613"/>
      <c r="D947" s="1613"/>
      <c r="F947" s="1613"/>
      <c r="H947" s="1613"/>
    </row>
    <row r="948">
      <c r="B948" s="1613"/>
      <c r="D948" s="1613"/>
      <c r="F948" s="1613"/>
      <c r="H948" s="1613"/>
    </row>
    <row r="949">
      <c r="B949" s="1613"/>
      <c r="D949" s="1613"/>
      <c r="F949" s="1613"/>
      <c r="H949" s="1613"/>
    </row>
    <row r="950">
      <c r="B950" s="1613"/>
      <c r="D950" s="1613"/>
      <c r="F950" s="1613"/>
      <c r="H950" s="1613"/>
    </row>
    <row r="951">
      <c r="B951" s="1613"/>
      <c r="D951" s="1613"/>
      <c r="F951" s="1613"/>
      <c r="H951" s="1613"/>
    </row>
    <row r="952">
      <c r="B952" s="1613"/>
      <c r="D952" s="1613"/>
      <c r="F952" s="1613"/>
      <c r="H952" s="1613"/>
    </row>
    <row r="953">
      <c r="B953" s="1613"/>
      <c r="D953" s="1613"/>
      <c r="F953" s="1613"/>
      <c r="H953" s="1613"/>
    </row>
    <row r="954">
      <c r="B954" s="1613"/>
      <c r="D954" s="1613"/>
      <c r="F954" s="1613"/>
      <c r="H954" s="1613"/>
    </row>
    <row r="955">
      <c r="B955" s="1613"/>
      <c r="D955" s="1613"/>
      <c r="F955" s="1613"/>
      <c r="H955" s="1613"/>
    </row>
    <row r="956">
      <c r="B956" s="1613"/>
      <c r="D956" s="1613"/>
      <c r="F956" s="1613"/>
      <c r="H956" s="1613"/>
    </row>
    <row r="957">
      <c r="B957" s="1613"/>
      <c r="D957" s="1613"/>
      <c r="F957" s="1613"/>
      <c r="H957" s="1613"/>
    </row>
    <row r="958">
      <c r="B958" s="1613"/>
      <c r="D958" s="1613"/>
      <c r="F958" s="1613"/>
      <c r="H958" s="1613"/>
    </row>
    <row r="959">
      <c r="B959" s="1613"/>
      <c r="D959" s="1613"/>
      <c r="F959" s="1613"/>
      <c r="H959" s="1613"/>
    </row>
    <row r="960">
      <c r="B960" s="1613"/>
      <c r="D960" s="1613"/>
      <c r="F960" s="1613"/>
      <c r="H960" s="1613"/>
    </row>
    <row r="961">
      <c r="B961" s="1613"/>
      <c r="D961" s="1613"/>
      <c r="F961" s="1613"/>
      <c r="H961" s="1613"/>
    </row>
    <row r="962">
      <c r="B962" s="1613"/>
      <c r="D962" s="1613"/>
      <c r="F962" s="1613"/>
      <c r="H962" s="1613"/>
    </row>
    <row r="963">
      <c r="B963" s="1613"/>
      <c r="D963" s="1613"/>
      <c r="F963" s="1613"/>
      <c r="H963" s="1613"/>
    </row>
    <row r="964">
      <c r="B964" s="1613"/>
      <c r="D964" s="1613"/>
      <c r="F964" s="1613"/>
      <c r="H964" s="1613"/>
    </row>
    <row r="965">
      <c r="B965" s="1613"/>
      <c r="D965" s="1613"/>
      <c r="F965" s="1613"/>
      <c r="H965" s="1613"/>
    </row>
    <row r="966">
      <c r="B966" s="1613"/>
      <c r="D966" s="1613"/>
      <c r="F966" s="1613"/>
      <c r="H966" s="1613"/>
    </row>
    <row r="967">
      <c r="B967" s="1613"/>
      <c r="D967" s="1613"/>
      <c r="F967" s="1613"/>
      <c r="H967" s="1613"/>
    </row>
    <row r="968">
      <c r="B968" s="1613"/>
      <c r="D968" s="1613"/>
      <c r="F968" s="1613"/>
      <c r="H968" s="1613"/>
    </row>
    <row r="969">
      <c r="B969" s="1613"/>
      <c r="D969" s="1613"/>
      <c r="F969" s="1613"/>
      <c r="H969" s="1613"/>
    </row>
    <row r="970">
      <c r="B970" s="1613"/>
      <c r="D970" s="1613"/>
      <c r="F970" s="1613"/>
      <c r="H970" s="1613"/>
    </row>
    <row r="971">
      <c r="B971" s="1613"/>
      <c r="D971" s="1613"/>
      <c r="F971" s="1613"/>
      <c r="H971" s="1613"/>
    </row>
    <row r="972">
      <c r="B972" s="1613"/>
      <c r="D972" s="1613"/>
      <c r="F972" s="1613"/>
      <c r="H972" s="1613"/>
    </row>
    <row r="973">
      <c r="B973" s="1613"/>
      <c r="D973" s="1613"/>
      <c r="F973" s="1613"/>
      <c r="H973" s="1613"/>
    </row>
    <row r="974">
      <c r="B974" s="1613"/>
      <c r="D974" s="1613"/>
      <c r="F974" s="1613"/>
      <c r="H974" s="1613"/>
    </row>
    <row r="975">
      <c r="B975" s="1613"/>
      <c r="D975" s="1613"/>
      <c r="F975" s="1613"/>
      <c r="H975" s="1613"/>
    </row>
    <row r="976">
      <c r="B976" s="1613"/>
      <c r="D976" s="1613"/>
      <c r="F976" s="1613"/>
      <c r="H976" s="1613"/>
    </row>
    <row r="977">
      <c r="B977" s="1613"/>
      <c r="D977" s="1613"/>
      <c r="F977" s="1613"/>
      <c r="H977" s="1613"/>
    </row>
    <row r="978">
      <c r="B978" s="1613"/>
      <c r="D978" s="1613"/>
      <c r="F978" s="1613"/>
      <c r="H978" s="1613"/>
    </row>
    <row r="979">
      <c r="B979" s="1613"/>
      <c r="D979" s="1613"/>
      <c r="F979" s="1613"/>
      <c r="H979" s="1613"/>
    </row>
    <row r="980">
      <c r="B980" s="1613"/>
      <c r="D980" s="1613"/>
      <c r="F980" s="1613"/>
      <c r="H980" s="1613"/>
    </row>
    <row r="981">
      <c r="B981" s="1613"/>
      <c r="D981" s="1613"/>
      <c r="F981" s="1613"/>
      <c r="H981" s="1613"/>
    </row>
    <row r="982">
      <c r="B982" s="1613"/>
      <c r="D982" s="1613"/>
      <c r="F982" s="1613"/>
      <c r="H982" s="1613"/>
    </row>
    <row r="983">
      <c r="B983" s="1613"/>
      <c r="D983" s="1613"/>
      <c r="F983" s="1613"/>
      <c r="H983" s="1613"/>
    </row>
    <row r="984">
      <c r="B984" s="1613"/>
      <c r="D984" s="1613"/>
      <c r="F984" s="1613"/>
      <c r="H984" s="1613"/>
    </row>
    <row r="985">
      <c r="B985" s="1613"/>
      <c r="D985" s="1613"/>
      <c r="F985" s="1613"/>
      <c r="H985" s="1613"/>
    </row>
    <row r="986">
      <c r="B986" s="1613"/>
      <c r="D986" s="1613"/>
      <c r="F986" s="1613"/>
      <c r="H986" s="1613"/>
    </row>
    <row r="987">
      <c r="B987" s="1613"/>
      <c r="D987" s="1613"/>
      <c r="F987" s="1613"/>
      <c r="H987" s="1613"/>
    </row>
    <row r="988">
      <c r="B988" s="1613"/>
      <c r="D988" s="1613"/>
      <c r="F988" s="1613"/>
      <c r="H988" s="1613"/>
    </row>
    <row r="989">
      <c r="B989" s="1613"/>
      <c r="D989" s="1613"/>
      <c r="F989" s="1613"/>
      <c r="H989" s="1613"/>
    </row>
    <row r="990">
      <c r="B990" s="1613"/>
      <c r="D990" s="1613"/>
      <c r="F990" s="1613"/>
      <c r="H990" s="1613"/>
    </row>
    <row r="991">
      <c r="B991" s="1613"/>
      <c r="D991" s="1613"/>
      <c r="F991" s="1613"/>
      <c r="H991" s="1613"/>
    </row>
    <row r="992">
      <c r="B992" s="1613"/>
      <c r="D992" s="1613"/>
      <c r="F992" s="1613"/>
      <c r="H992" s="1613"/>
    </row>
    <row r="993">
      <c r="B993" s="1613"/>
      <c r="D993" s="1613"/>
      <c r="F993" s="1613"/>
      <c r="H993" s="1613"/>
    </row>
    <row r="994">
      <c r="B994" s="1613"/>
      <c r="D994" s="1613"/>
      <c r="F994" s="1613"/>
      <c r="H994" s="1613"/>
    </row>
    <row r="995">
      <c r="B995" s="1613"/>
      <c r="D995" s="1613"/>
      <c r="F995" s="1613"/>
      <c r="H995" s="1613"/>
    </row>
    <row r="996">
      <c r="B996" s="1613"/>
      <c r="D996" s="1613"/>
      <c r="F996" s="1613"/>
      <c r="H996" s="1613"/>
    </row>
    <row r="997">
      <c r="B997" s="1613"/>
      <c r="D997" s="1613"/>
      <c r="F997" s="1613"/>
      <c r="H997" s="1613"/>
    </row>
    <row r="998">
      <c r="B998" s="1613"/>
      <c r="D998" s="1613"/>
      <c r="F998" s="1613"/>
      <c r="H998" s="1613"/>
    </row>
    <row r="999">
      <c r="B999" s="1613"/>
      <c r="D999" s="1613"/>
      <c r="F999" s="1613"/>
      <c r="H999" s="1613"/>
    </row>
  </sheetData>
  <drawing r:id="rId1"/>
  <tableParts count="18">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75"/>
    <col customWidth="1" min="2" max="2" width="8.63"/>
    <col customWidth="1" min="3" max="3" width="19.75"/>
    <col customWidth="1" min="4" max="4" width="7.88"/>
    <col customWidth="1" min="5" max="5" width="21.0"/>
    <col customWidth="1" min="6" max="6" width="8.0"/>
    <col customWidth="1" min="7" max="7" width="19.75"/>
    <col customWidth="1" min="8" max="8" width="7.88"/>
    <col customWidth="1" min="9" max="9" width="18.5"/>
    <col customWidth="1" min="10" max="10" width="6.5"/>
    <col customWidth="1" min="11" max="11" width="18.88"/>
  </cols>
  <sheetData>
    <row r="1">
      <c r="A1" s="160">
        <v>17.0</v>
      </c>
      <c r="B1" s="1612"/>
      <c r="C1" s="160">
        <v>16.0</v>
      </c>
      <c r="D1" s="1612"/>
      <c r="E1" s="160">
        <v>14.0</v>
      </c>
      <c r="F1" s="1612"/>
      <c r="G1" s="160">
        <v>6.0</v>
      </c>
      <c r="H1" s="1612"/>
      <c r="I1" s="160">
        <v>5.0</v>
      </c>
    </row>
    <row r="2">
      <c r="A2" s="1612" t="s">
        <v>2519</v>
      </c>
      <c r="B2" s="1612"/>
      <c r="C2" s="1612" t="s">
        <v>2520</v>
      </c>
      <c r="D2" s="1612"/>
      <c r="E2" s="1612" t="s">
        <v>2521</v>
      </c>
      <c r="F2" s="1612"/>
      <c r="G2" s="1612" t="s">
        <v>2522</v>
      </c>
      <c r="H2" s="1613"/>
      <c r="I2" s="1612" t="s">
        <v>2523</v>
      </c>
    </row>
    <row r="3" ht="17.25" customHeight="1">
      <c r="A3" s="160" t="s">
        <v>2464</v>
      </c>
      <c r="B3" s="1612"/>
      <c r="C3" s="160" t="s">
        <v>2456</v>
      </c>
      <c r="D3" s="1615"/>
      <c r="E3" s="1614" t="s">
        <v>2458</v>
      </c>
      <c r="F3" s="1612"/>
      <c r="G3" s="160" t="s">
        <v>2459</v>
      </c>
      <c r="H3" s="1612"/>
      <c r="I3" s="160" t="s">
        <v>2478</v>
      </c>
      <c r="K3" s="160" t="s">
        <v>2505</v>
      </c>
    </row>
    <row r="4" ht="17.25" customHeight="1">
      <c r="A4" s="160" t="s">
        <v>2463</v>
      </c>
      <c r="B4" s="1612"/>
      <c r="C4" s="160" t="s">
        <v>2471</v>
      </c>
      <c r="D4" s="1612"/>
      <c r="E4" s="1614" t="s">
        <v>2467</v>
      </c>
      <c r="F4" s="1612"/>
      <c r="G4" s="160" t="s">
        <v>2466</v>
      </c>
      <c r="H4" s="1612"/>
      <c r="I4" s="160" t="s">
        <v>2491</v>
      </c>
    </row>
    <row r="5" ht="17.25" customHeight="1">
      <c r="A5" s="160" t="s">
        <v>2468</v>
      </c>
      <c r="B5" s="1612"/>
      <c r="C5" s="160" t="s">
        <v>2461</v>
      </c>
      <c r="E5" s="160" t="s">
        <v>2475</v>
      </c>
      <c r="F5" s="1612"/>
      <c r="G5" s="160" t="s">
        <v>2474</v>
      </c>
      <c r="H5" s="1615"/>
      <c r="I5" s="160" t="s">
        <v>2494</v>
      </c>
    </row>
    <row r="6" ht="17.25" customHeight="1">
      <c r="A6" s="160" t="s">
        <v>2480</v>
      </c>
      <c r="B6" s="1612"/>
      <c r="C6" s="1614" t="s">
        <v>2472</v>
      </c>
      <c r="D6" s="1612"/>
      <c r="E6" s="1614" t="s">
        <v>2476</v>
      </c>
      <c r="F6" s="1612"/>
      <c r="G6" s="1614" t="s">
        <v>2509</v>
      </c>
      <c r="H6" s="1612"/>
      <c r="I6" s="160" t="s">
        <v>2503</v>
      </c>
    </row>
    <row r="7" ht="17.25" customHeight="1">
      <c r="A7" s="160" t="s">
        <v>2484</v>
      </c>
      <c r="B7" s="1612"/>
      <c r="C7" s="160" t="s">
        <v>2465</v>
      </c>
      <c r="D7" s="1615"/>
      <c r="E7" s="1614" t="s">
        <v>2492</v>
      </c>
      <c r="F7" s="1612"/>
      <c r="G7" s="160" t="s">
        <v>2482</v>
      </c>
      <c r="H7" s="1612"/>
      <c r="I7" s="1614" t="s">
        <v>2517</v>
      </c>
    </row>
    <row r="8" ht="17.25" customHeight="1">
      <c r="A8" s="160" t="s">
        <v>2479</v>
      </c>
      <c r="B8" s="1612"/>
      <c r="C8" s="160" t="s">
        <v>2473</v>
      </c>
      <c r="D8" s="1612"/>
      <c r="E8" s="160" t="s">
        <v>2477</v>
      </c>
      <c r="F8" s="1615"/>
      <c r="G8" s="160" t="s">
        <v>2497</v>
      </c>
      <c r="H8" s="1612"/>
    </row>
    <row r="9" ht="17.25" customHeight="1">
      <c r="A9" s="160" t="s">
        <v>2469</v>
      </c>
      <c r="B9" s="1615"/>
      <c r="C9" s="1614" t="s">
        <v>2488</v>
      </c>
      <c r="D9" s="1615"/>
      <c r="E9" s="1614" t="s">
        <v>2504</v>
      </c>
      <c r="F9" s="1612"/>
      <c r="H9" s="1615"/>
    </row>
    <row r="10" ht="17.25" customHeight="1">
      <c r="A10" s="160" t="s">
        <v>2483</v>
      </c>
      <c r="B10" s="1615"/>
      <c r="C10" s="160" t="s">
        <v>2496</v>
      </c>
      <c r="D10" s="1615"/>
      <c r="E10" s="160" t="s">
        <v>2506</v>
      </c>
      <c r="F10" s="1615"/>
      <c r="H10" s="1615"/>
    </row>
    <row r="11" ht="17.25" customHeight="1">
      <c r="A11" s="160" t="s">
        <v>2481</v>
      </c>
      <c r="B11" s="1612"/>
      <c r="C11" s="1614" t="s">
        <v>2499</v>
      </c>
      <c r="D11" s="1615"/>
      <c r="E11" s="160" t="s">
        <v>2518</v>
      </c>
      <c r="F11" s="1612"/>
      <c r="H11" s="1612"/>
    </row>
    <row r="12" ht="17.25" customHeight="1">
      <c r="A12" s="160" t="s">
        <v>2487</v>
      </c>
      <c r="B12" s="1615"/>
      <c r="C12" s="1614" t="s">
        <v>2502</v>
      </c>
      <c r="D12" s="1615"/>
      <c r="E12" s="1614" t="s">
        <v>2508</v>
      </c>
      <c r="F12" s="1613"/>
      <c r="H12" s="1612"/>
    </row>
    <row r="13" ht="17.25" customHeight="1">
      <c r="A13" s="160" t="s">
        <v>2495</v>
      </c>
      <c r="B13" s="1612"/>
      <c r="C13" s="160" t="s">
        <v>2485</v>
      </c>
      <c r="D13" s="1615"/>
      <c r="E13" s="160" t="s">
        <v>2498</v>
      </c>
      <c r="F13" s="1613"/>
      <c r="H13" s="1612"/>
    </row>
    <row r="14" ht="17.25" customHeight="1">
      <c r="A14" s="160" t="s">
        <v>2511</v>
      </c>
      <c r="B14" s="1615"/>
      <c r="C14" s="160" t="s">
        <v>2524</v>
      </c>
      <c r="D14" s="1615"/>
      <c r="E14" s="1614" t="s">
        <v>2510</v>
      </c>
      <c r="F14" s="1613"/>
      <c r="H14" s="1612"/>
    </row>
    <row r="15" ht="17.25" customHeight="1">
      <c r="A15" s="160" t="s">
        <v>2512</v>
      </c>
      <c r="B15" s="1613"/>
      <c r="C15" s="160" t="s">
        <v>2486</v>
      </c>
      <c r="D15" s="1615"/>
      <c r="E15" s="160" t="s">
        <v>2493</v>
      </c>
      <c r="F15" s="1613"/>
      <c r="H15" s="1612"/>
    </row>
    <row r="16" ht="17.25" customHeight="1">
      <c r="A16" s="160" t="s">
        <v>2489</v>
      </c>
      <c r="B16" s="1613"/>
      <c r="C16" s="160" t="s">
        <v>2490</v>
      </c>
      <c r="D16" s="1615"/>
      <c r="E16" s="160" t="s">
        <v>2507</v>
      </c>
      <c r="F16" s="1613"/>
      <c r="H16" s="1612"/>
    </row>
    <row r="17" ht="17.25" customHeight="1">
      <c r="A17" s="160" t="s">
        <v>2500</v>
      </c>
      <c r="B17" s="1613"/>
      <c r="C17" s="1614" t="s">
        <v>2513</v>
      </c>
      <c r="D17" s="1615"/>
      <c r="F17" s="1613"/>
      <c r="H17" s="1613"/>
    </row>
    <row r="18" ht="17.25" customHeight="1">
      <c r="A18" s="160" t="s">
        <v>2514</v>
      </c>
      <c r="B18" s="1613"/>
      <c r="C18" s="160" t="s">
        <v>2501</v>
      </c>
      <c r="D18" s="1612"/>
      <c r="F18" s="1613"/>
      <c r="H18" s="1613"/>
    </row>
    <row r="19" ht="17.25" customHeight="1">
      <c r="A19" s="160" t="s">
        <v>2516</v>
      </c>
      <c r="B19" s="1613"/>
      <c r="D19" s="1615"/>
      <c r="F19" s="1613"/>
      <c r="H19" s="1613"/>
    </row>
    <row r="20" ht="17.25" customHeight="1">
      <c r="B20" s="1613"/>
      <c r="D20" s="1615"/>
      <c r="F20" s="1613"/>
      <c r="H20" s="1613"/>
    </row>
    <row r="21" ht="17.25" customHeight="1">
      <c r="B21" s="1613"/>
      <c r="D21" s="1615"/>
      <c r="F21" s="1613"/>
      <c r="H21" s="1613"/>
      <c r="I21" s="160"/>
    </row>
    <row r="22" ht="17.25" customHeight="1">
      <c r="B22" s="1613"/>
      <c r="D22" s="1615"/>
      <c r="F22" s="1613"/>
      <c r="H22" s="1613"/>
      <c r="I22" s="160"/>
    </row>
    <row r="23" ht="17.25" customHeight="1">
      <c r="B23" s="1613"/>
      <c r="D23" s="1615"/>
      <c r="F23" s="1613"/>
      <c r="H23" s="1613"/>
      <c r="I23" s="160"/>
    </row>
    <row r="24" ht="17.25" customHeight="1">
      <c r="B24" s="1613"/>
      <c r="D24" s="1615"/>
      <c r="F24" s="1613"/>
      <c r="H24" s="1613"/>
      <c r="I24" s="160"/>
    </row>
    <row r="25" ht="17.25" customHeight="1">
      <c r="B25" s="1613"/>
      <c r="D25" s="1612"/>
      <c r="F25" s="1613"/>
      <c r="H25" s="1613"/>
      <c r="I25" s="160"/>
    </row>
    <row r="26" ht="17.25" customHeight="1">
      <c r="B26" s="1613"/>
      <c r="D26" s="1612"/>
      <c r="F26" s="1613"/>
      <c r="H26" s="1613"/>
      <c r="I26" s="160"/>
    </row>
    <row r="27" ht="17.25" customHeight="1">
      <c r="B27" s="1613"/>
      <c r="D27" s="1612"/>
      <c r="F27" s="1613"/>
      <c r="H27" s="1613"/>
      <c r="I27" s="160"/>
    </row>
    <row r="28" ht="17.25" customHeight="1">
      <c r="B28" s="1613"/>
      <c r="D28" s="1613"/>
      <c r="F28" s="1613"/>
      <c r="H28" s="1613"/>
    </row>
    <row r="29" ht="17.25" customHeight="1">
      <c r="B29" s="1613"/>
      <c r="D29" s="1613"/>
      <c r="F29" s="1613"/>
      <c r="H29" s="1613"/>
    </row>
    <row r="30" ht="17.25" customHeight="1">
      <c r="B30" s="1613"/>
      <c r="D30" s="1613"/>
      <c r="F30" s="1613"/>
      <c r="H30" s="1613"/>
    </row>
    <row r="31" ht="17.25" customHeight="1">
      <c r="B31" s="1613"/>
      <c r="D31" s="1613"/>
      <c r="F31" s="1613"/>
      <c r="H31" s="1613"/>
    </row>
    <row r="32" ht="17.25" customHeight="1">
      <c r="B32" s="1613"/>
      <c r="D32" s="1613"/>
      <c r="F32" s="1613"/>
      <c r="H32" s="1613"/>
    </row>
    <row r="33" ht="17.25" customHeight="1">
      <c r="B33" s="1613"/>
      <c r="D33" s="1613"/>
      <c r="F33" s="1613"/>
      <c r="H33" s="1613"/>
    </row>
    <row r="34">
      <c r="B34" s="1613"/>
      <c r="D34" s="1613"/>
      <c r="F34" s="1613"/>
      <c r="H34" s="1613"/>
    </row>
    <row r="35">
      <c r="B35" s="1613"/>
      <c r="D35" s="1613"/>
      <c r="F35" s="1613"/>
      <c r="H35" s="1613"/>
    </row>
    <row r="36">
      <c r="B36" s="1613"/>
      <c r="D36" s="1613"/>
      <c r="F36" s="1613"/>
      <c r="H36" s="1613"/>
    </row>
    <row r="37">
      <c r="B37" s="1613"/>
      <c r="D37" s="1613"/>
      <c r="F37" s="1613"/>
      <c r="H37" s="1613"/>
    </row>
    <row r="38">
      <c r="B38" s="1613"/>
      <c r="D38" s="1613"/>
      <c r="F38" s="1613"/>
      <c r="H38" s="1613"/>
    </row>
    <row r="39">
      <c r="B39" s="1613"/>
      <c r="D39" s="1613"/>
      <c r="F39" s="1613"/>
      <c r="H39" s="1613"/>
    </row>
    <row r="40">
      <c r="B40" s="1613"/>
      <c r="D40" s="1613"/>
      <c r="F40" s="1613"/>
      <c r="H40" s="1613"/>
    </row>
    <row r="41">
      <c r="B41" s="1613"/>
      <c r="D41" s="1613"/>
      <c r="F41" s="1613"/>
      <c r="H41" s="1613"/>
    </row>
    <row r="42">
      <c r="B42" s="1613"/>
      <c r="D42" s="1613"/>
      <c r="F42" s="1613"/>
      <c r="H42" s="1613"/>
    </row>
    <row r="43">
      <c r="B43" s="1613"/>
      <c r="D43" s="1613"/>
      <c r="F43" s="1613"/>
      <c r="H43" s="1613"/>
    </row>
    <row r="44">
      <c r="B44" s="1613"/>
      <c r="D44" s="1613"/>
      <c r="F44" s="1613"/>
      <c r="H44" s="1613"/>
    </row>
    <row r="45">
      <c r="B45" s="1613"/>
      <c r="D45" s="1613"/>
      <c r="F45" s="1613"/>
      <c r="H45" s="1613"/>
    </row>
    <row r="46">
      <c r="B46" s="1613"/>
      <c r="D46" s="1613"/>
      <c r="F46" s="1613"/>
      <c r="H46" s="1613"/>
    </row>
    <row r="47">
      <c r="B47" s="1613"/>
      <c r="D47" s="1613"/>
      <c r="F47" s="1613"/>
      <c r="H47" s="1613"/>
    </row>
    <row r="48">
      <c r="B48" s="1613"/>
      <c r="D48" s="1613"/>
      <c r="F48" s="1613"/>
      <c r="H48" s="1613"/>
    </row>
    <row r="49">
      <c r="B49" s="1613"/>
      <c r="D49" s="1613"/>
      <c r="F49" s="1613"/>
      <c r="H49" s="1613"/>
    </row>
    <row r="50">
      <c r="B50" s="1613"/>
      <c r="D50" s="1613"/>
      <c r="F50" s="1613"/>
      <c r="H50" s="1613"/>
    </row>
    <row r="51">
      <c r="B51" s="1613"/>
      <c r="D51" s="1613"/>
      <c r="F51" s="1613"/>
      <c r="H51" s="1613"/>
    </row>
    <row r="52">
      <c r="B52" s="1613"/>
      <c r="D52" s="1613"/>
      <c r="F52" s="1613"/>
      <c r="H52" s="1613"/>
    </row>
    <row r="53">
      <c r="B53" s="1613"/>
      <c r="D53" s="1613"/>
      <c r="F53" s="1613"/>
      <c r="H53" s="1613"/>
    </row>
    <row r="54">
      <c r="B54" s="1613"/>
      <c r="D54" s="1613"/>
      <c r="F54" s="1613"/>
      <c r="H54" s="1613"/>
    </row>
    <row r="55">
      <c r="B55" s="1613"/>
      <c r="D55" s="1613"/>
      <c r="F55" s="1613"/>
      <c r="H55" s="1613"/>
    </row>
    <row r="56">
      <c r="B56" s="1613"/>
      <c r="D56" s="1613"/>
      <c r="F56" s="1613"/>
      <c r="H56" s="1613"/>
    </row>
    <row r="57">
      <c r="B57" s="1613"/>
      <c r="D57" s="1613"/>
      <c r="F57" s="1613"/>
      <c r="H57" s="1613"/>
    </row>
    <row r="58">
      <c r="B58" s="1613"/>
      <c r="D58" s="1613"/>
      <c r="F58" s="1613"/>
      <c r="H58" s="1613"/>
    </row>
    <row r="59">
      <c r="B59" s="1613"/>
      <c r="D59" s="1613"/>
      <c r="F59" s="1613"/>
      <c r="H59" s="1613"/>
    </row>
    <row r="60">
      <c r="B60" s="1613"/>
      <c r="D60" s="1613"/>
      <c r="F60" s="1613"/>
      <c r="H60" s="1613"/>
    </row>
    <row r="61">
      <c r="B61" s="1613"/>
      <c r="D61" s="1613"/>
      <c r="F61" s="1613"/>
      <c r="H61" s="1613"/>
    </row>
    <row r="62">
      <c r="B62" s="1613"/>
      <c r="D62" s="1613"/>
      <c r="F62" s="1613"/>
      <c r="H62" s="1613"/>
    </row>
    <row r="63">
      <c r="B63" s="1613"/>
      <c r="D63" s="1613"/>
      <c r="F63" s="1613"/>
      <c r="H63" s="1613"/>
    </row>
    <row r="64">
      <c r="B64" s="1613"/>
      <c r="D64" s="1613"/>
      <c r="F64" s="1613"/>
      <c r="H64" s="1613"/>
    </row>
    <row r="65">
      <c r="B65" s="1613"/>
      <c r="D65" s="1613"/>
      <c r="F65" s="1613"/>
      <c r="H65" s="1613"/>
    </row>
    <row r="66">
      <c r="B66" s="1613"/>
      <c r="D66" s="1613"/>
      <c r="F66" s="1613"/>
      <c r="H66" s="1613"/>
    </row>
    <row r="67">
      <c r="B67" s="1613"/>
      <c r="D67" s="1613"/>
      <c r="F67" s="1613"/>
      <c r="H67" s="1613"/>
    </row>
    <row r="68">
      <c r="B68" s="1613"/>
      <c r="D68" s="1613"/>
      <c r="F68" s="1613"/>
      <c r="H68" s="1613"/>
    </row>
    <row r="69">
      <c r="B69" s="1613"/>
      <c r="D69" s="1613"/>
      <c r="F69" s="1613"/>
      <c r="H69" s="1613"/>
    </row>
    <row r="70">
      <c r="B70" s="1613"/>
      <c r="D70" s="1613"/>
      <c r="F70" s="1613"/>
      <c r="H70" s="1613"/>
    </row>
    <row r="71">
      <c r="B71" s="1613"/>
      <c r="D71" s="1613"/>
      <c r="F71" s="1613"/>
      <c r="H71" s="1613"/>
    </row>
    <row r="72">
      <c r="B72" s="1613"/>
      <c r="D72" s="1613"/>
      <c r="F72" s="1613"/>
      <c r="H72" s="1613"/>
    </row>
    <row r="73">
      <c r="B73" s="1613"/>
      <c r="D73" s="1613"/>
      <c r="F73" s="1613"/>
      <c r="H73" s="1613"/>
    </row>
    <row r="74">
      <c r="B74" s="1613"/>
      <c r="D74" s="1613"/>
      <c r="F74" s="1613"/>
      <c r="H74" s="1613"/>
    </row>
    <row r="75">
      <c r="B75" s="1613"/>
      <c r="D75" s="1613"/>
      <c r="F75" s="1613"/>
      <c r="H75" s="1613"/>
    </row>
    <row r="76">
      <c r="B76" s="1613"/>
      <c r="D76" s="1613"/>
      <c r="F76" s="1613"/>
      <c r="H76" s="1613"/>
    </row>
    <row r="77">
      <c r="B77" s="1613"/>
      <c r="D77" s="1613"/>
      <c r="F77" s="1613"/>
      <c r="H77" s="1613"/>
    </row>
    <row r="78">
      <c r="B78" s="1613"/>
      <c r="D78" s="1613"/>
      <c r="F78" s="1613"/>
      <c r="H78" s="1613"/>
    </row>
    <row r="79">
      <c r="B79" s="1613"/>
      <c r="D79" s="1613"/>
      <c r="F79" s="1613"/>
      <c r="H79" s="1613"/>
    </row>
    <row r="80">
      <c r="B80" s="1613"/>
      <c r="D80" s="1613"/>
      <c r="F80" s="1613"/>
      <c r="H80" s="1613"/>
    </row>
    <row r="81">
      <c r="B81" s="1613"/>
      <c r="D81" s="1613"/>
      <c r="F81" s="1613"/>
      <c r="H81" s="1613"/>
    </row>
    <row r="82">
      <c r="B82" s="1613"/>
      <c r="D82" s="1613"/>
      <c r="F82" s="1613"/>
      <c r="H82" s="1613"/>
    </row>
    <row r="83">
      <c r="B83" s="1613"/>
      <c r="D83" s="1613"/>
      <c r="F83" s="1613"/>
      <c r="H83" s="1613"/>
    </row>
    <row r="84">
      <c r="B84" s="1613"/>
      <c r="D84" s="1613"/>
      <c r="F84" s="1613"/>
      <c r="H84" s="1613"/>
    </row>
    <row r="85">
      <c r="B85" s="1613"/>
      <c r="D85" s="1613"/>
      <c r="F85" s="1613"/>
      <c r="H85" s="1613"/>
    </row>
    <row r="86">
      <c r="B86" s="1613"/>
      <c r="D86" s="1613"/>
      <c r="F86" s="1613"/>
      <c r="H86" s="1613"/>
    </row>
    <row r="87">
      <c r="B87" s="1613"/>
      <c r="D87" s="1613"/>
      <c r="F87" s="1613"/>
      <c r="H87" s="1613"/>
    </row>
    <row r="88">
      <c r="B88" s="1613"/>
      <c r="D88" s="1613"/>
      <c r="F88" s="1613"/>
      <c r="H88" s="1613"/>
    </row>
    <row r="89">
      <c r="B89" s="1613"/>
      <c r="D89" s="1613"/>
      <c r="F89" s="1613"/>
      <c r="H89" s="1613"/>
    </row>
    <row r="90">
      <c r="B90" s="1613"/>
      <c r="D90" s="1613"/>
      <c r="F90" s="1613"/>
      <c r="H90" s="1613"/>
    </row>
    <row r="91">
      <c r="B91" s="1613"/>
      <c r="D91" s="1613"/>
      <c r="F91" s="1613"/>
      <c r="H91" s="1613"/>
    </row>
    <row r="92">
      <c r="B92" s="1613"/>
      <c r="D92" s="1613"/>
      <c r="F92" s="1613"/>
      <c r="H92" s="1613"/>
    </row>
    <row r="93">
      <c r="B93" s="1613"/>
      <c r="D93" s="1613"/>
      <c r="F93" s="1613"/>
      <c r="H93" s="1613"/>
    </row>
    <row r="94">
      <c r="B94" s="1613"/>
      <c r="D94" s="1613"/>
      <c r="F94" s="1613"/>
      <c r="H94" s="1613"/>
    </row>
    <row r="95">
      <c r="B95" s="1613"/>
      <c r="D95" s="1613"/>
      <c r="F95" s="1613"/>
      <c r="H95" s="1613"/>
    </row>
    <row r="96">
      <c r="B96" s="1613"/>
      <c r="D96" s="1613"/>
      <c r="F96" s="1613"/>
      <c r="H96" s="1613"/>
    </row>
    <row r="97">
      <c r="B97" s="1613"/>
      <c r="D97" s="1613"/>
      <c r="F97" s="1613"/>
      <c r="H97" s="1613"/>
    </row>
    <row r="98">
      <c r="B98" s="1613"/>
      <c r="D98" s="1613"/>
      <c r="F98" s="1613"/>
      <c r="H98" s="1613"/>
    </row>
    <row r="99">
      <c r="B99" s="1613"/>
      <c r="D99" s="1613"/>
      <c r="F99" s="1613"/>
      <c r="H99" s="1613"/>
    </row>
    <row r="100">
      <c r="B100" s="1613"/>
      <c r="D100" s="1613"/>
      <c r="F100" s="1613"/>
      <c r="H100" s="1613"/>
    </row>
    <row r="101">
      <c r="B101" s="1613"/>
      <c r="D101" s="1613"/>
      <c r="F101" s="1613"/>
      <c r="H101" s="1613"/>
    </row>
    <row r="102">
      <c r="B102" s="1613"/>
      <c r="D102" s="1613"/>
      <c r="F102" s="1613"/>
      <c r="H102" s="1613"/>
    </row>
    <row r="103">
      <c r="B103" s="1613"/>
      <c r="D103" s="1613"/>
      <c r="F103" s="1613"/>
      <c r="H103" s="1613"/>
    </row>
    <row r="104">
      <c r="B104" s="1613"/>
      <c r="D104" s="1613"/>
      <c r="F104" s="1613"/>
      <c r="H104" s="1613"/>
    </row>
    <row r="105">
      <c r="B105" s="1613"/>
      <c r="D105" s="1613"/>
      <c r="F105" s="1613"/>
      <c r="H105" s="1613"/>
    </row>
    <row r="106">
      <c r="B106" s="1613"/>
      <c r="D106" s="1613"/>
      <c r="F106" s="1613"/>
      <c r="H106" s="1613"/>
    </row>
    <row r="107">
      <c r="B107" s="1613"/>
      <c r="D107" s="1613"/>
      <c r="F107" s="1613"/>
      <c r="H107" s="1613"/>
    </row>
    <row r="108">
      <c r="B108" s="1613"/>
      <c r="D108" s="1613"/>
      <c r="F108" s="1613"/>
      <c r="H108" s="1613"/>
    </row>
    <row r="109">
      <c r="B109" s="1613"/>
      <c r="D109" s="1613"/>
      <c r="F109" s="1613"/>
      <c r="H109" s="1613"/>
    </row>
    <row r="110">
      <c r="B110" s="1613"/>
      <c r="D110" s="1613"/>
      <c r="F110" s="1613"/>
      <c r="H110" s="1613"/>
    </row>
    <row r="111">
      <c r="B111" s="1613"/>
      <c r="D111" s="1613"/>
      <c r="F111" s="1613"/>
      <c r="H111" s="1613"/>
    </row>
    <row r="112">
      <c r="B112" s="1613"/>
      <c r="D112" s="1613"/>
      <c r="F112" s="1613"/>
      <c r="H112" s="1613"/>
    </row>
    <row r="113">
      <c r="B113" s="1613"/>
      <c r="D113" s="1613"/>
      <c r="F113" s="1613"/>
      <c r="H113" s="1613"/>
    </row>
    <row r="114">
      <c r="B114" s="1613"/>
      <c r="D114" s="1613"/>
      <c r="F114" s="1613"/>
      <c r="H114" s="1613"/>
    </row>
    <row r="115">
      <c r="B115" s="1613"/>
      <c r="D115" s="1613"/>
      <c r="F115" s="1613"/>
      <c r="H115" s="1613"/>
    </row>
    <row r="116">
      <c r="B116" s="1613"/>
      <c r="D116" s="1613"/>
      <c r="F116" s="1613"/>
      <c r="H116" s="1613"/>
    </row>
    <row r="117">
      <c r="B117" s="1613"/>
      <c r="D117" s="1613"/>
      <c r="F117" s="1613"/>
      <c r="H117" s="1613"/>
    </row>
    <row r="118">
      <c r="B118" s="1613"/>
      <c r="D118" s="1613"/>
      <c r="F118" s="1613"/>
      <c r="H118" s="1613"/>
    </row>
    <row r="119">
      <c r="B119" s="1613"/>
      <c r="D119" s="1613"/>
      <c r="F119" s="1613"/>
      <c r="H119" s="1613"/>
    </row>
    <row r="120">
      <c r="B120" s="1613"/>
      <c r="D120" s="1613"/>
      <c r="F120" s="1613"/>
      <c r="H120" s="1613"/>
    </row>
    <row r="121">
      <c r="B121" s="1613"/>
      <c r="D121" s="1613"/>
      <c r="F121" s="1613"/>
      <c r="H121" s="1613"/>
    </row>
    <row r="122">
      <c r="B122" s="1613"/>
      <c r="D122" s="1613"/>
      <c r="F122" s="1613"/>
      <c r="H122" s="1613"/>
    </row>
    <row r="123">
      <c r="B123" s="1613"/>
      <c r="D123" s="1613"/>
      <c r="F123" s="1613"/>
      <c r="H123" s="1613"/>
    </row>
    <row r="124">
      <c r="B124" s="1613"/>
      <c r="D124" s="1613"/>
      <c r="F124" s="1613"/>
      <c r="H124" s="1613"/>
    </row>
    <row r="125">
      <c r="B125" s="1613"/>
      <c r="D125" s="1613"/>
      <c r="F125" s="1613"/>
      <c r="H125" s="1613"/>
    </row>
    <row r="126">
      <c r="B126" s="1613"/>
      <c r="D126" s="1613"/>
      <c r="F126" s="1613"/>
      <c r="H126" s="1613"/>
    </row>
    <row r="127">
      <c r="B127" s="1613"/>
      <c r="D127" s="1613"/>
      <c r="F127" s="1613"/>
      <c r="H127" s="1613"/>
    </row>
    <row r="128">
      <c r="B128" s="1613"/>
      <c r="D128" s="1613"/>
      <c r="F128" s="1613"/>
      <c r="H128" s="1613"/>
    </row>
    <row r="129">
      <c r="B129" s="1613"/>
      <c r="D129" s="1613"/>
      <c r="F129" s="1613"/>
      <c r="H129" s="1613"/>
    </row>
    <row r="130">
      <c r="B130" s="1613"/>
      <c r="D130" s="1613"/>
      <c r="F130" s="1613"/>
      <c r="H130" s="1613"/>
    </row>
    <row r="131">
      <c r="B131" s="1613"/>
      <c r="D131" s="1613"/>
      <c r="F131" s="1613"/>
      <c r="H131" s="1613"/>
    </row>
    <row r="132">
      <c r="B132" s="1613"/>
      <c r="D132" s="1613"/>
      <c r="F132" s="1613"/>
      <c r="H132" s="1613"/>
    </row>
    <row r="133">
      <c r="B133" s="1613"/>
      <c r="D133" s="1613"/>
      <c r="F133" s="1613"/>
      <c r="H133" s="1613"/>
    </row>
    <row r="134">
      <c r="B134" s="1613"/>
      <c r="D134" s="1613"/>
      <c r="F134" s="1613"/>
      <c r="H134" s="1613"/>
    </row>
    <row r="135">
      <c r="B135" s="1613"/>
      <c r="D135" s="1613"/>
      <c r="F135" s="1613"/>
      <c r="H135" s="1613"/>
    </row>
    <row r="136">
      <c r="B136" s="1613"/>
      <c r="D136" s="1613"/>
      <c r="F136" s="1613"/>
      <c r="H136" s="1613"/>
    </row>
    <row r="137">
      <c r="B137" s="1613"/>
      <c r="D137" s="1613"/>
      <c r="F137" s="1613"/>
      <c r="H137" s="1613"/>
    </row>
    <row r="138">
      <c r="B138" s="1613"/>
      <c r="D138" s="1613"/>
      <c r="F138" s="1613"/>
      <c r="H138" s="1613"/>
    </row>
    <row r="139">
      <c r="B139" s="1613"/>
      <c r="D139" s="1613"/>
      <c r="F139" s="1613"/>
      <c r="H139" s="1613"/>
    </row>
    <row r="140">
      <c r="B140" s="1613"/>
      <c r="D140" s="1613"/>
      <c r="F140" s="1613"/>
      <c r="H140" s="1613"/>
    </row>
    <row r="141">
      <c r="B141" s="1613"/>
      <c r="D141" s="1613"/>
      <c r="F141" s="1613"/>
      <c r="H141" s="1613"/>
    </row>
    <row r="142">
      <c r="B142" s="1613"/>
      <c r="D142" s="1613"/>
      <c r="F142" s="1613"/>
      <c r="H142" s="1613"/>
    </row>
    <row r="143">
      <c r="B143" s="1613"/>
      <c r="D143" s="1613"/>
      <c r="F143" s="1613"/>
      <c r="H143" s="1613"/>
    </row>
    <row r="144">
      <c r="B144" s="1613"/>
      <c r="D144" s="1613"/>
      <c r="F144" s="1613"/>
      <c r="H144" s="1613"/>
    </row>
    <row r="145">
      <c r="B145" s="1613"/>
      <c r="D145" s="1613"/>
      <c r="F145" s="1613"/>
      <c r="H145" s="1613"/>
    </row>
    <row r="146">
      <c r="B146" s="1613"/>
      <c r="D146" s="1613"/>
      <c r="F146" s="1613"/>
      <c r="H146" s="1613"/>
    </row>
    <row r="147">
      <c r="B147" s="1613"/>
      <c r="D147" s="1613"/>
      <c r="F147" s="1613"/>
      <c r="H147" s="1613"/>
    </row>
    <row r="148">
      <c r="B148" s="1613"/>
      <c r="D148" s="1613"/>
      <c r="F148" s="1613"/>
      <c r="H148" s="1613"/>
    </row>
    <row r="149">
      <c r="B149" s="1613"/>
      <c r="D149" s="1613"/>
      <c r="F149" s="1613"/>
      <c r="H149" s="1613"/>
    </row>
    <row r="150">
      <c r="B150" s="1613"/>
      <c r="D150" s="1613"/>
      <c r="F150" s="1613"/>
      <c r="H150" s="1613"/>
    </row>
    <row r="151">
      <c r="B151" s="1613"/>
      <c r="D151" s="1613"/>
      <c r="F151" s="1613"/>
      <c r="H151" s="1613"/>
    </row>
    <row r="152">
      <c r="B152" s="1613"/>
      <c r="D152" s="1613"/>
      <c r="F152" s="1613"/>
      <c r="H152" s="1613"/>
    </row>
    <row r="153">
      <c r="B153" s="1613"/>
      <c r="D153" s="1613"/>
      <c r="F153" s="1613"/>
      <c r="H153" s="1613"/>
    </row>
    <row r="154">
      <c r="B154" s="1613"/>
      <c r="D154" s="1613"/>
      <c r="F154" s="1613"/>
      <c r="H154" s="1613"/>
    </row>
    <row r="155">
      <c r="B155" s="1613"/>
      <c r="D155" s="1613"/>
      <c r="F155" s="1613"/>
      <c r="H155" s="1613"/>
    </row>
    <row r="156">
      <c r="B156" s="1613"/>
      <c r="D156" s="1613"/>
      <c r="F156" s="1613"/>
      <c r="H156" s="1613"/>
    </row>
    <row r="157">
      <c r="B157" s="1613"/>
      <c r="D157" s="1613"/>
      <c r="F157" s="1613"/>
      <c r="H157" s="1613"/>
    </row>
    <row r="158">
      <c r="B158" s="1613"/>
      <c r="D158" s="1613"/>
      <c r="F158" s="1613"/>
      <c r="H158" s="1613"/>
    </row>
    <row r="159">
      <c r="B159" s="1613"/>
      <c r="D159" s="1613"/>
      <c r="F159" s="1613"/>
      <c r="H159" s="1613"/>
    </row>
    <row r="160">
      <c r="B160" s="1613"/>
      <c r="D160" s="1613"/>
      <c r="F160" s="1613"/>
      <c r="H160" s="1613"/>
    </row>
    <row r="161">
      <c r="B161" s="1613"/>
      <c r="D161" s="1613"/>
      <c r="F161" s="1613"/>
      <c r="H161" s="1613"/>
    </row>
    <row r="162">
      <c r="B162" s="1613"/>
      <c r="D162" s="1613"/>
      <c r="F162" s="1613"/>
      <c r="H162" s="1613"/>
    </row>
    <row r="163">
      <c r="B163" s="1613"/>
      <c r="D163" s="1613"/>
      <c r="F163" s="1613"/>
      <c r="H163" s="1613"/>
    </row>
    <row r="164">
      <c r="B164" s="1613"/>
      <c r="D164" s="1613"/>
      <c r="F164" s="1613"/>
      <c r="H164" s="1613"/>
    </row>
    <row r="165">
      <c r="B165" s="1613"/>
      <c r="D165" s="1613"/>
      <c r="F165" s="1613"/>
      <c r="H165" s="1613"/>
    </row>
    <row r="166">
      <c r="B166" s="1613"/>
      <c r="D166" s="1613"/>
      <c r="F166" s="1613"/>
      <c r="H166" s="1613"/>
    </row>
    <row r="167">
      <c r="B167" s="1613"/>
      <c r="D167" s="1613"/>
      <c r="F167" s="1613"/>
      <c r="H167" s="1613"/>
    </row>
    <row r="168">
      <c r="B168" s="1613"/>
      <c r="D168" s="1613"/>
      <c r="F168" s="1613"/>
      <c r="H168" s="1613"/>
    </row>
    <row r="169">
      <c r="B169" s="1613"/>
      <c r="D169" s="1613"/>
      <c r="F169" s="1613"/>
      <c r="H169" s="1613"/>
    </row>
    <row r="170">
      <c r="B170" s="1613"/>
      <c r="D170" s="1613"/>
      <c r="F170" s="1613"/>
      <c r="H170" s="1613"/>
    </row>
    <row r="171">
      <c r="B171" s="1613"/>
      <c r="D171" s="1613"/>
      <c r="F171" s="1613"/>
      <c r="H171" s="1613"/>
    </row>
    <row r="172">
      <c r="B172" s="1613"/>
      <c r="D172" s="1613"/>
      <c r="F172" s="1613"/>
      <c r="H172" s="1613"/>
    </row>
    <row r="173">
      <c r="B173" s="1613"/>
      <c r="D173" s="1613"/>
      <c r="F173" s="1613"/>
      <c r="H173" s="1613"/>
    </row>
    <row r="174">
      <c r="B174" s="1613"/>
      <c r="D174" s="1613"/>
      <c r="F174" s="1613"/>
      <c r="H174" s="1613"/>
    </row>
    <row r="175">
      <c r="B175" s="1613"/>
      <c r="D175" s="1613"/>
      <c r="F175" s="1613"/>
      <c r="H175" s="1613"/>
    </row>
    <row r="176">
      <c r="B176" s="1613"/>
      <c r="D176" s="1613"/>
      <c r="F176" s="1613"/>
      <c r="H176" s="1613"/>
    </row>
    <row r="177">
      <c r="B177" s="1613"/>
      <c r="D177" s="1613"/>
      <c r="F177" s="1613"/>
      <c r="H177" s="1613"/>
    </row>
    <row r="178">
      <c r="B178" s="1613"/>
      <c r="D178" s="1613"/>
      <c r="F178" s="1613"/>
      <c r="H178" s="1613"/>
    </row>
    <row r="179">
      <c r="B179" s="1613"/>
      <c r="D179" s="1613"/>
      <c r="F179" s="1613"/>
      <c r="H179" s="1613"/>
    </row>
    <row r="180">
      <c r="B180" s="1613"/>
      <c r="D180" s="1613"/>
      <c r="F180" s="1613"/>
      <c r="H180" s="1613"/>
    </row>
    <row r="181">
      <c r="B181" s="1613"/>
      <c r="D181" s="1613"/>
      <c r="F181" s="1613"/>
      <c r="H181" s="1613"/>
    </row>
    <row r="182">
      <c r="B182" s="1613"/>
      <c r="D182" s="1613"/>
      <c r="F182" s="1613"/>
      <c r="H182" s="1613"/>
    </row>
    <row r="183">
      <c r="B183" s="1613"/>
      <c r="D183" s="1613"/>
      <c r="F183" s="1613"/>
      <c r="H183" s="1613"/>
    </row>
    <row r="184">
      <c r="B184" s="1613"/>
      <c r="D184" s="1613"/>
      <c r="F184" s="1613"/>
      <c r="H184" s="1613"/>
    </row>
    <row r="185">
      <c r="B185" s="1613"/>
      <c r="D185" s="1613"/>
      <c r="F185" s="1613"/>
      <c r="H185" s="1613"/>
    </row>
    <row r="186">
      <c r="B186" s="1613"/>
      <c r="D186" s="1613"/>
      <c r="F186" s="1613"/>
      <c r="H186" s="1613"/>
    </row>
    <row r="187">
      <c r="B187" s="1613"/>
      <c r="D187" s="1613"/>
      <c r="F187" s="1613"/>
      <c r="H187" s="1613"/>
    </row>
    <row r="188">
      <c r="B188" s="1613"/>
      <c r="D188" s="1613"/>
      <c r="F188" s="1613"/>
      <c r="H188" s="1613"/>
    </row>
    <row r="189">
      <c r="B189" s="1613"/>
      <c r="D189" s="1613"/>
      <c r="F189" s="1613"/>
      <c r="H189" s="1613"/>
    </row>
    <row r="190">
      <c r="B190" s="1613"/>
      <c r="D190" s="1613"/>
      <c r="F190" s="1613"/>
      <c r="H190" s="1613"/>
    </row>
    <row r="191">
      <c r="B191" s="1613"/>
      <c r="D191" s="1613"/>
      <c r="F191" s="1613"/>
      <c r="H191" s="1613"/>
    </row>
    <row r="192">
      <c r="B192" s="1613"/>
      <c r="D192" s="1613"/>
      <c r="F192" s="1613"/>
      <c r="H192" s="1613"/>
    </row>
    <row r="193">
      <c r="B193" s="1613"/>
      <c r="D193" s="1613"/>
      <c r="F193" s="1613"/>
      <c r="H193" s="1613"/>
    </row>
    <row r="194">
      <c r="B194" s="1613"/>
      <c r="D194" s="1613"/>
      <c r="F194" s="1613"/>
      <c r="H194" s="1613"/>
    </row>
    <row r="195">
      <c r="B195" s="1613"/>
      <c r="D195" s="1613"/>
      <c r="F195" s="1613"/>
      <c r="H195" s="1613"/>
    </row>
    <row r="196">
      <c r="B196" s="1613"/>
      <c r="D196" s="1613"/>
      <c r="F196" s="1613"/>
      <c r="H196" s="1613"/>
    </row>
    <row r="197">
      <c r="B197" s="1613"/>
      <c r="D197" s="1613"/>
      <c r="F197" s="1613"/>
      <c r="H197" s="1613"/>
    </row>
    <row r="198">
      <c r="B198" s="1613"/>
      <c r="D198" s="1613"/>
      <c r="F198" s="1613"/>
      <c r="H198" s="1613"/>
    </row>
    <row r="199">
      <c r="B199" s="1613"/>
      <c r="D199" s="1613"/>
      <c r="F199" s="1613"/>
      <c r="H199" s="1613"/>
    </row>
    <row r="200">
      <c r="B200" s="1613"/>
      <c r="D200" s="1613"/>
      <c r="F200" s="1613"/>
      <c r="H200" s="1613"/>
    </row>
    <row r="201">
      <c r="B201" s="1613"/>
      <c r="D201" s="1613"/>
      <c r="F201" s="1613"/>
      <c r="H201" s="1613"/>
    </row>
    <row r="202">
      <c r="B202" s="1613"/>
      <c r="D202" s="1613"/>
      <c r="F202" s="1613"/>
      <c r="H202" s="1613"/>
    </row>
    <row r="203">
      <c r="B203" s="1613"/>
      <c r="D203" s="1613"/>
      <c r="F203" s="1613"/>
      <c r="H203" s="1613"/>
    </row>
    <row r="204">
      <c r="B204" s="1613"/>
      <c r="D204" s="1613"/>
      <c r="F204" s="1613"/>
      <c r="H204" s="1613"/>
    </row>
    <row r="205">
      <c r="B205" s="1613"/>
      <c r="D205" s="1613"/>
      <c r="F205" s="1613"/>
      <c r="H205" s="1613"/>
    </row>
    <row r="206">
      <c r="B206" s="1613"/>
      <c r="D206" s="1613"/>
      <c r="F206" s="1613"/>
      <c r="H206" s="1613"/>
    </row>
    <row r="207">
      <c r="B207" s="1613"/>
      <c r="D207" s="1613"/>
      <c r="F207" s="1613"/>
      <c r="H207" s="1613"/>
    </row>
    <row r="208">
      <c r="B208" s="1613"/>
      <c r="D208" s="1613"/>
      <c r="F208" s="1613"/>
      <c r="H208" s="1613"/>
    </row>
    <row r="209">
      <c r="B209" s="1613"/>
      <c r="D209" s="1613"/>
      <c r="F209" s="1613"/>
      <c r="H209" s="1613"/>
    </row>
    <row r="210">
      <c r="B210" s="1613"/>
      <c r="D210" s="1613"/>
      <c r="F210" s="1613"/>
      <c r="H210" s="1613"/>
    </row>
    <row r="211">
      <c r="B211" s="1613"/>
      <c r="D211" s="1613"/>
      <c r="F211" s="1613"/>
      <c r="H211" s="1613"/>
    </row>
    <row r="212">
      <c r="B212" s="1613"/>
      <c r="D212" s="1613"/>
      <c r="F212" s="1613"/>
      <c r="H212" s="1613"/>
    </row>
    <row r="213">
      <c r="B213" s="1613"/>
      <c r="D213" s="1613"/>
      <c r="F213" s="1613"/>
      <c r="H213" s="1613"/>
    </row>
    <row r="214">
      <c r="B214" s="1613"/>
      <c r="D214" s="1613"/>
      <c r="F214" s="1613"/>
      <c r="H214" s="1613"/>
    </row>
    <row r="215">
      <c r="B215" s="1613"/>
      <c r="D215" s="1613"/>
      <c r="F215" s="1613"/>
      <c r="H215" s="1613"/>
    </row>
    <row r="216">
      <c r="B216" s="1613"/>
      <c r="D216" s="1613"/>
      <c r="F216" s="1613"/>
      <c r="H216" s="1613"/>
    </row>
    <row r="217">
      <c r="B217" s="1613"/>
      <c r="D217" s="1613"/>
      <c r="F217" s="1613"/>
      <c r="H217" s="1613"/>
    </row>
    <row r="218">
      <c r="B218" s="1613"/>
      <c r="D218" s="1613"/>
      <c r="F218" s="1613"/>
      <c r="H218" s="1613"/>
    </row>
    <row r="219">
      <c r="B219" s="1613"/>
      <c r="D219" s="1613"/>
      <c r="F219" s="1613"/>
      <c r="H219" s="1613"/>
    </row>
    <row r="220">
      <c r="B220" s="1613"/>
      <c r="D220" s="1613"/>
      <c r="F220" s="1613"/>
      <c r="H220" s="1613"/>
    </row>
    <row r="221">
      <c r="B221" s="1613"/>
      <c r="D221" s="1613"/>
      <c r="F221" s="1613"/>
      <c r="H221" s="1613"/>
    </row>
    <row r="222">
      <c r="B222" s="1613"/>
      <c r="D222" s="1613"/>
      <c r="F222" s="1613"/>
      <c r="H222" s="1613"/>
    </row>
    <row r="223">
      <c r="B223" s="1613"/>
      <c r="D223" s="1613"/>
      <c r="F223" s="1613"/>
      <c r="H223" s="1613"/>
    </row>
    <row r="224">
      <c r="B224" s="1613"/>
      <c r="D224" s="1613"/>
      <c r="F224" s="1613"/>
      <c r="H224" s="1613"/>
    </row>
    <row r="225">
      <c r="B225" s="1613"/>
      <c r="D225" s="1613"/>
      <c r="F225" s="1613"/>
      <c r="H225" s="1613"/>
    </row>
    <row r="226">
      <c r="B226" s="1613"/>
      <c r="D226" s="1613"/>
      <c r="F226" s="1613"/>
      <c r="H226" s="1613"/>
    </row>
    <row r="227">
      <c r="B227" s="1613"/>
      <c r="D227" s="1613"/>
      <c r="F227" s="1613"/>
      <c r="H227" s="1613"/>
    </row>
    <row r="228">
      <c r="B228" s="1613"/>
      <c r="D228" s="1613"/>
      <c r="F228" s="1613"/>
      <c r="H228" s="1613"/>
    </row>
    <row r="229">
      <c r="B229" s="1613"/>
      <c r="D229" s="1613"/>
      <c r="F229" s="1613"/>
      <c r="H229" s="1613"/>
    </row>
    <row r="230">
      <c r="B230" s="1613"/>
      <c r="D230" s="1613"/>
      <c r="F230" s="1613"/>
      <c r="H230" s="1613"/>
    </row>
    <row r="231">
      <c r="B231" s="1613"/>
      <c r="D231" s="1613"/>
      <c r="F231" s="1613"/>
      <c r="H231" s="1613"/>
    </row>
    <row r="232">
      <c r="B232" s="1613"/>
      <c r="D232" s="1613"/>
      <c r="F232" s="1613"/>
      <c r="H232" s="1613"/>
    </row>
    <row r="233">
      <c r="B233" s="1613"/>
      <c r="D233" s="1613"/>
      <c r="F233" s="1613"/>
      <c r="H233" s="1613"/>
    </row>
    <row r="234">
      <c r="B234" s="1613"/>
      <c r="D234" s="1613"/>
      <c r="F234" s="1613"/>
      <c r="H234" s="1613"/>
    </row>
    <row r="235">
      <c r="B235" s="1613"/>
      <c r="D235" s="1613"/>
      <c r="F235" s="1613"/>
      <c r="H235" s="1613"/>
    </row>
    <row r="236">
      <c r="B236" s="1613"/>
      <c r="D236" s="1613"/>
      <c r="F236" s="1613"/>
      <c r="H236" s="1613"/>
    </row>
    <row r="237">
      <c r="B237" s="1613"/>
      <c r="D237" s="1613"/>
      <c r="F237" s="1613"/>
      <c r="H237" s="1613"/>
    </row>
    <row r="238">
      <c r="B238" s="1613"/>
      <c r="D238" s="1613"/>
      <c r="F238" s="1613"/>
      <c r="H238" s="1613"/>
    </row>
    <row r="239">
      <c r="B239" s="1613"/>
      <c r="D239" s="1613"/>
      <c r="F239" s="1613"/>
      <c r="H239" s="1613"/>
    </row>
    <row r="240">
      <c r="B240" s="1613"/>
      <c r="D240" s="1613"/>
      <c r="F240" s="1613"/>
      <c r="H240" s="1613"/>
    </row>
    <row r="241">
      <c r="B241" s="1613"/>
      <c r="D241" s="1613"/>
      <c r="F241" s="1613"/>
      <c r="H241" s="1613"/>
    </row>
    <row r="242">
      <c r="B242" s="1613"/>
      <c r="D242" s="1613"/>
      <c r="F242" s="1613"/>
      <c r="H242" s="1613"/>
    </row>
    <row r="243">
      <c r="B243" s="1613"/>
      <c r="D243" s="1613"/>
      <c r="F243" s="1613"/>
      <c r="H243" s="1613"/>
    </row>
    <row r="244">
      <c r="B244" s="1613"/>
      <c r="D244" s="1613"/>
      <c r="F244" s="1613"/>
      <c r="H244" s="1613"/>
    </row>
    <row r="245">
      <c r="B245" s="1613"/>
      <c r="D245" s="1613"/>
      <c r="F245" s="1613"/>
      <c r="H245" s="1613"/>
    </row>
    <row r="246">
      <c r="B246" s="1613"/>
      <c r="D246" s="1613"/>
      <c r="F246" s="1613"/>
      <c r="H246" s="1613"/>
    </row>
    <row r="247">
      <c r="B247" s="1613"/>
      <c r="D247" s="1613"/>
      <c r="F247" s="1613"/>
      <c r="H247" s="1613"/>
    </row>
    <row r="248">
      <c r="B248" s="1613"/>
      <c r="D248" s="1613"/>
      <c r="F248" s="1613"/>
      <c r="H248" s="1613"/>
    </row>
    <row r="249">
      <c r="B249" s="1613"/>
      <c r="D249" s="1613"/>
      <c r="F249" s="1613"/>
      <c r="H249" s="1613"/>
    </row>
    <row r="250">
      <c r="B250" s="1613"/>
      <c r="D250" s="1613"/>
      <c r="F250" s="1613"/>
      <c r="H250" s="1613"/>
    </row>
    <row r="251">
      <c r="B251" s="1613"/>
      <c r="D251" s="1613"/>
      <c r="F251" s="1613"/>
      <c r="H251" s="1613"/>
    </row>
    <row r="252">
      <c r="B252" s="1613"/>
      <c r="D252" s="1613"/>
      <c r="F252" s="1613"/>
      <c r="H252" s="1613"/>
    </row>
    <row r="253">
      <c r="B253" s="1613"/>
      <c r="D253" s="1613"/>
      <c r="F253" s="1613"/>
      <c r="H253" s="1613"/>
    </row>
    <row r="254">
      <c r="B254" s="1613"/>
      <c r="D254" s="1613"/>
      <c r="F254" s="1613"/>
      <c r="H254" s="1613"/>
    </row>
    <row r="255">
      <c r="B255" s="1613"/>
      <c r="D255" s="1613"/>
      <c r="F255" s="1613"/>
      <c r="H255" s="1613"/>
    </row>
    <row r="256">
      <c r="B256" s="1613"/>
      <c r="D256" s="1613"/>
      <c r="F256" s="1613"/>
      <c r="H256" s="1613"/>
    </row>
    <row r="257">
      <c r="B257" s="1613"/>
      <c r="D257" s="1613"/>
      <c r="F257" s="1613"/>
      <c r="H257" s="1613"/>
    </row>
    <row r="258">
      <c r="B258" s="1613"/>
      <c r="D258" s="1613"/>
      <c r="F258" s="1613"/>
      <c r="H258" s="1613"/>
    </row>
    <row r="259">
      <c r="B259" s="1613"/>
      <c r="D259" s="1613"/>
      <c r="F259" s="1613"/>
      <c r="H259" s="1613"/>
    </row>
    <row r="260">
      <c r="B260" s="1613"/>
      <c r="D260" s="1613"/>
      <c r="F260" s="1613"/>
      <c r="H260" s="1613"/>
    </row>
    <row r="261">
      <c r="B261" s="1613"/>
      <c r="D261" s="1613"/>
      <c r="F261" s="1613"/>
      <c r="H261" s="1613"/>
    </row>
    <row r="262">
      <c r="B262" s="1613"/>
      <c r="D262" s="1613"/>
      <c r="F262" s="1613"/>
      <c r="H262" s="1613"/>
    </row>
    <row r="263">
      <c r="B263" s="1613"/>
      <c r="D263" s="1613"/>
      <c r="F263" s="1613"/>
      <c r="H263" s="1613"/>
    </row>
    <row r="264">
      <c r="B264" s="1613"/>
      <c r="D264" s="1613"/>
      <c r="F264" s="1613"/>
      <c r="H264" s="1613"/>
    </row>
    <row r="265">
      <c r="B265" s="1613"/>
      <c r="D265" s="1613"/>
      <c r="F265" s="1613"/>
      <c r="H265" s="1613"/>
    </row>
    <row r="266">
      <c r="B266" s="1613"/>
      <c r="D266" s="1613"/>
      <c r="F266" s="1613"/>
      <c r="H266" s="1613"/>
    </row>
    <row r="267">
      <c r="B267" s="1613"/>
      <c r="D267" s="1613"/>
      <c r="F267" s="1613"/>
      <c r="H267" s="1613"/>
    </row>
    <row r="268">
      <c r="B268" s="1613"/>
      <c r="D268" s="1613"/>
      <c r="F268" s="1613"/>
      <c r="H268" s="1613"/>
    </row>
    <row r="269">
      <c r="B269" s="1613"/>
      <c r="D269" s="1613"/>
      <c r="F269" s="1613"/>
      <c r="H269" s="1613"/>
    </row>
    <row r="270">
      <c r="B270" s="1613"/>
      <c r="D270" s="1613"/>
      <c r="F270" s="1613"/>
      <c r="H270" s="1613"/>
    </row>
    <row r="271">
      <c r="B271" s="1613"/>
      <c r="D271" s="1613"/>
      <c r="F271" s="1613"/>
      <c r="H271" s="1613"/>
    </row>
    <row r="272">
      <c r="B272" s="1613"/>
      <c r="D272" s="1613"/>
      <c r="F272" s="1613"/>
      <c r="H272" s="1613"/>
    </row>
    <row r="273">
      <c r="B273" s="1613"/>
      <c r="D273" s="1613"/>
      <c r="F273" s="1613"/>
      <c r="H273" s="1613"/>
    </row>
    <row r="274">
      <c r="B274" s="1613"/>
      <c r="D274" s="1613"/>
      <c r="F274" s="1613"/>
      <c r="H274" s="1613"/>
    </row>
    <row r="275">
      <c r="B275" s="1613"/>
      <c r="D275" s="1613"/>
      <c r="F275" s="1613"/>
      <c r="H275" s="1613"/>
    </row>
    <row r="276">
      <c r="B276" s="1613"/>
      <c r="D276" s="1613"/>
      <c r="F276" s="1613"/>
      <c r="H276" s="1613"/>
    </row>
    <row r="277">
      <c r="B277" s="1613"/>
      <c r="D277" s="1613"/>
      <c r="F277" s="1613"/>
      <c r="H277" s="1613"/>
    </row>
    <row r="278">
      <c r="B278" s="1613"/>
      <c r="D278" s="1613"/>
      <c r="F278" s="1613"/>
      <c r="H278" s="1613"/>
    </row>
    <row r="279">
      <c r="B279" s="1613"/>
      <c r="D279" s="1613"/>
      <c r="F279" s="1613"/>
      <c r="H279" s="1613"/>
    </row>
    <row r="280">
      <c r="B280" s="1613"/>
      <c r="D280" s="1613"/>
      <c r="F280" s="1613"/>
      <c r="H280" s="1613"/>
    </row>
    <row r="281">
      <c r="B281" s="1613"/>
      <c r="D281" s="1613"/>
      <c r="F281" s="1613"/>
      <c r="H281" s="1613"/>
    </row>
    <row r="282">
      <c r="B282" s="1613"/>
      <c r="D282" s="1613"/>
      <c r="F282" s="1613"/>
      <c r="H282" s="1613"/>
    </row>
    <row r="283">
      <c r="B283" s="1613"/>
      <c r="D283" s="1613"/>
      <c r="F283" s="1613"/>
      <c r="H283" s="1613"/>
    </row>
    <row r="284">
      <c r="B284" s="1613"/>
      <c r="D284" s="1613"/>
      <c r="F284" s="1613"/>
      <c r="H284" s="1613"/>
    </row>
    <row r="285">
      <c r="B285" s="1613"/>
      <c r="D285" s="1613"/>
      <c r="F285" s="1613"/>
      <c r="H285" s="1613"/>
    </row>
    <row r="286">
      <c r="B286" s="1613"/>
      <c r="D286" s="1613"/>
      <c r="F286" s="1613"/>
      <c r="H286" s="1613"/>
    </row>
    <row r="287">
      <c r="B287" s="1613"/>
      <c r="D287" s="1613"/>
      <c r="F287" s="1613"/>
      <c r="H287" s="1613"/>
    </row>
    <row r="288">
      <c r="B288" s="1613"/>
      <c r="D288" s="1613"/>
      <c r="F288" s="1613"/>
      <c r="H288" s="1613"/>
    </row>
    <row r="289">
      <c r="B289" s="1613"/>
      <c r="D289" s="1613"/>
      <c r="F289" s="1613"/>
      <c r="H289" s="1613"/>
    </row>
    <row r="290">
      <c r="B290" s="1613"/>
      <c r="D290" s="1613"/>
      <c r="F290" s="1613"/>
      <c r="H290" s="1613"/>
    </row>
    <row r="291">
      <c r="B291" s="1613"/>
      <c r="D291" s="1613"/>
      <c r="F291" s="1613"/>
      <c r="H291" s="1613"/>
    </row>
    <row r="292">
      <c r="B292" s="1613"/>
      <c r="D292" s="1613"/>
      <c r="F292" s="1613"/>
      <c r="H292" s="1613"/>
    </row>
    <row r="293">
      <c r="B293" s="1613"/>
      <c r="D293" s="1613"/>
      <c r="F293" s="1613"/>
      <c r="H293" s="1613"/>
    </row>
    <row r="294">
      <c r="B294" s="1613"/>
      <c r="D294" s="1613"/>
      <c r="F294" s="1613"/>
      <c r="H294" s="1613"/>
    </row>
    <row r="295">
      <c r="B295" s="1613"/>
      <c r="D295" s="1613"/>
      <c r="F295" s="1613"/>
      <c r="H295" s="1613"/>
    </row>
    <row r="296">
      <c r="B296" s="1613"/>
      <c r="D296" s="1613"/>
      <c r="F296" s="1613"/>
      <c r="H296" s="1613"/>
    </row>
    <row r="297">
      <c r="B297" s="1613"/>
      <c r="D297" s="1613"/>
      <c r="F297" s="1613"/>
      <c r="H297" s="1613"/>
    </row>
    <row r="298">
      <c r="B298" s="1613"/>
      <c r="D298" s="1613"/>
      <c r="F298" s="1613"/>
      <c r="H298" s="1613"/>
    </row>
    <row r="299">
      <c r="B299" s="1613"/>
      <c r="D299" s="1613"/>
      <c r="F299" s="1613"/>
      <c r="H299" s="1613"/>
    </row>
    <row r="300">
      <c r="B300" s="1613"/>
      <c r="D300" s="1613"/>
      <c r="F300" s="1613"/>
      <c r="H300" s="1613"/>
    </row>
    <row r="301">
      <c r="B301" s="1613"/>
      <c r="D301" s="1613"/>
      <c r="F301" s="1613"/>
      <c r="H301" s="1613"/>
    </row>
    <row r="302">
      <c r="B302" s="1613"/>
      <c r="D302" s="1613"/>
      <c r="F302" s="1613"/>
      <c r="H302" s="1613"/>
    </row>
    <row r="303">
      <c r="B303" s="1613"/>
      <c r="D303" s="1613"/>
      <c r="F303" s="1613"/>
      <c r="H303" s="1613"/>
    </row>
    <row r="304">
      <c r="B304" s="1613"/>
      <c r="D304" s="1613"/>
      <c r="F304" s="1613"/>
      <c r="H304" s="1613"/>
    </row>
    <row r="305">
      <c r="B305" s="1613"/>
      <c r="D305" s="1613"/>
      <c r="F305" s="1613"/>
      <c r="H305" s="1613"/>
    </row>
    <row r="306">
      <c r="B306" s="1613"/>
      <c r="D306" s="1613"/>
      <c r="F306" s="1613"/>
      <c r="H306" s="1613"/>
    </row>
    <row r="307">
      <c r="B307" s="1613"/>
      <c r="D307" s="1613"/>
      <c r="F307" s="1613"/>
      <c r="H307" s="1613"/>
    </row>
    <row r="308">
      <c r="B308" s="1613"/>
      <c r="D308" s="1613"/>
      <c r="F308" s="1613"/>
      <c r="H308" s="1613"/>
    </row>
    <row r="309">
      <c r="B309" s="1613"/>
      <c r="D309" s="1613"/>
      <c r="F309" s="1613"/>
      <c r="H309" s="1613"/>
    </row>
    <row r="310">
      <c r="B310" s="1613"/>
      <c r="D310" s="1613"/>
      <c r="F310" s="1613"/>
      <c r="H310" s="1613"/>
    </row>
    <row r="311">
      <c r="B311" s="1613"/>
      <c r="D311" s="1613"/>
      <c r="F311" s="1613"/>
      <c r="H311" s="1613"/>
    </row>
    <row r="312">
      <c r="B312" s="1613"/>
      <c r="D312" s="1613"/>
      <c r="F312" s="1613"/>
      <c r="H312" s="1613"/>
    </row>
    <row r="313">
      <c r="B313" s="1613"/>
      <c r="D313" s="1613"/>
      <c r="F313" s="1613"/>
      <c r="H313" s="1613"/>
    </row>
    <row r="314">
      <c r="B314" s="1613"/>
      <c r="D314" s="1613"/>
      <c r="F314" s="1613"/>
      <c r="H314" s="1613"/>
    </row>
    <row r="315">
      <c r="B315" s="1613"/>
      <c r="D315" s="1613"/>
      <c r="F315" s="1613"/>
      <c r="H315" s="1613"/>
    </row>
    <row r="316">
      <c r="B316" s="1613"/>
      <c r="D316" s="1613"/>
      <c r="F316" s="1613"/>
      <c r="H316" s="1613"/>
    </row>
    <row r="317">
      <c r="B317" s="1613"/>
      <c r="D317" s="1613"/>
      <c r="F317" s="1613"/>
      <c r="H317" s="1613"/>
    </row>
    <row r="318">
      <c r="B318" s="1613"/>
      <c r="D318" s="1613"/>
      <c r="F318" s="1613"/>
      <c r="H318" s="1613"/>
    </row>
    <row r="319">
      <c r="B319" s="1613"/>
      <c r="D319" s="1613"/>
      <c r="F319" s="1613"/>
      <c r="H319" s="1613"/>
    </row>
    <row r="320">
      <c r="B320" s="1613"/>
      <c r="D320" s="1613"/>
      <c r="F320" s="1613"/>
      <c r="H320" s="1613"/>
    </row>
    <row r="321">
      <c r="B321" s="1613"/>
      <c r="D321" s="1613"/>
      <c r="F321" s="1613"/>
      <c r="H321" s="1613"/>
    </row>
    <row r="322">
      <c r="B322" s="1613"/>
      <c r="D322" s="1613"/>
      <c r="F322" s="1613"/>
      <c r="H322" s="1613"/>
    </row>
    <row r="323">
      <c r="B323" s="1613"/>
      <c r="D323" s="1613"/>
      <c r="F323" s="1613"/>
      <c r="H323" s="1613"/>
    </row>
    <row r="324">
      <c r="B324" s="1613"/>
      <c r="D324" s="1613"/>
      <c r="F324" s="1613"/>
      <c r="H324" s="1613"/>
    </row>
    <row r="325">
      <c r="B325" s="1613"/>
      <c r="D325" s="1613"/>
      <c r="F325" s="1613"/>
      <c r="H325" s="1613"/>
    </row>
    <row r="326">
      <c r="B326" s="1613"/>
      <c r="D326" s="1613"/>
      <c r="F326" s="1613"/>
      <c r="H326" s="1613"/>
    </row>
    <row r="327">
      <c r="B327" s="1613"/>
      <c r="D327" s="1613"/>
      <c r="F327" s="1613"/>
      <c r="H327" s="1613"/>
    </row>
    <row r="328">
      <c r="B328" s="1613"/>
      <c r="D328" s="1613"/>
      <c r="F328" s="1613"/>
      <c r="H328" s="1613"/>
    </row>
    <row r="329">
      <c r="B329" s="1613"/>
      <c r="D329" s="1613"/>
      <c r="F329" s="1613"/>
      <c r="H329" s="1613"/>
    </row>
    <row r="330">
      <c r="B330" s="1613"/>
      <c r="D330" s="1613"/>
      <c r="F330" s="1613"/>
      <c r="H330" s="1613"/>
    </row>
    <row r="331">
      <c r="B331" s="1613"/>
      <c r="D331" s="1613"/>
      <c r="F331" s="1613"/>
      <c r="H331" s="1613"/>
    </row>
    <row r="332">
      <c r="B332" s="1613"/>
      <c r="D332" s="1613"/>
      <c r="F332" s="1613"/>
      <c r="H332" s="1613"/>
    </row>
    <row r="333">
      <c r="B333" s="1613"/>
      <c r="D333" s="1613"/>
      <c r="F333" s="1613"/>
      <c r="H333" s="1613"/>
    </row>
    <row r="334">
      <c r="B334" s="1613"/>
      <c r="D334" s="1613"/>
      <c r="F334" s="1613"/>
      <c r="H334" s="1613"/>
    </row>
    <row r="335">
      <c r="B335" s="1613"/>
      <c r="D335" s="1613"/>
      <c r="F335" s="1613"/>
      <c r="H335" s="1613"/>
    </row>
    <row r="336">
      <c r="B336" s="1613"/>
      <c r="D336" s="1613"/>
      <c r="F336" s="1613"/>
      <c r="H336" s="1613"/>
    </row>
    <row r="337">
      <c r="B337" s="1613"/>
      <c r="D337" s="1613"/>
      <c r="F337" s="1613"/>
      <c r="H337" s="1613"/>
    </row>
    <row r="338">
      <c r="B338" s="1613"/>
      <c r="D338" s="1613"/>
      <c r="F338" s="1613"/>
      <c r="H338" s="1613"/>
    </row>
    <row r="339">
      <c r="B339" s="1613"/>
      <c r="D339" s="1613"/>
      <c r="F339" s="1613"/>
      <c r="H339" s="1613"/>
    </row>
    <row r="340">
      <c r="B340" s="1613"/>
      <c r="D340" s="1613"/>
      <c r="F340" s="1613"/>
      <c r="H340" s="1613"/>
    </row>
    <row r="341">
      <c r="B341" s="1613"/>
      <c r="D341" s="1613"/>
      <c r="F341" s="1613"/>
      <c r="H341" s="1613"/>
    </row>
    <row r="342">
      <c r="B342" s="1613"/>
      <c r="D342" s="1613"/>
      <c r="F342" s="1613"/>
      <c r="H342" s="1613"/>
    </row>
    <row r="343">
      <c r="B343" s="1613"/>
      <c r="D343" s="1613"/>
      <c r="F343" s="1613"/>
      <c r="H343" s="1613"/>
    </row>
    <row r="344">
      <c r="B344" s="1613"/>
      <c r="D344" s="1613"/>
      <c r="F344" s="1613"/>
      <c r="H344" s="1613"/>
    </row>
    <row r="345">
      <c r="B345" s="1613"/>
      <c r="D345" s="1613"/>
      <c r="F345" s="1613"/>
      <c r="H345" s="1613"/>
    </row>
    <row r="346">
      <c r="B346" s="1613"/>
      <c r="D346" s="1613"/>
      <c r="F346" s="1613"/>
      <c r="H346" s="1613"/>
    </row>
    <row r="347">
      <c r="B347" s="1613"/>
      <c r="D347" s="1613"/>
      <c r="F347" s="1613"/>
      <c r="H347" s="1613"/>
    </row>
    <row r="348">
      <c r="B348" s="1613"/>
      <c r="D348" s="1613"/>
      <c r="F348" s="1613"/>
      <c r="H348" s="1613"/>
    </row>
    <row r="349">
      <c r="B349" s="1613"/>
      <c r="D349" s="1613"/>
      <c r="F349" s="1613"/>
      <c r="H349" s="1613"/>
    </row>
    <row r="350">
      <c r="B350" s="1613"/>
      <c r="D350" s="1613"/>
      <c r="F350" s="1613"/>
      <c r="H350" s="1613"/>
    </row>
    <row r="351">
      <c r="B351" s="1613"/>
      <c r="D351" s="1613"/>
      <c r="F351" s="1613"/>
      <c r="H351" s="1613"/>
    </row>
    <row r="352">
      <c r="B352" s="1613"/>
      <c r="D352" s="1613"/>
      <c r="F352" s="1613"/>
      <c r="H352" s="1613"/>
    </row>
    <row r="353">
      <c r="B353" s="1613"/>
      <c r="D353" s="1613"/>
      <c r="F353" s="1613"/>
      <c r="H353" s="1613"/>
    </row>
    <row r="354">
      <c r="B354" s="1613"/>
      <c r="D354" s="1613"/>
      <c r="F354" s="1613"/>
      <c r="H354" s="1613"/>
    </row>
    <row r="355">
      <c r="B355" s="1613"/>
      <c r="D355" s="1613"/>
      <c r="F355" s="1613"/>
      <c r="H355" s="1613"/>
    </row>
    <row r="356">
      <c r="B356" s="1613"/>
      <c r="D356" s="1613"/>
      <c r="F356" s="1613"/>
      <c r="H356" s="1613"/>
    </row>
    <row r="357">
      <c r="B357" s="1613"/>
      <c r="D357" s="1613"/>
      <c r="F357" s="1613"/>
      <c r="H357" s="1613"/>
    </row>
    <row r="358">
      <c r="B358" s="1613"/>
      <c r="D358" s="1613"/>
      <c r="F358" s="1613"/>
      <c r="H358" s="1613"/>
    </row>
    <row r="359">
      <c r="B359" s="1613"/>
      <c r="D359" s="1613"/>
      <c r="F359" s="1613"/>
      <c r="H359" s="1613"/>
    </row>
    <row r="360">
      <c r="B360" s="1613"/>
      <c r="D360" s="1613"/>
      <c r="F360" s="1613"/>
      <c r="H360" s="1613"/>
    </row>
    <row r="361">
      <c r="B361" s="1613"/>
      <c r="D361" s="1613"/>
      <c r="F361" s="1613"/>
      <c r="H361" s="1613"/>
    </row>
    <row r="362">
      <c r="B362" s="1613"/>
      <c r="D362" s="1613"/>
      <c r="F362" s="1613"/>
      <c r="H362" s="1613"/>
    </row>
    <row r="363">
      <c r="B363" s="1613"/>
      <c r="D363" s="1613"/>
      <c r="F363" s="1613"/>
      <c r="H363" s="1613"/>
    </row>
    <row r="364">
      <c r="B364" s="1613"/>
      <c r="D364" s="1613"/>
      <c r="F364" s="1613"/>
      <c r="H364" s="1613"/>
    </row>
    <row r="365">
      <c r="B365" s="1613"/>
      <c r="D365" s="1613"/>
      <c r="F365" s="1613"/>
      <c r="H365" s="1613"/>
    </row>
    <row r="366">
      <c r="B366" s="1613"/>
      <c r="D366" s="1613"/>
      <c r="F366" s="1613"/>
      <c r="H366" s="1613"/>
    </row>
    <row r="367">
      <c r="B367" s="1613"/>
      <c r="D367" s="1613"/>
      <c r="F367" s="1613"/>
      <c r="H367" s="1613"/>
    </row>
    <row r="368">
      <c r="B368" s="1613"/>
      <c r="D368" s="1613"/>
      <c r="F368" s="1613"/>
      <c r="H368" s="1613"/>
    </row>
    <row r="369">
      <c r="B369" s="1613"/>
      <c r="D369" s="1613"/>
      <c r="F369" s="1613"/>
      <c r="H369" s="1613"/>
    </row>
    <row r="370">
      <c r="B370" s="1613"/>
      <c r="D370" s="1613"/>
      <c r="F370" s="1613"/>
      <c r="H370" s="1613"/>
    </row>
    <row r="371">
      <c r="B371" s="1613"/>
      <c r="D371" s="1613"/>
      <c r="F371" s="1613"/>
      <c r="H371" s="1613"/>
    </row>
    <row r="372">
      <c r="B372" s="1613"/>
      <c r="D372" s="1613"/>
      <c r="F372" s="1613"/>
      <c r="H372" s="1613"/>
    </row>
    <row r="373">
      <c r="B373" s="1613"/>
      <c r="D373" s="1613"/>
      <c r="F373" s="1613"/>
      <c r="H373" s="1613"/>
    </row>
    <row r="374">
      <c r="B374" s="1613"/>
      <c r="D374" s="1613"/>
      <c r="F374" s="1613"/>
      <c r="H374" s="1613"/>
    </row>
    <row r="375">
      <c r="B375" s="1613"/>
      <c r="D375" s="1613"/>
      <c r="F375" s="1613"/>
      <c r="H375" s="1613"/>
    </row>
    <row r="376">
      <c r="B376" s="1613"/>
      <c r="D376" s="1613"/>
      <c r="F376" s="1613"/>
      <c r="H376" s="1613"/>
    </row>
    <row r="377">
      <c r="B377" s="1613"/>
      <c r="D377" s="1613"/>
      <c r="F377" s="1613"/>
      <c r="H377" s="1613"/>
    </row>
    <row r="378">
      <c r="B378" s="1613"/>
      <c r="D378" s="1613"/>
      <c r="F378" s="1613"/>
      <c r="H378" s="1613"/>
    </row>
    <row r="379">
      <c r="B379" s="1613"/>
      <c r="D379" s="1613"/>
      <c r="F379" s="1613"/>
      <c r="H379" s="1613"/>
    </row>
    <row r="380">
      <c r="B380" s="1613"/>
      <c r="D380" s="1613"/>
      <c r="F380" s="1613"/>
      <c r="H380" s="1613"/>
    </row>
    <row r="381">
      <c r="B381" s="1613"/>
      <c r="D381" s="1613"/>
      <c r="F381" s="1613"/>
      <c r="H381" s="1613"/>
    </row>
    <row r="382">
      <c r="B382" s="1613"/>
      <c r="D382" s="1613"/>
      <c r="F382" s="1613"/>
      <c r="H382" s="1613"/>
    </row>
    <row r="383">
      <c r="B383" s="1613"/>
      <c r="D383" s="1613"/>
      <c r="F383" s="1613"/>
      <c r="H383" s="1613"/>
    </row>
    <row r="384">
      <c r="B384" s="1613"/>
      <c r="D384" s="1613"/>
      <c r="F384" s="1613"/>
      <c r="H384" s="1613"/>
    </row>
    <row r="385">
      <c r="B385" s="1613"/>
      <c r="D385" s="1613"/>
      <c r="F385" s="1613"/>
      <c r="H385" s="1613"/>
    </row>
    <row r="386">
      <c r="B386" s="1613"/>
      <c r="D386" s="1613"/>
      <c r="F386" s="1613"/>
      <c r="H386" s="1613"/>
    </row>
    <row r="387">
      <c r="B387" s="1613"/>
      <c r="D387" s="1613"/>
      <c r="F387" s="1613"/>
      <c r="H387" s="1613"/>
    </row>
    <row r="388">
      <c r="B388" s="1613"/>
      <c r="D388" s="1613"/>
      <c r="F388" s="1613"/>
      <c r="H388" s="1613"/>
    </row>
    <row r="389">
      <c r="B389" s="1613"/>
      <c r="D389" s="1613"/>
      <c r="F389" s="1613"/>
      <c r="H389" s="1613"/>
    </row>
    <row r="390">
      <c r="B390" s="1613"/>
      <c r="D390" s="1613"/>
      <c r="F390" s="1613"/>
      <c r="H390" s="1613"/>
    </row>
    <row r="391">
      <c r="B391" s="1613"/>
      <c r="D391" s="1613"/>
      <c r="F391" s="1613"/>
      <c r="H391" s="1613"/>
    </row>
    <row r="392">
      <c r="B392" s="1613"/>
      <c r="D392" s="1613"/>
      <c r="F392" s="1613"/>
      <c r="H392" s="1613"/>
    </row>
    <row r="393">
      <c r="B393" s="1613"/>
      <c r="D393" s="1613"/>
      <c r="F393" s="1613"/>
      <c r="H393" s="1613"/>
    </row>
    <row r="394">
      <c r="B394" s="1613"/>
      <c r="D394" s="1613"/>
      <c r="F394" s="1613"/>
      <c r="H394" s="1613"/>
    </row>
    <row r="395">
      <c r="B395" s="1613"/>
      <c r="D395" s="1613"/>
      <c r="F395" s="1613"/>
      <c r="H395" s="1613"/>
    </row>
    <row r="396">
      <c r="B396" s="1613"/>
      <c r="D396" s="1613"/>
      <c r="F396" s="1613"/>
      <c r="H396" s="1613"/>
    </row>
    <row r="397">
      <c r="B397" s="1613"/>
      <c r="D397" s="1613"/>
      <c r="F397" s="1613"/>
      <c r="H397" s="1613"/>
    </row>
    <row r="398">
      <c r="B398" s="1613"/>
      <c r="D398" s="1613"/>
      <c r="F398" s="1613"/>
      <c r="H398" s="1613"/>
    </row>
    <row r="399">
      <c r="B399" s="1613"/>
      <c r="D399" s="1613"/>
      <c r="F399" s="1613"/>
      <c r="H399" s="1613"/>
    </row>
    <row r="400">
      <c r="B400" s="1613"/>
      <c r="D400" s="1613"/>
      <c r="F400" s="1613"/>
      <c r="H400" s="1613"/>
    </row>
    <row r="401">
      <c r="B401" s="1613"/>
      <c r="D401" s="1613"/>
      <c r="F401" s="1613"/>
      <c r="H401" s="1613"/>
    </row>
    <row r="402">
      <c r="B402" s="1613"/>
      <c r="D402" s="1613"/>
      <c r="F402" s="1613"/>
      <c r="H402" s="1613"/>
    </row>
    <row r="403">
      <c r="B403" s="1613"/>
      <c r="D403" s="1613"/>
      <c r="F403" s="1613"/>
      <c r="H403" s="1613"/>
    </row>
    <row r="404">
      <c r="B404" s="1613"/>
      <c r="D404" s="1613"/>
      <c r="F404" s="1613"/>
      <c r="H404" s="1613"/>
    </row>
    <row r="405">
      <c r="B405" s="1613"/>
      <c r="D405" s="1613"/>
      <c r="F405" s="1613"/>
      <c r="H405" s="1613"/>
    </row>
    <row r="406">
      <c r="B406" s="1613"/>
      <c r="D406" s="1613"/>
      <c r="F406" s="1613"/>
      <c r="H406" s="1613"/>
    </row>
    <row r="407">
      <c r="B407" s="1613"/>
      <c r="D407" s="1613"/>
      <c r="F407" s="1613"/>
      <c r="H407" s="1613"/>
    </row>
    <row r="408">
      <c r="B408" s="1613"/>
      <c r="D408" s="1613"/>
      <c r="F408" s="1613"/>
      <c r="H408" s="1613"/>
    </row>
    <row r="409">
      <c r="B409" s="1613"/>
      <c r="D409" s="1613"/>
      <c r="F409" s="1613"/>
      <c r="H409" s="1613"/>
    </row>
    <row r="410">
      <c r="B410" s="1613"/>
      <c r="D410" s="1613"/>
      <c r="F410" s="1613"/>
      <c r="H410" s="1613"/>
    </row>
    <row r="411">
      <c r="B411" s="1613"/>
      <c r="D411" s="1613"/>
      <c r="F411" s="1613"/>
      <c r="H411" s="1613"/>
    </row>
    <row r="412">
      <c r="B412" s="1613"/>
      <c r="D412" s="1613"/>
      <c r="F412" s="1613"/>
      <c r="H412" s="1613"/>
    </row>
    <row r="413">
      <c r="B413" s="1613"/>
      <c r="D413" s="1613"/>
      <c r="F413" s="1613"/>
      <c r="H413" s="1613"/>
    </row>
    <row r="414">
      <c r="B414" s="1613"/>
      <c r="D414" s="1613"/>
      <c r="F414" s="1613"/>
      <c r="H414" s="1613"/>
    </row>
    <row r="415">
      <c r="B415" s="1613"/>
      <c r="D415" s="1613"/>
      <c r="F415" s="1613"/>
      <c r="H415" s="1613"/>
    </row>
    <row r="416">
      <c r="B416" s="1613"/>
      <c r="D416" s="1613"/>
      <c r="F416" s="1613"/>
      <c r="H416" s="1613"/>
    </row>
    <row r="417">
      <c r="B417" s="1613"/>
      <c r="D417" s="1613"/>
      <c r="F417" s="1613"/>
      <c r="H417" s="1613"/>
    </row>
    <row r="418">
      <c r="B418" s="1613"/>
      <c r="D418" s="1613"/>
      <c r="F418" s="1613"/>
      <c r="H418" s="1613"/>
    </row>
    <row r="419">
      <c r="B419" s="1613"/>
      <c r="D419" s="1613"/>
      <c r="F419" s="1613"/>
      <c r="H419" s="1613"/>
    </row>
    <row r="420">
      <c r="B420" s="1613"/>
      <c r="D420" s="1613"/>
      <c r="F420" s="1613"/>
      <c r="H420" s="1613"/>
    </row>
    <row r="421">
      <c r="B421" s="1613"/>
      <c r="D421" s="1613"/>
      <c r="F421" s="1613"/>
      <c r="H421" s="1613"/>
    </row>
    <row r="422">
      <c r="B422" s="1613"/>
      <c r="D422" s="1613"/>
      <c r="F422" s="1613"/>
      <c r="H422" s="1613"/>
    </row>
    <row r="423">
      <c r="B423" s="1613"/>
      <c r="D423" s="1613"/>
      <c r="F423" s="1613"/>
      <c r="H423" s="1613"/>
    </row>
    <row r="424">
      <c r="B424" s="1613"/>
      <c r="D424" s="1613"/>
      <c r="F424" s="1613"/>
      <c r="H424" s="1613"/>
    </row>
    <row r="425">
      <c r="B425" s="1613"/>
      <c r="D425" s="1613"/>
      <c r="F425" s="1613"/>
      <c r="H425" s="1613"/>
    </row>
    <row r="426">
      <c r="B426" s="1613"/>
      <c r="D426" s="1613"/>
      <c r="F426" s="1613"/>
      <c r="H426" s="1613"/>
    </row>
    <row r="427">
      <c r="B427" s="1613"/>
      <c r="D427" s="1613"/>
      <c r="F427" s="1613"/>
      <c r="H427" s="1613"/>
    </row>
    <row r="428">
      <c r="B428" s="1613"/>
      <c r="D428" s="1613"/>
      <c r="F428" s="1613"/>
      <c r="H428" s="1613"/>
    </row>
    <row r="429">
      <c r="B429" s="1613"/>
      <c r="D429" s="1613"/>
      <c r="F429" s="1613"/>
      <c r="H429" s="1613"/>
    </row>
    <row r="430">
      <c r="B430" s="1613"/>
      <c r="D430" s="1613"/>
      <c r="F430" s="1613"/>
      <c r="H430" s="1613"/>
    </row>
    <row r="431">
      <c r="B431" s="1613"/>
      <c r="D431" s="1613"/>
      <c r="F431" s="1613"/>
      <c r="H431" s="1613"/>
    </row>
    <row r="432">
      <c r="B432" s="1613"/>
      <c r="D432" s="1613"/>
      <c r="F432" s="1613"/>
      <c r="H432" s="1613"/>
    </row>
    <row r="433">
      <c r="B433" s="1613"/>
      <c r="D433" s="1613"/>
      <c r="F433" s="1613"/>
      <c r="H433" s="1613"/>
    </row>
    <row r="434">
      <c r="B434" s="1613"/>
      <c r="D434" s="1613"/>
      <c r="F434" s="1613"/>
      <c r="H434" s="1613"/>
    </row>
    <row r="435">
      <c r="B435" s="1613"/>
      <c r="D435" s="1613"/>
      <c r="F435" s="1613"/>
      <c r="H435" s="1613"/>
    </row>
    <row r="436">
      <c r="B436" s="1613"/>
      <c r="D436" s="1613"/>
      <c r="F436" s="1613"/>
      <c r="H436" s="1613"/>
    </row>
    <row r="437">
      <c r="B437" s="1613"/>
      <c r="D437" s="1613"/>
      <c r="F437" s="1613"/>
      <c r="H437" s="1613"/>
    </row>
    <row r="438">
      <c r="B438" s="1613"/>
      <c r="D438" s="1613"/>
      <c r="F438" s="1613"/>
      <c r="H438" s="1613"/>
    </row>
    <row r="439">
      <c r="B439" s="1613"/>
      <c r="D439" s="1613"/>
      <c r="F439" s="1613"/>
      <c r="H439" s="1613"/>
    </row>
    <row r="440">
      <c r="B440" s="1613"/>
      <c r="D440" s="1613"/>
      <c r="F440" s="1613"/>
      <c r="H440" s="1613"/>
    </row>
    <row r="441">
      <c r="B441" s="1613"/>
      <c r="D441" s="1613"/>
      <c r="F441" s="1613"/>
      <c r="H441" s="1613"/>
    </row>
    <row r="442">
      <c r="B442" s="1613"/>
      <c r="D442" s="1613"/>
      <c r="F442" s="1613"/>
      <c r="H442" s="1613"/>
    </row>
    <row r="443">
      <c r="B443" s="1613"/>
      <c r="D443" s="1613"/>
      <c r="F443" s="1613"/>
      <c r="H443" s="1613"/>
    </row>
    <row r="444">
      <c r="B444" s="1613"/>
      <c r="D444" s="1613"/>
      <c r="F444" s="1613"/>
      <c r="H444" s="1613"/>
    </row>
    <row r="445">
      <c r="B445" s="1613"/>
      <c r="D445" s="1613"/>
      <c r="F445" s="1613"/>
      <c r="H445" s="1613"/>
    </row>
    <row r="446">
      <c r="B446" s="1613"/>
      <c r="D446" s="1613"/>
      <c r="F446" s="1613"/>
      <c r="H446" s="1613"/>
    </row>
    <row r="447">
      <c r="B447" s="1613"/>
      <c r="D447" s="1613"/>
      <c r="F447" s="1613"/>
      <c r="H447" s="1613"/>
    </row>
    <row r="448">
      <c r="B448" s="1613"/>
      <c r="D448" s="1613"/>
      <c r="F448" s="1613"/>
      <c r="H448" s="1613"/>
    </row>
    <row r="449">
      <c r="B449" s="1613"/>
      <c r="D449" s="1613"/>
      <c r="F449" s="1613"/>
      <c r="H449" s="1613"/>
    </row>
    <row r="450">
      <c r="B450" s="1613"/>
      <c r="D450" s="1613"/>
      <c r="F450" s="1613"/>
      <c r="H450" s="1613"/>
    </row>
    <row r="451">
      <c r="B451" s="1613"/>
      <c r="D451" s="1613"/>
      <c r="F451" s="1613"/>
      <c r="H451" s="1613"/>
    </row>
    <row r="452">
      <c r="B452" s="1613"/>
      <c r="D452" s="1613"/>
      <c r="F452" s="1613"/>
      <c r="H452" s="1613"/>
    </row>
    <row r="453">
      <c r="B453" s="1613"/>
      <c r="D453" s="1613"/>
      <c r="F453" s="1613"/>
      <c r="H453" s="1613"/>
    </row>
    <row r="454">
      <c r="B454" s="1613"/>
      <c r="D454" s="1613"/>
      <c r="F454" s="1613"/>
      <c r="H454" s="1613"/>
    </row>
    <row r="455">
      <c r="B455" s="1613"/>
      <c r="D455" s="1613"/>
      <c r="F455" s="1613"/>
      <c r="H455" s="1613"/>
    </row>
    <row r="456">
      <c r="B456" s="1613"/>
      <c r="D456" s="1613"/>
      <c r="F456" s="1613"/>
      <c r="H456" s="1613"/>
    </row>
    <row r="457">
      <c r="B457" s="1613"/>
      <c r="D457" s="1613"/>
      <c r="F457" s="1613"/>
      <c r="H457" s="1613"/>
    </row>
    <row r="458">
      <c r="B458" s="1613"/>
      <c r="D458" s="1613"/>
      <c r="F458" s="1613"/>
      <c r="H458" s="1613"/>
    </row>
    <row r="459">
      <c r="B459" s="1613"/>
      <c r="D459" s="1613"/>
      <c r="F459" s="1613"/>
      <c r="H459" s="1613"/>
    </row>
    <row r="460">
      <c r="B460" s="1613"/>
      <c r="D460" s="1613"/>
      <c r="F460" s="1613"/>
      <c r="H460" s="1613"/>
    </row>
    <row r="461">
      <c r="B461" s="1613"/>
      <c r="D461" s="1613"/>
      <c r="F461" s="1613"/>
      <c r="H461" s="1613"/>
    </row>
    <row r="462">
      <c r="B462" s="1613"/>
      <c r="D462" s="1613"/>
      <c r="F462" s="1613"/>
      <c r="H462" s="1613"/>
    </row>
    <row r="463">
      <c r="B463" s="1613"/>
      <c r="D463" s="1613"/>
      <c r="F463" s="1613"/>
      <c r="H463" s="1613"/>
    </row>
    <row r="464">
      <c r="B464" s="1613"/>
      <c r="D464" s="1613"/>
      <c r="F464" s="1613"/>
      <c r="H464" s="1613"/>
    </row>
    <row r="465">
      <c r="B465" s="1613"/>
      <c r="D465" s="1613"/>
      <c r="F465" s="1613"/>
      <c r="H465" s="1613"/>
    </row>
    <row r="466">
      <c r="B466" s="1613"/>
      <c r="D466" s="1613"/>
      <c r="F466" s="1613"/>
      <c r="H466" s="1613"/>
    </row>
    <row r="467">
      <c r="B467" s="1613"/>
      <c r="D467" s="1613"/>
      <c r="F467" s="1613"/>
      <c r="H467" s="1613"/>
    </row>
    <row r="468">
      <c r="B468" s="1613"/>
      <c r="D468" s="1613"/>
      <c r="F468" s="1613"/>
      <c r="H468" s="1613"/>
    </row>
    <row r="469">
      <c r="B469" s="1613"/>
      <c r="D469" s="1613"/>
      <c r="F469" s="1613"/>
      <c r="H469" s="1613"/>
    </row>
    <row r="470">
      <c r="B470" s="1613"/>
      <c r="D470" s="1613"/>
      <c r="F470" s="1613"/>
      <c r="H470" s="1613"/>
    </row>
    <row r="471">
      <c r="B471" s="1613"/>
      <c r="D471" s="1613"/>
      <c r="F471" s="1613"/>
      <c r="H471" s="1613"/>
    </row>
    <row r="472">
      <c r="B472" s="1613"/>
      <c r="D472" s="1613"/>
      <c r="F472" s="1613"/>
      <c r="H472" s="1613"/>
    </row>
    <row r="473">
      <c r="B473" s="1613"/>
      <c r="D473" s="1613"/>
      <c r="F473" s="1613"/>
      <c r="H473" s="1613"/>
    </row>
    <row r="474">
      <c r="B474" s="1613"/>
      <c r="D474" s="1613"/>
      <c r="F474" s="1613"/>
      <c r="H474" s="1613"/>
    </row>
    <row r="475">
      <c r="B475" s="1613"/>
      <c r="D475" s="1613"/>
      <c r="F475" s="1613"/>
      <c r="H475" s="1613"/>
    </row>
    <row r="476">
      <c r="B476" s="1613"/>
      <c r="D476" s="1613"/>
      <c r="F476" s="1613"/>
      <c r="H476" s="1613"/>
    </row>
    <row r="477">
      <c r="B477" s="1613"/>
      <c r="D477" s="1613"/>
      <c r="F477" s="1613"/>
      <c r="H477" s="1613"/>
    </row>
    <row r="478">
      <c r="B478" s="1613"/>
      <c r="D478" s="1613"/>
      <c r="F478" s="1613"/>
      <c r="H478" s="1613"/>
    </row>
    <row r="479">
      <c r="B479" s="1613"/>
      <c r="D479" s="1613"/>
      <c r="F479" s="1613"/>
      <c r="H479" s="1613"/>
    </row>
    <row r="480">
      <c r="B480" s="1613"/>
      <c r="D480" s="1613"/>
      <c r="F480" s="1613"/>
      <c r="H480" s="1613"/>
    </row>
    <row r="481">
      <c r="B481" s="1613"/>
      <c r="D481" s="1613"/>
      <c r="F481" s="1613"/>
      <c r="H481" s="1613"/>
    </row>
    <row r="482">
      <c r="B482" s="1613"/>
      <c r="D482" s="1613"/>
      <c r="F482" s="1613"/>
      <c r="H482" s="1613"/>
    </row>
    <row r="483">
      <c r="B483" s="1613"/>
      <c r="D483" s="1613"/>
      <c r="F483" s="1613"/>
      <c r="H483" s="1613"/>
    </row>
    <row r="484">
      <c r="B484" s="1613"/>
      <c r="D484" s="1613"/>
      <c r="F484" s="1613"/>
      <c r="H484" s="1613"/>
    </row>
    <row r="485">
      <c r="B485" s="1613"/>
      <c r="D485" s="1613"/>
      <c r="F485" s="1613"/>
      <c r="H485" s="1613"/>
    </row>
    <row r="486">
      <c r="B486" s="1613"/>
      <c r="D486" s="1613"/>
      <c r="F486" s="1613"/>
      <c r="H486" s="1613"/>
    </row>
    <row r="487">
      <c r="B487" s="1613"/>
      <c r="D487" s="1613"/>
      <c r="F487" s="1613"/>
      <c r="H487" s="1613"/>
    </row>
    <row r="488">
      <c r="B488" s="1613"/>
      <c r="D488" s="1613"/>
      <c r="F488" s="1613"/>
      <c r="H488" s="1613"/>
    </row>
    <row r="489">
      <c r="B489" s="1613"/>
      <c r="D489" s="1613"/>
      <c r="F489" s="1613"/>
      <c r="H489" s="1613"/>
    </row>
    <row r="490">
      <c r="B490" s="1613"/>
      <c r="D490" s="1613"/>
      <c r="F490" s="1613"/>
      <c r="H490" s="1613"/>
    </row>
    <row r="491">
      <c r="B491" s="1613"/>
      <c r="D491" s="1613"/>
      <c r="F491" s="1613"/>
      <c r="H491" s="1613"/>
    </row>
    <row r="492">
      <c r="B492" s="1613"/>
      <c r="D492" s="1613"/>
      <c r="F492" s="1613"/>
      <c r="H492" s="1613"/>
    </row>
    <row r="493">
      <c r="B493" s="1613"/>
      <c r="D493" s="1613"/>
      <c r="F493" s="1613"/>
      <c r="H493" s="1613"/>
    </row>
    <row r="494">
      <c r="B494" s="1613"/>
      <c r="D494" s="1613"/>
      <c r="F494" s="1613"/>
      <c r="H494" s="1613"/>
    </row>
    <row r="495">
      <c r="B495" s="1613"/>
      <c r="D495" s="1613"/>
      <c r="F495" s="1613"/>
      <c r="H495" s="1613"/>
    </row>
    <row r="496">
      <c r="B496" s="1613"/>
      <c r="D496" s="1613"/>
      <c r="F496" s="1613"/>
      <c r="H496" s="1613"/>
    </row>
    <row r="497">
      <c r="B497" s="1613"/>
      <c r="D497" s="1613"/>
      <c r="F497" s="1613"/>
      <c r="H497" s="1613"/>
    </row>
    <row r="498">
      <c r="B498" s="1613"/>
      <c r="D498" s="1613"/>
      <c r="F498" s="1613"/>
      <c r="H498" s="1613"/>
    </row>
    <row r="499">
      <c r="B499" s="1613"/>
      <c r="D499" s="1613"/>
      <c r="F499" s="1613"/>
      <c r="H499" s="1613"/>
    </row>
    <row r="500">
      <c r="B500" s="1613"/>
      <c r="D500" s="1613"/>
      <c r="F500" s="1613"/>
      <c r="H500" s="1613"/>
    </row>
    <row r="501">
      <c r="B501" s="1613"/>
      <c r="D501" s="1613"/>
      <c r="F501" s="1613"/>
      <c r="H501" s="1613"/>
    </row>
    <row r="502">
      <c r="B502" s="1613"/>
      <c r="D502" s="1613"/>
      <c r="F502" s="1613"/>
      <c r="H502" s="1613"/>
    </row>
    <row r="503">
      <c r="B503" s="1613"/>
      <c r="D503" s="1613"/>
      <c r="F503" s="1613"/>
      <c r="H503" s="1613"/>
    </row>
    <row r="504">
      <c r="B504" s="1613"/>
      <c r="D504" s="1613"/>
      <c r="F504" s="1613"/>
      <c r="H504" s="1613"/>
    </row>
    <row r="505">
      <c r="B505" s="1613"/>
      <c r="D505" s="1613"/>
      <c r="F505" s="1613"/>
      <c r="H505" s="1613"/>
    </row>
    <row r="506">
      <c r="B506" s="1613"/>
      <c r="D506" s="1613"/>
      <c r="F506" s="1613"/>
      <c r="H506" s="1613"/>
    </row>
    <row r="507">
      <c r="B507" s="1613"/>
      <c r="D507" s="1613"/>
      <c r="F507" s="1613"/>
      <c r="H507" s="1613"/>
    </row>
    <row r="508">
      <c r="B508" s="1613"/>
      <c r="D508" s="1613"/>
      <c r="F508" s="1613"/>
      <c r="H508" s="1613"/>
    </row>
    <row r="509">
      <c r="B509" s="1613"/>
      <c r="D509" s="1613"/>
      <c r="F509" s="1613"/>
      <c r="H509" s="1613"/>
    </row>
    <row r="510">
      <c r="B510" s="1613"/>
      <c r="D510" s="1613"/>
      <c r="F510" s="1613"/>
      <c r="H510" s="1613"/>
    </row>
    <row r="511">
      <c r="B511" s="1613"/>
      <c r="D511" s="1613"/>
      <c r="F511" s="1613"/>
      <c r="H511" s="1613"/>
    </row>
    <row r="512">
      <c r="B512" s="1613"/>
      <c r="D512" s="1613"/>
      <c r="F512" s="1613"/>
      <c r="H512" s="1613"/>
    </row>
    <row r="513">
      <c r="B513" s="1613"/>
      <c r="D513" s="1613"/>
      <c r="F513" s="1613"/>
      <c r="H513" s="1613"/>
    </row>
    <row r="514">
      <c r="B514" s="1613"/>
      <c r="D514" s="1613"/>
      <c r="F514" s="1613"/>
      <c r="H514" s="1613"/>
    </row>
    <row r="515">
      <c r="B515" s="1613"/>
      <c r="D515" s="1613"/>
      <c r="F515" s="1613"/>
      <c r="H515" s="1613"/>
    </row>
    <row r="516">
      <c r="B516" s="1613"/>
      <c r="D516" s="1613"/>
      <c r="F516" s="1613"/>
      <c r="H516" s="1613"/>
    </row>
    <row r="517">
      <c r="B517" s="1613"/>
      <c r="D517" s="1613"/>
      <c r="F517" s="1613"/>
      <c r="H517" s="1613"/>
    </row>
    <row r="518">
      <c r="B518" s="1613"/>
      <c r="D518" s="1613"/>
      <c r="F518" s="1613"/>
      <c r="H518" s="1613"/>
    </row>
    <row r="519">
      <c r="B519" s="1613"/>
      <c r="D519" s="1613"/>
      <c r="F519" s="1613"/>
      <c r="H519" s="1613"/>
    </row>
    <row r="520">
      <c r="B520" s="1613"/>
      <c r="D520" s="1613"/>
      <c r="F520" s="1613"/>
      <c r="H520" s="1613"/>
    </row>
    <row r="521">
      <c r="B521" s="1613"/>
      <c r="D521" s="1613"/>
      <c r="F521" s="1613"/>
      <c r="H521" s="1613"/>
    </row>
    <row r="522">
      <c r="B522" s="1613"/>
      <c r="D522" s="1613"/>
      <c r="F522" s="1613"/>
      <c r="H522" s="1613"/>
    </row>
    <row r="523">
      <c r="B523" s="1613"/>
      <c r="D523" s="1613"/>
      <c r="F523" s="1613"/>
      <c r="H523" s="1613"/>
    </row>
    <row r="524">
      <c r="B524" s="1613"/>
      <c r="D524" s="1613"/>
      <c r="F524" s="1613"/>
      <c r="H524" s="1613"/>
    </row>
    <row r="525">
      <c r="B525" s="1613"/>
      <c r="D525" s="1613"/>
      <c r="F525" s="1613"/>
      <c r="H525" s="1613"/>
    </row>
    <row r="526">
      <c r="B526" s="1613"/>
      <c r="D526" s="1613"/>
      <c r="F526" s="1613"/>
      <c r="H526" s="1613"/>
    </row>
    <row r="527">
      <c r="B527" s="1613"/>
      <c r="D527" s="1613"/>
      <c r="F527" s="1613"/>
      <c r="H527" s="1613"/>
    </row>
    <row r="528">
      <c r="B528" s="1613"/>
      <c r="D528" s="1613"/>
      <c r="F528" s="1613"/>
      <c r="H528" s="1613"/>
    </row>
    <row r="529">
      <c r="B529" s="1613"/>
      <c r="D529" s="1613"/>
      <c r="F529" s="1613"/>
      <c r="H529" s="1613"/>
    </row>
    <row r="530">
      <c r="B530" s="1613"/>
      <c r="D530" s="1613"/>
      <c r="F530" s="1613"/>
      <c r="H530" s="1613"/>
    </row>
    <row r="531">
      <c r="B531" s="1613"/>
      <c r="D531" s="1613"/>
      <c r="F531" s="1613"/>
      <c r="H531" s="1613"/>
    </row>
    <row r="532">
      <c r="B532" s="1613"/>
      <c r="D532" s="1613"/>
      <c r="F532" s="1613"/>
      <c r="H532" s="1613"/>
    </row>
    <row r="533">
      <c r="B533" s="1613"/>
      <c r="D533" s="1613"/>
      <c r="F533" s="1613"/>
      <c r="H533" s="1613"/>
    </row>
    <row r="534">
      <c r="B534" s="1613"/>
      <c r="D534" s="1613"/>
      <c r="F534" s="1613"/>
      <c r="H534" s="1613"/>
    </row>
    <row r="535">
      <c r="B535" s="1613"/>
      <c r="D535" s="1613"/>
      <c r="F535" s="1613"/>
      <c r="H535" s="1613"/>
    </row>
    <row r="536">
      <c r="B536" s="1613"/>
      <c r="D536" s="1613"/>
      <c r="F536" s="1613"/>
      <c r="H536" s="1613"/>
    </row>
    <row r="537">
      <c r="B537" s="1613"/>
      <c r="D537" s="1613"/>
      <c r="F537" s="1613"/>
      <c r="H537" s="1613"/>
    </row>
    <row r="538">
      <c r="B538" s="1613"/>
      <c r="D538" s="1613"/>
      <c r="F538" s="1613"/>
      <c r="H538" s="1613"/>
    </row>
    <row r="539">
      <c r="B539" s="1613"/>
      <c r="D539" s="1613"/>
      <c r="F539" s="1613"/>
      <c r="H539" s="1613"/>
    </row>
    <row r="540">
      <c r="B540" s="1613"/>
      <c r="D540" s="1613"/>
      <c r="F540" s="1613"/>
      <c r="H540" s="1613"/>
    </row>
    <row r="541">
      <c r="B541" s="1613"/>
      <c r="D541" s="1613"/>
      <c r="F541" s="1613"/>
      <c r="H541" s="1613"/>
    </row>
    <row r="542">
      <c r="B542" s="1613"/>
      <c r="D542" s="1613"/>
      <c r="F542" s="1613"/>
      <c r="H542" s="1613"/>
    </row>
    <row r="543">
      <c r="B543" s="1613"/>
      <c r="D543" s="1613"/>
      <c r="F543" s="1613"/>
      <c r="H543" s="1613"/>
    </row>
    <row r="544">
      <c r="B544" s="1613"/>
      <c r="D544" s="1613"/>
      <c r="F544" s="1613"/>
      <c r="H544" s="1613"/>
    </row>
    <row r="545">
      <c r="B545" s="1613"/>
      <c r="D545" s="1613"/>
      <c r="F545" s="1613"/>
      <c r="H545" s="1613"/>
    </row>
    <row r="546">
      <c r="B546" s="1613"/>
      <c r="D546" s="1613"/>
      <c r="F546" s="1613"/>
      <c r="H546" s="1613"/>
    </row>
    <row r="547">
      <c r="B547" s="1613"/>
      <c r="D547" s="1613"/>
      <c r="F547" s="1613"/>
      <c r="H547" s="1613"/>
    </row>
    <row r="548">
      <c r="B548" s="1613"/>
      <c r="D548" s="1613"/>
      <c r="F548" s="1613"/>
      <c r="H548" s="1613"/>
    </row>
    <row r="549">
      <c r="B549" s="1613"/>
      <c r="D549" s="1613"/>
      <c r="F549" s="1613"/>
      <c r="H549" s="1613"/>
    </row>
    <row r="550">
      <c r="B550" s="1613"/>
      <c r="D550" s="1613"/>
      <c r="F550" s="1613"/>
      <c r="H550" s="1613"/>
    </row>
    <row r="551">
      <c r="B551" s="1613"/>
      <c r="D551" s="1613"/>
      <c r="F551" s="1613"/>
      <c r="H551" s="1613"/>
    </row>
    <row r="552">
      <c r="B552" s="1613"/>
      <c r="D552" s="1613"/>
      <c r="F552" s="1613"/>
      <c r="H552" s="1613"/>
    </row>
    <row r="553">
      <c r="B553" s="1613"/>
      <c r="D553" s="1613"/>
      <c r="F553" s="1613"/>
      <c r="H553" s="1613"/>
    </row>
    <row r="554">
      <c r="B554" s="1613"/>
      <c r="D554" s="1613"/>
      <c r="F554" s="1613"/>
      <c r="H554" s="1613"/>
    </row>
    <row r="555">
      <c r="B555" s="1613"/>
      <c r="D555" s="1613"/>
      <c r="F555" s="1613"/>
      <c r="H555" s="1613"/>
    </row>
    <row r="556">
      <c r="B556" s="1613"/>
      <c r="D556" s="1613"/>
      <c r="F556" s="1613"/>
      <c r="H556" s="1613"/>
    </row>
    <row r="557">
      <c r="B557" s="1613"/>
      <c r="D557" s="1613"/>
      <c r="F557" s="1613"/>
      <c r="H557" s="1613"/>
    </row>
    <row r="558">
      <c r="B558" s="1613"/>
      <c r="D558" s="1613"/>
      <c r="F558" s="1613"/>
      <c r="H558" s="1613"/>
    </row>
    <row r="559">
      <c r="B559" s="1613"/>
      <c r="D559" s="1613"/>
      <c r="F559" s="1613"/>
      <c r="H559" s="1613"/>
    </row>
    <row r="560">
      <c r="B560" s="1613"/>
      <c r="D560" s="1613"/>
      <c r="F560" s="1613"/>
      <c r="H560" s="1613"/>
    </row>
    <row r="561">
      <c r="B561" s="1613"/>
      <c r="D561" s="1613"/>
      <c r="F561" s="1613"/>
      <c r="H561" s="1613"/>
    </row>
    <row r="562">
      <c r="B562" s="1613"/>
      <c r="D562" s="1613"/>
      <c r="F562" s="1613"/>
      <c r="H562" s="1613"/>
    </row>
    <row r="563">
      <c r="B563" s="1613"/>
      <c r="D563" s="1613"/>
      <c r="F563" s="1613"/>
      <c r="H563" s="1613"/>
    </row>
    <row r="564">
      <c r="B564" s="1613"/>
      <c r="D564" s="1613"/>
      <c r="F564" s="1613"/>
      <c r="H564" s="1613"/>
    </row>
    <row r="565">
      <c r="B565" s="1613"/>
      <c r="D565" s="1613"/>
      <c r="F565" s="1613"/>
      <c r="H565" s="1613"/>
    </row>
    <row r="566">
      <c r="B566" s="1613"/>
      <c r="D566" s="1613"/>
      <c r="F566" s="1613"/>
      <c r="H566" s="1613"/>
    </row>
    <row r="567">
      <c r="B567" s="1613"/>
      <c r="D567" s="1613"/>
      <c r="F567" s="1613"/>
      <c r="H567" s="1613"/>
    </row>
    <row r="568">
      <c r="B568" s="1613"/>
      <c r="D568" s="1613"/>
      <c r="F568" s="1613"/>
      <c r="H568" s="1613"/>
    </row>
    <row r="569">
      <c r="B569" s="1613"/>
      <c r="D569" s="1613"/>
      <c r="F569" s="1613"/>
      <c r="H569" s="1613"/>
    </row>
    <row r="570">
      <c r="B570" s="1613"/>
      <c r="D570" s="1613"/>
      <c r="F570" s="1613"/>
      <c r="H570" s="1613"/>
    </row>
    <row r="571">
      <c r="B571" s="1613"/>
      <c r="D571" s="1613"/>
      <c r="F571" s="1613"/>
      <c r="H571" s="1613"/>
    </row>
    <row r="572">
      <c r="B572" s="1613"/>
      <c r="D572" s="1613"/>
      <c r="F572" s="1613"/>
      <c r="H572" s="1613"/>
    </row>
    <row r="573">
      <c r="B573" s="1613"/>
      <c r="D573" s="1613"/>
      <c r="F573" s="1613"/>
      <c r="H573" s="1613"/>
    </row>
    <row r="574">
      <c r="B574" s="1613"/>
      <c r="D574" s="1613"/>
      <c r="F574" s="1613"/>
      <c r="H574" s="1613"/>
    </row>
    <row r="575">
      <c r="B575" s="1613"/>
      <c r="D575" s="1613"/>
      <c r="F575" s="1613"/>
      <c r="H575" s="1613"/>
    </row>
    <row r="576">
      <c r="B576" s="1613"/>
      <c r="D576" s="1613"/>
      <c r="F576" s="1613"/>
      <c r="H576" s="1613"/>
    </row>
    <row r="577">
      <c r="B577" s="1613"/>
      <c r="D577" s="1613"/>
      <c r="F577" s="1613"/>
      <c r="H577" s="1613"/>
    </row>
    <row r="578">
      <c r="B578" s="1613"/>
      <c r="D578" s="1613"/>
      <c r="F578" s="1613"/>
      <c r="H578" s="1613"/>
    </row>
    <row r="579">
      <c r="B579" s="1613"/>
      <c r="D579" s="1613"/>
      <c r="F579" s="1613"/>
      <c r="H579" s="1613"/>
    </row>
    <row r="580">
      <c r="B580" s="1613"/>
      <c r="D580" s="1613"/>
      <c r="F580" s="1613"/>
      <c r="H580" s="1613"/>
    </row>
    <row r="581">
      <c r="B581" s="1613"/>
      <c r="D581" s="1613"/>
      <c r="F581" s="1613"/>
      <c r="H581" s="1613"/>
    </row>
    <row r="582">
      <c r="B582" s="1613"/>
      <c r="D582" s="1613"/>
      <c r="F582" s="1613"/>
      <c r="H582" s="1613"/>
    </row>
    <row r="583">
      <c r="B583" s="1613"/>
      <c r="D583" s="1613"/>
      <c r="F583" s="1613"/>
      <c r="H583" s="1613"/>
    </row>
    <row r="584">
      <c r="B584" s="1613"/>
      <c r="D584" s="1613"/>
      <c r="F584" s="1613"/>
      <c r="H584" s="1613"/>
    </row>
    <row r="585">
      <c r="B585" s="1613"/>
      <c r="D585" s="1613"/>
      <c r="F585" s="1613"/>
      <c r="H585" s="1613"/>
    </row>
    <row r="586">
      <c r="B586" s="1613"/>
      <c r="D586" s="1613"/>
      <c r="F586" s="1613"/>
      <c r="H586" s="1613"/>
    </row>
    <row r="587">
      <c r="B587" s="1613"/>
      <c r="D587" s="1613"/>
      <c r="F587" s="1613"/>
      <c r="H587" s="1613"/>
    </row>
    <row r="588">
      <c r="B588" s="1613"/>
      <c r="D588" s="1613"/>
      <c r="F588" s="1613"/>
      <c r="H588" s="1613"/>
    </row>
    <row r="589">
      <c r="B589" s="1613"/>
      <c r="D589" s="1613"/>
      <c r="F589" s="1613"/>
      <c r="H589" s="1613"/>
    </row>
    <row r="590">
      <c r="B590" s="1613"/>
      <c r="D590" s="1613"/>
      <c r="F590" s="1613"/>
      <c r="H590" s="1613"/>
    </row>
    <row r="591">
      <c r="B591" s="1613"/>
      <c r="D591" s="1613"/>
      <c r="F591" s="1613"/>
      <c r="H591" s="1613"/>
    </row>
    <row r="592">
      <c r="B592" s="1613"/>
      <c r="D592" s="1613"/>
      <c r="F592" s="1613"/>
      <c r="H592" s="1613"/>
    </row>
    <row r="593">
      <c r="B593" s="1613"/>
      <c r="D593" s="1613"/>
      <c r="F593" s="1613"/>
      <c r="H593" s="1613"/>
    </row>
    <row r="594">
      <c r="B594" s="1613"/>
      <c r="D594" s="1613"/>
      <c r="F594" s="1613"/>
      <c r="H594" s="1613"/>
    </row>
    <row r="595">
      <c r="B595" s="1613"/>
      <c r="D595" s="1613"/>
      <c r="F595" s="1613"/>
      <c r="H595" s="1613"/>
    </row>
    <row r="596">
      <c r="B596" s="1613"/>
      <c r="D596" s="1613"/>
      <c r="F596" s="1613"/>
      <c r="H596" s="1613"/>
    </row>
    <row r="597">
      <c r="B597" s="1613"/>
      <c r="D597" s="1613"/>
      <c r="F597" s="1613"/>
      <c r="H597" s="1613"/>
    </row>
    <row r="598">
      <c r="B598" s="1613"/>
      <c r="D598" s="1613"/>
      <c r="F598" s="1613"/>
      <c r="H598" s="1613"/>
    </row>
    <row r="599">
      <c r="B599" s="1613"/>
      <c r="D599" s="1613"/>
      <c r="F599" s="1613"/>
      <c r="H599" s="1613"/>
    </row>
    <row r="600">
      <c r="B600" s="1613"/>
      <c r="D600" s="1613"/>
      <c r="F600" s="1613"/>
      <c r="H600" s="1613"/>
    </row>
    <row r="601">
      <c r="B601" s="1613"/>
      <c r="D601" s="1613"/>
      <c r="F601" s="1613"/>
      <c r="H601" s="1613"/>
    </row>
    <row r="602">
      <c r="B602" s="1613"/>
      <c r="D602" s="1613"/>
      <c r="F602" s="1613"/>
      <c r="H602" s="1613"/>
    </row>
    <row r="603">
      <c r="B603" s="1613"/>
      <c r="D603" s="1613"/>
      <c r="F603" s="1613"/>
      <c r="H603" s="1613"/>
    </row>
    <row r="604">
      <c r="B604" s="1613"/>
      <c r="D604" s="1613"/>
      <c r="F604" s="1613"/>
      <c r="H604" s="1613"/>
    </row>
    <row r="605">
      <c r="B605" s="1613"/>
      <c r="D605" s="1613"/>
      <c r="F605" s="1613"/>
      <c r="H605" s="1613"/>
    </row>
    <row r="606">
      <c r="B606" s="1613"/>
      <c r="D606" s="1613"/>
      <c r="F606" s="1613"/>
      <c r="H606" s="1613"/>
    </row>
    <row r="607">
      <c r="B607" s="1613"/>
      <c r="D607" s="1613"/>
      <c r="F607" s="1613"/>
      <c r="H607" s="1613"/>
    </row>
    <row r="608">
      <c r="B608" s="1613"/>
      <c r="D608" s="1613"/>
      <c r="F608" s="1613"/>
      <c r="H608" s="1613"/>
    </row>
    <row r="609">
      <c r="B609" s="1613"/>
      <c r="D609" s="1613"/>
      <c r="F609" s="1613"/>
      <c r="H609" s="1613"/>
    </row>
    <row r="610">
      <c r="B610" s="1613"/>
      <c r="D610" s="1613"/>
      <c r="F610" s="1613"/>
      <c r="H610" s="1613"/>
    </row>
    <row r="611">
      <c r="B611" s="1613"/>
      <c r="D611" s="1613"/>
      <c r="F611" s="1613"/>
      <c r="H611" s="1613"/>
    </row>
    <row r="612">
      <c r="B612" s="1613"/>
      <c r="D612" s="1613"/>
      <c r="F612" s="1613"/>
      <c r="H612" s="1613"/>
    </row>
    <row r="613">
      <c r="B613" s="1613"/>
      <c r="D613" s="1613"/>
      <c r="F613" s="1613"/>
      <c r="H613" s="1613"/>
    </row>
    <row r="614">
      <c r="B614" s="1613"/>
      <c r="D614" s="1613"/>
      <c r="F614" s="1613"/>
      <c r="H614" s="1613"/>
    </row>
    <row r="615">
      <c r="B615" s="1613"/>
      <c r="D615" s="1613"/>
      <c r="F615" s="1613"/>
      <c r="H615" s="1613"/>
    </row>
    <row r="616">
      <c r="B616" s="1613"/>
      <c r="D616" s="1613"/>
      <c r="F616" s="1613"/>
      <c r="H616" s="1613"/>
    </row>
    <row r="617">
      <c r="B617" s="1613"/>
      <c r="D617" s="1613"/>
      <c r="F617" s="1613"/>
      <c r="H617" s="1613"/>
    </row>
    <row r="618">
      <c r="B618" s="1613"/>
      <c r="D618" s="1613"/>
      <c r="F618" s="1613"/>
      <c r="H618" s="1613"/>
    </row>
    <row r="619">
      <c r="B619" s="1613"/>
      <c r="D619" s="1613"/>
      <c r="F619" s="1613"/>
      <c r="H619" s="1613"/>
    </row>
    <row r="620">
      <c r="B620" s="1613"/>
      <c r="D620" s="1613"/>
      <c r="F620" s="1613"/>
      <c r="H620" s="1613"/>
    </row>
    <row r="621">
      <c r="B621" s="1613"/>
      <c r="D621" s="1613"/>
      <c r="F621" s="1613"/>
      <c r="H621" s="1613"/>
    </row>
    <row r="622">
      <c r="B622" s="1613"/>
      <c r="D622" s="1613"/>
      <c r="F622" s="1613"/>
      <c r="H622" s="1613"/>
    </row>
    <row r="623">
      <c r="B623" s="1613"/>
      <c r="D623" s="1613"/>
      <c r="F623" s="1613"/>
      <c r="H623" s="1613"/>
    </row>
    <row r="624">
      <c r="B624" s="1613"/>
      <c r="D624" s="1613"/>
      <c r="F624" s="1613"/>
      <c r="H624" s="1613"/>
    </row>
    <row r="625">
      <c r="B625" s="1613"/>
      <c r="D625" s="1613"/>
      <c r="F625" s="1613"/>
      <c r="H625" s="1613"/>
    </row>
    <row r="626">
      <c r="B626" s="1613"/>
      <c r="D626" s="1613"/>
      <c r="F626" s="1613"/>
      <c r="H626" s="1613"/>
    </row>
    <row r="627">
      <c r="B627" s="1613"/>
      <c r="D627" s="1613"/>
      <c r="F627" s="1613"/>
      <c r="H627" s="1613"/>
    </row>
    <row r="628">
      <c r="B628" s="1613"/>
      <c r="D628" s="1613"/>
      <c r="F628" s="1613"/>
      <c r="H628" s="1613"/>
    </row>
    <row r="629">
      <c r="B629" s="1613"/>
      <c r="D629" s="1613"/>
      <c r="F629" s="1613"/>
      <c r="H629" s="1613"/>
    </row>
    <row r="630">
      <c r="B630" s="1613"/>
      <c r="D630" s="1613"/>
      <c r="F630" s="1613"/>
      <c r="H630" s="1613"/>
    </row>
    <row r="631">
      <c r="B631" s="1613"/>
      <c r="D631" s="1613"/>
      <c r="F631" s="1613"/>
      <c r="H631" s="1613"/>
    </row>
    <row r="632">
      <c r="B632" s="1613"/>
      <c r="D632" s="1613"/>
      <c r="F632" s="1613"/>
      <c r="H632" s="1613"/>
    </row>
    <row r="633">
      <c r="B633" s="1613"/>
      <c r="D633" s="1613"/>
      <c r="F633" s="1613"/>
      <c r="H633" s="1613"/>
    </row>
    <row r="634">
      <c r="B634" s="1613"/>
      <c r="D634" s="1613"/>
      <c r="F634" s="1613"/>
      <c r="H634" s="1613"/>
    </row>
    <row r="635">
      <c r="B635" s="1613"/>
      <c r="D635" s="1613"/>
      <c r="F635" s="1613"/>
      <c r="H635" s="1613"/>
    </row>
    <row r="636">
      <c r="B636" s="1613"/>
      <c r="D636" s="1613"/>
      <c r="F636" s="1613"/>
      <c r="H636" s="1613"/>
    </row>
    <row r="637">
      <c r="B637" s="1613"/>
      <c r="D637" s="1613"/>
      <c r="F637" s="1613"/>
      <c r="H637" s="1613"/>
    </row>
    <row r="638">
      <c r="B638" s="1613"/>
      <c r="D638" s="1613"/>
      <c r="F638" s="1613"/>
      <c r="H638" s="1613"/>
    </row>
    <row r="639">
      <c r="B639" s="1613"/>
      <c r="D639" s="1613"/>
      <c r="F639" s="1613"/>
      <c r="H639" s="1613"/>
    </row>
    <row r="640">
      <c r="B640" s="1613"/>
      <c r="D640" s="1613"/>
      <c r="F640" s="1613"/>
      <c r="H640" s="1613"/>
    </row>
    <row r="641">
      <c r="B641" s="1613"/>
      <c r="D641" s="1613"/>
      <c r="F641" s="1613"/>
      <c r="H641" s="1613"/>
    </row>
    <row r="642">
      <c r="B642" s="1613"/>
      <c r="D642" s="1613"/>
      <c r="F642" s="1613"/>
      <c r="H642" s="1613"/>
    </row>
    <row r="643">
      <c r="B643" s="1613"/>
      <c r="D643" s="1613"/>
      <c r="F643" s="1613"/>
      <c r="H643" s="1613"/>
    </row>
    <row r="644">
      <c r="B644" s="1613"/>
      <c r="D644" s="1613"/>
      <c r="F644" s="1613"/>
      <c r="H644" s="1613"/>
    </row>
    <row r="645">
      <c r="B645" s="1613"/>
      <c r="D645" s="1613"/>
      <c r="F645" s="1613"/>
      <c r="H645" s="1613"/>
    </row>
    <row r="646">
      <c r="B646" s="1613"/>
      <c r="D646" s="1613"/>
      <c r="F646" s="1613"/>
      <c r="H646" s="1613"/>
    </row>
    <row r="647">
      <c r="B647" s="1613"/>
      <c r="D647" s="1613"/>
      <c r="F647" s="1613"/>
      <c r="H647" s="1613"/>
    </row>
    <row r="648">
      <c r="B648" s="1613"/>
      <c r="D648" s="1613"/>
      <c r="F648" s="1613"/>
      <c r="H648" s="1613"/>
    </row>
    <row r="649">
      <c r="B649" s="1613"/>
      <c r="D649" s="1613"/>
      <c r="F649" s="1613"/>
      <c r="H649" s="1613"/>
    </row>
    <row r="650">
      <c r="B650" s="1613"/>
      <c r="D650" s="1613"/>
      <c r="F650" s="1613"/>
      <c r="H650" s="1613"/>
    </row>
    <row r="651">
      <c r="B651" s="1613"/>
      <c r="D651" s="1613"/>
      <c r="F651" s="1613"/>
      <c r="H651" s="1613"/>
    </row>
    <row r="652">
      <c r="B652" s="1613"/>
      <c r="D652" s="1613"/>
      <c r="F652" s="1613"/>
      <c r="H652" s="1613"/>
    </row>
    <row r="653">
      <c r="B653" s="1613"/>
      <c r="D653" s="1613"/>
      <c r="F653" s="1613"/>
      <c r="H653" s="1613"/>
    </row>
    <row r="654">
      <c r="B654" s="1613"/>
      <c r="D654" s="1613"/>
      <c r="F654" s="1613"/>
      <c r="H654" s="1613"/>
    </row>
    <row r="655">
      <c r="B655" s="1613"/>
      <c r="D655" s="1613"/>
      <c r="F655" s="1613"/>
      <c r="H655" s="1613"/>
    </row>
    <row r="656">
      <c r="B656" s="1613"/>
      <c r="D656" s="1613"/>
      <c r="F656" s="1613"/>
      <c r="H656" s="1613"/>
    </row>
    <row r="657">
      <c r="B657" s="1613"/>
      <c r="D657" s="1613"/>
      <c r="F657" s="1613"/>
      <c r="H657" s="1613"/>
    </row>
    <row r="658">
      <c r="B658" s="1613"/>
      <c r="D658" s="1613"/>
      <c r="F658" s="1613"/>
      <c r="H658" s="1613"/>
    </row>
    <row r="659">
      <c r="B659" s="1613"/>
      <c r="D659" s="1613"/>
      <c r="F659" s="1613"/>
      <c r="H659" s="1613"/>
    </row>
    <row r="660">
      <c r="B660" s="1613"/>
      <c r="D660" s="1613"/>
      <c r="F660" s="1613"/>
      <c r="H660" s="1613"/>
    </row>
    <row r="661">
      <c r="B661" s="1613"/>
      <c r="D661" s="1613"/>
      <c r="F661" s="1613"/>
      <c r="H661" s="1613"/>
    </row>
    <row r="662">
      <c r="B662" s="1613"/>
      <c r="D662" s="1613"/>
      <c r="F662" s="1613"/>
      <c r="H662" s="1613"/>
    </row>
    <row r="663">
      <c r="B663" s="1613"/>
      <c r="D663" s="1613"/>
      <c r="F663" s="1613"/>
      <c r="H663" s="1613"/>
    </row>
    <row r="664">
      <c r="B664" s="1613"/>
      <c r="D664" s="1613"/>
      <c r="F664" s="1613"/>
      <c r="H664" s="1613"/>
    </row>
    <row r="665">
      <c r="B665" s="1613"/>
      <c r="D665" s="1613"/>
      <c r="F665" s="1613"/>
      <c r="H665" s="1613"/>
    </row>
    <row r="666">
      <c r="B666" s="1613"/>
      <c r="D666" s="1613"/>
      <c r="F666" s="1613"/>
      <c r="H666" s="1613"/>
    </row>
    <row r="667">
      <c r="B667" s="1613"/>
      <c r="D667" s="1613"/>
      <c r="F667" s="1613"/>
      <c r="H667" s="1613"/>
    </row>
    <row r="668">
      <c r="B668" s="1613"/>
      <c r="D668" s="1613"/>
      <c r="F668" s="1613"/>
      <c r="H668" s="1613"/>
    </row>
    <row r="669">
      <c r="B669" s="1613"/>
      <c r="D669" s="1613"/>
      <c r="F669" s="1613"/>
      <c r="H669" s="1613"/>
    </row>
    <row r="670">
      <c r="B670" s="1613"/>
      <c r="D670" s="1613"/>
      <c r="F670" s="1613"/>
      <c r="H670" s="1613"/>
    </row>
    <row r="671">
      <c r="B671" s="1613"/>
      <c r="D671" s="1613"/>
      <c r="F671" s="1613"/>
      <c r="H671" s="1613"/>
    </row>
    <row r="672">
      <c r="B672" s="1613"/>
      <c r="D672" s="1613"/>
      <c r="F672" s="1613"/>
      <c r="H672" s="1613"/>
    </row>
    <row r="673">
      <c r="B673" s="1613"/>
      <c r="D673" s="1613"/>
      <c r="F673" s="1613"/>
      <c r="H673" s="1613"/>
    </row>
    <row r="674">
      <c r="B674" s="1613"/>
      <c r="D674" s="1613"/>
      <c r="F674" s="1613"/>
      <c r="H674" s="1613"/>
    </row>
    <row r="675">
      <c r="B675" s="1613"/>
      <c r="D675" s="1613"/>
      <c r="F675" s="1613"/>
      <c r="H675" s="1613"/>
    </row>
    <row r="676">
      <c r="B676" s="1613"/>
      <c r="D676" s="1613"/>
      <c r="F676" s="1613"/>
      <c r="H676" s="1613"/>
    </row>
    <row r="677">
      <c r="B677" s="1613"/>
      <c r="D677" s="1613"/>
      <c r="F677" s="1613"/>
      <c r="H677" s="1613"/>
    </row>
    <row r="678">
      <c r="B678" s="1613"/>
      <c r="D678" s="1613"/>
      <c r="F678" s="1613"/>
      <c r="H678" s="1613"/>
    </row>
    <row r="679">
      <c r="B679" s="1613"/>
      <c r="D679" s="1613"/>
      <c r="F679" s="1613"/>
      <c r="H679" s="1613"/>
    </row>
    <row r="680">
      <c r="B680" s="1613"/>
      <c r="D680" s="1613"/>
      <c r="F680" s="1613"/>
      <c r="H680" s="1613"/>
    </row>
    <row r="681">
      <c r="B681" s="1613"/>
      <c r="D681" s="1613"/>
      <c r="F681" s="1613"/>
      <c r="H681" s="1613"/>
    </row>
    <row r="682">
      <c r="B682" s="1613"/>
      <c r="D682" s="1613"/>
      <c r="F682" s="1613"/>
      <c r="H682" s="1613"/>
    </row>
    <row r="683">
      <c r="B683" s="1613"/>
      <c r="D683" s="1613"/>
      <c r="F683" s="1613"/>
      <c r="H683" s="1613"/>
    </row>
    <row r="684">
      <c r="B684" s="1613"/>
      <c r="D684" s="1613"/>
      <c r="F684" s="1613"/>
      <c r="H684" s="1613"/>
    </row>
    <row r="685">
      <c r="B685" s="1613"/>
      <c r="D685" s="1613"/>
      <c r="F685" s="1613"/>
      <c r="H685" s="1613"/>
    </row>
    <row r="686">
      <c r="B686" s="1613"/>
      <c r="D686" s="1613"/>
      <c r="F686" s="1613"/>
      <c r="H686" s="1613"/>
    </row>
    <row r="687">
      <c r="B687" s="1613"/>
      <c r="D687" s="1613"/>
      <c r="F687" s="1613"/>
      <c r="H687" s="1613"/>
    </row>
    <row r="688">
      <c r="B688" s="1613"/>
      <c r="D688" s="1613"/>
      <c r="F688" s="1613"/>
      <c r="H688" s="1613"/>
    </row>
    <row r="689">
      <c r="B689" s="1613"/>
      <c r="D689" s="1613"/>
      <c r="F689" s="1613"/>
      <c r="H689" s="1613"/>
    </row>
    <row r="690">
      <c r="B690" s="1613"/>
      <c r="D690" s="1613"/>
      <c r="F690" s="1613"/>
      <c r="H690" s="1613"/>
    </row>
    <row r="691">
      <c r="B691" s="1613"/>
      <c r="D691" s="1613"/>
      <c r="F691" s="1613"/>
      <c r="H691" s="1613"/>
    </row>
    <row r="692">
      <c r="B692" s="1613"/>
      <c r="D692" s="1613"/>
      <c r="F692" s="1613"/>
      <c r="H692" s="1613"/>
    </row>
    <row r="693">
      <c r="B693" s="1613"/>
      <c r="D693" s="1613"/>
      <c r="F693" s="1613"/>
      <c r="H693" s="1613"/>
    </row>
    <row r="694">
      <c r="B694" s="1613"/>
      <c r="D694" s="1613"/>
      <c r="F694" s="1613"/>
      <c r="H694" s="1613"/>
    </row>
    <row r="695">
      <c r="B695" s="1613"/>
      <c r="D695" s="1613"/>
      <c r="F695" s="1613"/>
      <c r="H695" s="1613"/>
    </row>
    <row r="696">
      <c r="B696" s="1613"/>
      <c r="D696" s="1613"/>
      <c r="F696" s="1613"/>
      <c r="H696" s="1613"/>
    </row>
    <row r="697">
      <c r="B697" s="1613"/>
      <c r="D697" s="1613"/>
      <c r="F697" s="1613"/>
      <c r="H697" s="1613"/>
    </row>
    <row r="698">
      <c r="B698" s="1613"/>
      <c r="D698" s="1613"/>
      <c r="F698" s="1613"/>
      <c r="H698" s="1613"/>
    </row>
    <row r="699">
      <c r="B699" s="1613"/>
      <c r="D699" s="1613"/>
      <c r="F699" s="1613"/>
      <c r="H699" s="1613"/>
    </row>
    <row r="700">
      <c r="B700" s="1613"/>
      <c r="D700" s="1613"/>
      <c r="F700" s="1613"/>
      <c r="H700" s="1613"/>
    </row>
    <row r="701">
      <c r="B701" s="1613"/>
      <c r="D701" s="1613"/>
      <c r="F701" s="1613"/>
      <c r="H701" s="1613"/>
    </row>
    <row r="702">
      <c r="B702" s="1613"/>
      <c r="D702" s="1613"/>
      <c r="F702" s="1613"/>
      <c r="H702" s="1613"/>
    </row>
    <row r="703">
      <c r="B703" s="1613"/>
      <c r="D703" s="1613"/>
      <c r="F703" s="1613"/>
      <c r="H703" s="1613"/>
    </row>
    <row r="704">
      <c r="B704" s="1613"/>
      <c r="D704" s="1613"/>
      <c r="F704" s="1613"/>
      <c r="H704" s="1613"/>
    </row>
    <row r="705">
      <c r="B705" s="1613"/>
      <c r="D705" s="1613"/>
      <c r="F705" s="1613"/>
      <c r="H705" s="1613"/>
    </row>
    <row r="706">
      <c r="B706" s="1613"/>
      <c r="D706" s="1613"/>
      <c r="F706" s="1613"/>
      <c r="H706" s="1613"/>
    </row>
    <row r="707">
      <c r="B707" s="1613"/>
      <c r="D707" s="1613"/>
      <c r="F707" s="1613"/>
      <c r="H707" s="1613"/>
    </row>
    <row r="708">
      <c r="B708" s="1613"/>
      <c r="D708" s="1613"/>
      <c r="F708" s="1613"/>
      <c r="H708" s="1613"/>
    </row>
    <row r="709">
      <c r="B709" s="1613"/>
      <c r="D709" s="1613"/>
      <c r="F709" s="1613"/>
      <c r="H709" s="1613"/>
    </row>
    <row r="710">
      <c r="B710" s="1613"/>
      <c r="D710" s="1613"/>
      <c r="F710" s="1613"/>
      <c r="H710" s="1613"/>
    </row>
    <row r="711">
      <c r="B711" s="1613"/>
      <c r="D711" s="1613"/>
      <c r="F711" s="1613"/>
      <c r="H711" s="1613"/>
    </row>
    <row r="712">
      <c r="B712" s="1613"/>
      <c r="D712" s="1613"/>
      <c r="F712" s="1613"/>
      <c r="H712" s="1613"/>
    </row>
    <row r="713">
      <c r="B713" s="1613"/>
      <c r="D713" s="1613"/>
      <c r="F713" s="1613"/>
      <c r="H713" s="1613"/>
    </row>
    <row r="714">
      <c r="B714" s="1613"/>
      <c r="D714" s="1613"/>
      <c r="F714" s="1613"/>
      <c r="H714" s="1613"/>
    </row>
    <row r="715">
      <c r="B715" s="1613"/>
      <c r="D715" s="1613"/>
      <c r="F715" s="1613"/>
      <c r="H715" s="1613"/>
    </row>
    <row r="716">
      <c r="B716" s="1613"/>
      <c r="D716" s="1613"/>
      <c r="F716" s="1613"/>
      <c r="H716" s="1613"/>
    </row>
    <row r="717">
      <c r="B717" s="1613"/>
      <c r="D717" s="1613"/>
      <c r="F717" s="1613"/>
      <c r="H717" s="1613"/>
    </row>
    <row r="718">
      <c r="B718" s="1613"/>
      <c r="D718" s="1613"/>
      <c r="F718" s="1613"/>
      <c r="H718" s="1613"/>
    </row>
    <row r="719">
      <c r="B719" s="1613"/>
      <c r="D719" s="1613"/>
      <c r="F719" s="1613"/>
      <c r="H719" s="1613"/>
    </row>
    <row r="720">
      <c r="B720" s="1613"/>
      <c r="D720" s="1613"/>
      <c r="F720" s="1613"/>
      <c r="H720" s="1613"/>
    </row>
    <row r="721">
      <c r="B721" s="1613"/>
      <c r="D721" s="1613"/>
      <c r="F721" s="1613"/>
      <c r="H721" s="1613"/>
    </row>
    <row r="722">
      <c r="B722" s="1613"/>
      <c r="D722" s="1613"/>
      <c r="F722" s="1613"/>
      <c r="H722" s="1613"/>
    </row>
    <row r="723">
      <c r="B723" s="1613"/>
      <c r="D723" s="1613"/>
      <c r="F723" s="1613"/>
      <c r="H723" s="1613"/>
    </row>
    <row r="724">
      <c r="B724" s="1613"/>
      <c r="D724" s="1613"/>
      <c r="F724" s="1613"/>
      <c r="H724" s="1613"/>
    </row>
    <row r="725">
      <c r="B725" s="1613"/>
      <c r="D725" s="1613"/>
      <c r="F725" s="1613"/>
      <c r="H725" s="1613"/>
    </row>
    <row r="726">
      <c r="B726" s="1613"/>
      <c r="D726" s="1613"/>
      <c r="F726" s="1613"/>
      <c r="H726" s="1613"/>
    </row>
    <row r="727">
      <c r="B727" s="1613"/>
      <c r="D727" s="1613"/>
      <c r="F727" s="1613"/>
      <c r="H727" s="1613"/>
    </row>
    <row r="728">
      <c r="B728" s="1613"/>
      <c r="D728" s="1613"/>
      <c r="F728" s="1613"/>
      <c r="H728" s="1613"/>
    </row>
    <row r="729">
      <c r="B729" s="1613"/>
      <c r="D729" s="1613"/>
      <c r="F729" s="1613"/>
      <c r="H729" s="1613"/>
    </row>
    <row r="730">
      <c r="B730" s="1613"/>
      <c r="D730" s="1613"/>
      <c r="F730" s="1613"/>
      <c r="H730" s="1613"/>
    </row>
    <row r="731">
      <c r="B731" s="1613"/>
      <c r="D731" s="1613"/>
      <c r="F731" s="1613"/>
      <c r="H731" s="1613"/>
    </row>
    <row r="732">
      <c r="B732" s="1613"/>
      <c r="D732" s="1613"/>
      <c r="F732" s="1613"/>
      <c r="H732" s="1613"/>
    </row>
    <row r="733">
      <c r="B733" s="1613"/>
      <c r="D733" s="1613"/>
      <c r="F733" s="1613"/>
      <c r="H733" s="1613"/>
    </row>
    <row r="734">
      <c r="B734" s="1613"/>
      <c r="D734" s="1613"/>
      <c r="F734" s="1613"/>
      <c r="H734" s="1613"/>
    </row>
    <row r="735">
      <c r="B735" s="1613"/>
      <c r="D735" s="1613"/>
      <c r="F735" s="1613"/>
      <c r="H735" s="1613"/>
    </row>
    <row r="736">
      <c r="B736" s="1613"/>
      <c r="D736" s="1613"/>
      <c r="F736" s="1613"/>
      <c r="H736" s="1613"/>
    </row>
    <row r="737">
      <c r="B737" s="1613"/>
      <c r="D737" s="1613"/>
      <c r="F737" s="1613"/>
      <c r="H737" s="1613"/>
    </row>
    <row r="738">
      <c r="B738" s="1613"/>
      <c r="D738" s="1613"/>
      <c r="F738" s="1613"/>
      <c r="H738" s="1613"/>
    </row>
    <row r="739">
      <c r="B739" s="1613"/>
      <c r="D739" s="1613"/>
      <c r="F739" s="1613"/>
      <c r="H739" s="1613"/>
    </row>
    <row r="740">
      <c r="B740" s="1613"/>
      <c r="D740" s="1613"/>
      <c r="F740" s="1613"/>
      <c r="H740" s="1613"/>
    </row>
    <row r="741">
      <c r="B741" s="1613"/>
      <c r="D741" s="1613"/>
      <c r="F741" s="1613"/>
      <c r="H741" s="1613"/>
    </row>
    <row r="742">
      <c r="B742" s="1613"/>
      <c r="D742" s="1613"/>
      <c r="F742" s="1613"/>
      <c r="H742" s="1613"/>
    </row>
    <row r="743">
      <c r="B743" s="1613"/>
      <c r="D743" s="1613"/>
      <c r="F743" s="1613"/>
      <c r="H743" s="1613"/>
    </row>
    <row r="744">
      <c r="B744" s="1613"/>
      <c r="D744" s="1613"/>
      <c r="F744" s="1613"/>
      <c r="H744" s="1613"/>
    </row>
    <row r="745">
      <c r="B745" s="1613"/>
      <c r="D745" s="1613"/>
      <c r="F745" s="1613"/>
      <c r="H745" s="1613"/>
    </row>
    <row r="746">
      <c r="B746" s="1613"/>
      <c r="D746" s="1613"/>
      <c r="F746" s="1613"/>
      <c r="H746" s="1613"/>
    </row>
    <row r="747">
      <c r="B747" s="1613"/>
      <c r="D747" s="1613"/>
      <c r="F747" s="1613"/>
      <c r="H747" s="1613"/>
    </row>
    <row r="748">
      <c r="B748" s="1613"/>
      <c r="D748" s="1613"/>
      <c r="F748" s="1613"/>
      <c r="H748" s="1613"/>
    </row>
    <row r="749">
      <c r="B749" s="1613"/>
      <c r="D749" s="1613"/>
      <c r="F749" s="1613"/>
      <c r="H749" s="1613"/>
    </row>
    <row r="750">
      <c r="B750" s="1613"/>
      <c r="D750" s="1613"/>
      <c r="F750" s="1613"/>
      <c r="H750" s="1613"/>
    </row>
    <row r="751">
      <c r="B751" s="1613"/>
      <c r="D751" s="1613"/>
      <c r="F751" s="1613"/>
      <c r="H751" s="1613"/>
    </row>
    <row r="752">
      <c r="B752" s="1613"/>
      <c r="D752" s="1613"/>
      <c r="F752" s="1613"/>
      <c r="H752" s="1613"/>
    </row>
    <row r="753">
      <c r="B753" s="1613"/>
      <c r="D753" s="1613"/>
      <c r="F753" s="1613"/>
      <c r="H753" s="1613"/>
    </row>
    <row r="754">
      <c r="B754" s="1613"/>
      <c r="D754" s="1613"/>
      <c r="F754" s="1613"/>
      <c r="H754" s="1613"/>
    </row>
    <row r="755">
      <c r="B755" s="1613"/>
      <c r="D755" s="1613"/>
      <c r="F755" s="1613"/>
      <c r="H755" s="1613"/>
    </row>
    <row r="756">
      <c r="B756" s="1613"/>
      <c r="D756" s="1613"/>
      <c r="F756" s="1613"/>
      <c r="H756" s="1613"/>
    </row>
    <row r="757">
      <c r="B757" s="1613"/>
      <c r="D757" s="1613"/>
      <c r="F757" s="1613"/>
      <c r="H757" s="1613"/>
    </row>
    <row r="758">
      <c r="B758" s="1613"/>
      <c r="D758" s="1613"/>
      <c r="F758" s="1613"/>
      <c r="H758" s="1613"/>
    </row>
    <row r="759">
      <c r="B759" s="1613"/>
      <c r="D759" s="1613"/>
      <c r="F759" s="1613"/>
      <c r="H759" s="1613"/>
    </row>
    <row r="760">
      <c r="B760" s="1613"/>
      <c r="D760" s="1613"/>
      <c r="F760" s="1613"/>
      <c r="H760" s="1613"/>
    </row>
    <row r="761">
      <c r="B761" s="1613"/>
      <c r="D761" s="1613"/>
      <c r="F761" s="1613"/>
      <c r="H761" s="1613"/>
    </row>
    <row r="762">
      <c r="B762" s="1613"/>
      <c r="D762" s="1613"/>
      <c r="F762" s="1613"/>
      <c r="H762" s="1613"/>
    </row>
    <row r="763">
      <c r="B763" s="1613"/>
      <c r="D763" s="1613"/>
      <c r="F763" s="1613"/>
      <c r="H763" s="1613"/>
    </row>
    <row r="764">
      <c r="B764" s="1613"/>
      <c r="D764" s="1613"/>
      <c r="F764" s="1613"/>
      <c r="H764" s="1613"/>
    </row>
    <row r="765">
      <c r="B765" s="1613"/>
      <c r="D765" s="1613"/>
      <c r="F765" s="1613"/>
      <c r="H765" s="1613"/>
    </row>
    <row r="766">
      <c r="B766" s="1613"/>
      <c r="D766" s="1613"/>
      <c r="F766" s="1613"/>
      <c r="H766" s="1613"/>
    </row>
    <row r="767">
      <c r="B767" s="1613"/>
      <c r="D767" s="1613"/>
      <c r="F767" s="1613"/>
      <c r="H767" s="1613"/>
    </row>
    <row r="768">
      <c r="B768" s="1613"/>
      <c r="D768" s="1613"/>
      <c r="F768" s="1613"/>
      <c r="H768" s="1613"/>
    </row>
    <row r="769">
      <c r="B769" s="1613"/>
      <c r="D769" s="1613"/>
      <c r="F769" s="1613"/>
      <c r="H769" s="1613"/>
    </row>
    <row r="770">
      <c r="B770" s="1613"/>
      <c r="D770" s="1613"/>
      <c r="F770" s="1613"/>
      <c r="H770" s="1613"/>
    </row>
    <row r="771">
      <c r="B771" s="1613"/>
      <c r="D771" s="1613"/>
      <c r="F771" s="1613"/>
      <c r="H771" s="1613"/>
    </row>
    <row r="772">
      <c r="B772" s="1613"/>
      <c r="D772" s="1613"/>
      <c r="F772" s="1613"/>
      <c r="H772" s="1613"/>
    </row>
    <row r="773">
      <c r="B773" s="1613"/>
      <c r="D773" s="1613"/>
      <c r="F773" s="1613"/>
      <c r="H773" s="1613"/>
    </row>
    <row r="774">
      <c r="B774" s="1613"/>
      <c r="D774" s="1613"/>
      <c r="F774" s="1613"/>
      <c r="H774" s="1613"/>
    </row>
    <row r="775">
      <c r="B775" s="1613"/>
      <c r="D775" s="1613"/>
      <c r="F775" s="1613"/>
      <c r="H775" s="1613"/>
    </row>
    <row r="776">
      <c r="B776" s="1613"/>
      <c r="D776" s="1613"/>
      <c r="F776" s="1613"/>
      <c r="H776" s="1613"/>
    </row>
    <row r="777">
      <c r="B777" s="1613"/>
      <c r="D777" s="1613"/>
      <c r="F777" s="1613"/>
      <c r="H777" s="1613"/>
    </row>
    <row r="778">
      <c r="B778" s="1613"/>
      <c r="D778" s="1613"/>
      <c r="F778" s="1613"/>
      <c r="H778" s="1613"/>
    </row>
    <row r="779">
      <c r="B779" s="1613"/>
      <c r="D779" s="1613"/>
      <c r="F779" s="1613"/>
      <c r="H779" s="1613"/>
    </row>
    <row r="780">
      <c r="B780" s="1613"/>
      <c r="D780" s="1613"/>
      <c r="F780" s="1613"/>
      <c r="H780" s="1613"/>
    </row>
    <row r="781">
      <c r="B781" s="1613"/>
      <c r="D781" s="1613"/>
      <c r="F781" s="1613"/>
      <c r="H781" s="1613"/>
    </row>
    <row r="782">
      <c r="B782" s="1613"/>
      <c r="D782" s="1613"/>
      <c r="F782" s="1613"/>
      <c r="H782" s="1613"/>
    </row>
    <row r="783">
      <c r="B783" s="1613"/>
      <c r="D783" s="1613"/>
      <c r="F783" s="1613"/>
      <c r="H783" s="1613"/>
    </row>
    <row r="784">
      <c r="B784" s="1613"/>
      <c r="D784" s="1613"/>
      <c r="F784" s="1613"/>
      <c r="H784" s="1613"/>
    </row>
    <row r="785">
      <c r="B785" s="1613"/>
      <c r="D785" s="1613"/>
      <c r="F785" s="1613"/>
      <c r="H785" s="1613"/>
    </row>
    <row r="786">
      <c r="B786" s="1613"/>
      <c r="D786" s="1613"/>
      <c r="F786" s="1613"/>
      <c r="H786" s="1613"/>
    </row>
    <row r="787">
      <c r="B787" s="1613"/>
      <c r="D787" s="1613"/>
      <c r="F787" s="1613"/>
      <c r="H787" s="1613"/>
    </row>
    <row r="788">
      <c r="B788" s="1613"/>
      <c r="D788" s="1613"/>
      <c r="F788" s="1613"/>
      <c r="H788" s="1613"/>
    </row>
    <row r="789">
      <c r="B789" s="1613"/>
      <c r="D789" s="1613"/>
      <c r="F789" s="1613"/>
      <c r="H789" s="1613"/>
    </row>
    <row r="790">
      <c r="B790" s="1613"/>
      <c r="D790" s="1613"/>
      <c r="F790" s="1613"/>
      <c r="H790" s="1613"/>
    </row>
    <row r="791">
      <c r="B791" s="1613"/>
      <c r="D791" s="1613"/>
      <c r="F791" s="1613"/>
      <c r="H791" s="1613"/>
    </row>
    <row r="792">
      <c r="B792" s="1613"/>
      <c r="D792" s="1613"/>
      <c r="F792" s="1613"/>
      <c r="H792" s="1613"/>
    </row>
    <row r="793">
      <c r="B793" s="1613"/>
      <c r="D793" s="1613"/>
      <c r="F793" s="1613"/>
      <c r="H793" s="1613"/>
    </row>
    <row r="794">
      <c r="B794" s="1613"/>
      <c r="D794" s="1613"/>
      <c r="F794" s="1613"/>
      <c r="H794" s="1613"/>
    </row>
    <row r="795">
      <c r="B795" s="1613"/>
      <c r="D795" s="1613"/>
      <c r="F795" s="1613"/>
      <c r="H795" s="1613"/>
    </row>
    <row r="796">
      <c r="B796" s="1613"/>
      <c r="D796" s="1613"/>
      <c r="F796" s="1613"/>
      <c r="H796" s="1613"/>
    </row>
    <row r="797">
      <c r="B797" s="1613"/>
      <c r="D797" s="1613"/>
      <c r="F797" s="1613"/>
      <c r="H797" s="1613"/>
    </row>
    <row r="798">
      <c r="B798" s="1613"/>
      <c r="D798" s="1613"/>
      <c r="F798" s="1613"/>
      <c r="H798" s="1613"/>
    </row>
    <row r="799">
      <c r="B799" s="1613"/>
      <c r="D799" s="1613"/>
      <c r="F799" s="1613"/>
      <c r="H799" s="1613"/>
    </row>
    <row r="800">
      <c r="B800" s="1613"/>
      <c r="D800" s="1613"/>
      <c r="F800" s="1613"/>
      <c r="H800" s="1613"/>
    </row>
    <row r="801">
      <c r="B801" s="1613"/>
      <c r="D801" s="1613"/>
      <c r="F801" s="1613"/>
      <c r="H801" s="1613"/>
    </row>
    <row r="802">
      <c r="B802" s="1613"/>
      <c r="D802" s="1613"/>
      <c r="F802" s="1613"/>
      <c r="H802" s="1613"/>
    </row>
    <row r="803">
      <c r="B803" s="1613"/>
      <c r="D803" s="1613"/>
      <c r="F803" s="1613"/>
      <c r="H803" s="1613"/>
    </row>
    <row r="804">
      <c r="B804" s="1613"/>
      <c r="D804" s="1613"/>
      <c r="F804" s="1613"/>
      <c r="H804" s="1613"/>
    </row>
    <row r="805">
      <c r="B805" s="1613"/>
      <c r="D805" s="1613"/>
      <c r="F805" s="1613"/>
      <c r="H805" s="1613"/>
    </row>
    <row r="806">
      <c r="B806" s="1613"/>
      <c r="D806" s="1613"/>
      <c r="F806" s="1613"/>
      <c r="H806" s="1613"/>
    </row>
    <row r="807">
      <c r="B807" s="1613"/>
      <c r="D807" s="1613"/>
      <c r="F807" s="1613"/>
      <c r="H807" s="1613"/>
    </row>
    <row r="808">
      <c r="B808" s="1613"/>
      <c r="D808" s="1613"/>
      <c r="F808" s="1613"/>
      <c r="H808" s="1613"/>
    </row>
    <row r="809">
      <c r="B809" s="1613"/>
      <c r="D809" s="1613"/>
      <c r="F809" s="1613"/>
      <c r="H809" s="1613"/>
    </row>
    <row r="810">
      <c r="B810" s="1613"/>
      <c r="D810" s="1613"/>
      <c r="F810" s="1613"/>
      <c r="H810" s="1613"/>
    </row>
    <row r="811">
      <c r="B811" s="1613"/>
      <c r="D811" s="1613"/>
      <c r="F811" s="1613"/>
      <c r="H811" s="1613"/>
    </row>
    <row r="812">
      <c r="B812" s="1613"/>
      <c r="D812" s="1613"/>
      <c r="F812" s="1613"/>
      <c r="H812" s="1613"/>
    </row>
    <row r="813">
      <c r="B813" s="1613"/>
      <c r="D813" s="1613"/>
      <c r="F813" s="1613"/>
      <c r="H813" s="1613"/>
    </row>
    <row r="814">
      <c r="B814" s="1613"/>
      <c r="D814" s="1613"/>
      <c r="F814" s="1613"/>
      <c r="H814" s="1613"/>
    </row>
    <row r="815">
      <c r="B815" s="1613"/>
      <c r="D815" s="1613"/>
      <c r="F815" s="1613"/>
      <c r="H815" s="1613"/>
    </row>
    <row r="816">
      <c r="B816" s="1613"/>
      <c r="D816" s="1613"/>
      <c r="F816" s="1613"/>
      <c r="H816" s="1613"/>
    </row>
    <row r="817">
      <c r="B817" s="1613"/>
      <c r="D817" s="1613"/>
      <c r="F817" s="1613"/>
      <c r="H817" s="1613"/>
    </row>
    <row r="818">
      <c r="B818" s="1613"/>
      <c r="D818" s="1613"/>
      <c r="F818" s="1613"/>
      <c r="H818" s="1613"/>
    </row>
    <row r="819">
      <c r="B819" s="1613"/>
      <c r="D819" s="1613"/>
      <c r="F819" s="1613"/>
      <c r="H819" s="1613"/>
    </row>
    <row r="820">
      <c r="B820" s="1613"/>
      <c r="D820" s="1613"/>
      <c r="F820" s="1613"/>
      <c r="H820" s="1613"/>
    </row>
    <row r="821">
      <c r="B821" s="1613"/>
      <c r="D821" s="1613"/>
      <c r="F821" s="1613"/>
      <c r="H821" s="1613"/>
    </row>
    <row r="822">
      <c r="B822" s="1613"/>
      <c r="D822" s="1613"/>
      <c r="F822" s="1613"/>
      <c r="H822" s="1613"/>
    </row>
    <row r="823">
      <c r="B823" s="1613"/>
      <c r="D823" s="1613"/>
      <c r="F823" s="1613"/>
      <c r="H823" s="1613"/>
    </row>
    <row r="824">
      <c r="B824" s="1613"/>
      <c r="D824" s="1613"/>
      <c r="F824" s="1613"/>
      <c r="H824" s="1613"/>
    </row>
    <row r="825">
      <c r="B825" s="1613"/>
      <c r="D825" s="1613"/>
      <c r="F825" s="1613"/>
      <c r="H825" s="1613"/>
    </row>
    <row r="826">
      <c r="B826" s="1613"/>
      <c r="D826" s="1613"/>
      <c r="F826" s="1613"/>
      <c r="H826" s="1613"/>
    </row>
    <row r="827">
      <c r="B827" s="1613"/>
      <c r="D827" s="1613"/>
      <c r="F827" s="1613"/>
      <c r="H827" s="1613"/>
    </row>
    <row r="828">
      <c r="B828" s="1613"/>
      <c r="D828" s="1613"/>
      <c r="F828" s="1613"/>
      <c r="H828" s="1613"/>
    </row>
    <row r="829">
      <c r="B829" s="1613"/>
      <c r="D829" s="1613"/>
      <c r="F829" s="1613"/>
      <c r="H829" s="1613"/>
    </row>
    <row r="830">
      <c r="B830" s="1613"/>
      <c r="D830" s="1613"/>
      <c r="F830" s="1613"/>
      <c r="H830" s="1613"/>
    </row>
    <row r="831">
      <c r="B831" s="1613"/>
      <c r="D831" s="1613"/>
      <c r="F831" s="1613"/>
      <c r="H831" s="1613"/>
    </row>
    <row r="832">
      <c r="B832" s="1613"/>
      <c r="D832" s="1613"/>
      <c r="F832" s="1613"/>
      <c r="H832" s="1613"/>
    </row>
    <row r="833">
      <c r="B833" s="1613"/>
      <c r="D833" s="1613"/>
      <c r="F833" s="1613"/>
      <c r="H833" s="1613"/>
    </row>
    <row r="834">
      <c r="B834" s="1613"/>
      <c r="D834" s="1613"/>
      <c r="F834" s="1613"/>
      <c r="H834" s="1613"/>
    </row>
    <row r="835">
      <c r="B835" s="1613"/>
      <c r="D835" s="1613"/>
      <c r="F835" s="1613"/>
      <c r="H835" s="1613"/>
    </row>
    <row r="836">
      <c r="B836" s="1613"/>
      <c r="D836" s="1613"/>
      <c r="F836" s="1613"/>
      <c r="H836" s="1613"/>
    </row>
    <row r="837">
      <c r="B837" s="1613"/>
      <c r="D837" s="1613"/>
      <c r="F837" s="1613"/>
      <c r="H837" s="1613"/>
    </row>
    <row r="838">
      <c r="B838" s="1613"/>
      <c r="D838" s="1613"/>
      <c r="F838" s="1613"/>
      <c r="H838" s="1613"/>
    </row>
    <row r="839">
      <c r="B839" s="1613"/>
      <c r="D839" s="1613"/>
      <c r="F839" s="1613"/>
      <c r="H839" s="1613"/>
    </row>
    <row r="840">
      <c r="B840" s="1613"/>
      <c r="D840" s="1613"/>
      <c r="F840" s="1613"/>
      <c r="H840" s="1613"/>
    </row>
    <row r="841">
      <c r="B841" s="1613"/>
      <c r="D841" s="1613"/>
      <c r="F841" s="1613"/>
      <c r="H841" s="1613"/>
    </row>
    <row r="842">
      <c r="B842" s="1613"/>
      <c r="D842" s="1613"/>
      <c r="F842" s="1613"/>
      <c r="H842" s="1613"/>
    </row>
    <row r="843">
      <c r="B843" s="1613"/>
      <c r="D843" s="1613"/>
      <c r="F843" s="1613"/>
      <c r="H843" s="1613"/>
    </row>
    <row r="844">
      <c r="B844" s="1613"/>
      <c r="D844" s="1613"/>
      <c r="F844" s="1613"/>
      <c r="H844" s="1613"/>
    </row>
    <row r="845">
      <c r="B845" s="1613"/>
      <c r="D845" s="1613"/>
      <c r="F845" s="1613"/>
      <c r="H845" s="1613"/>
    </row>
    <row r="846">
      <c r="B846" s="1613"/>
      <c r="D846" s="1613"/>
      <c r="F846" s="1613"/>
      <c r="H846" s="1613"/>
    </row>
    <row r="847">
      <c r="B847" s="1613"/>
      <c r="D847" s="1613"/>
      <c r="F847" s="1613"/>
      <c r="H847" s="1613"/>
    </row>
    <row r="848">
      <c r="B848" s="1613"/>
      <c r="D848" s="1613"/>
      <c r="F848" s="1613"/>
      <c r="H848" s="1613"/>
    </row>
    <row r="849">
      <c r="B849" s="1613"/>
      <c r="D849" s="1613"/>
      <c r="F849" s="1613"/>
      <c r="H849" s="1613"/>
    </row>
    <row r="850">
      <c r="B850" s="1613"/>
      <c r="D850" s="1613"/>
      <c r="F850" s="1613"/>
      <c r="H850" s="1613"/>
    </row>
    <row r="851">
      <c r="B851" s="1613"/>
      <c r="D851" s="1613"/>
      <c r="F851" s="1613"/>
      <c r="H851" s="1613"/>
    </row>
    <row r="852">
      <c r="B852" s="1613"/>
      <c r="D852" s="1613"/>
      <c r="F852" s="1613"/>
      <c r="H852" s="1613"/>
    </row>
    <row r="853">
      <c r="B853" s="1613"/>
      <c r="D853" s="1613"/>
      <c r="F853" s="1613"/>
      <c r="H853" s="1613"/>
    </row>
    <row r="854">
      <c r="B854" s="1613"/>
      <c r="D854" s="1613"/>
      <c r="F854" s="1613"/>
      <c r="H854" s="1613"/>
    </row>
    <row r="855">
      <c r="B855" s="1613"/>
      <c r="D855" s="1613"/>
      <c r="F855" s="1613"/>
      <c r="H855" s="1613"/>
    </row>
    <row r="856">
      <c r="B856" s="1613"/>
      <c r="D856" s="1613"/>
      <c r="F856" s="1613"/>
      <c r="H856" s="1613"/>
    </row>
    <row r="857">
      <c r="B857" s="1613"/>
      <c r="D857" s="1613"/>
      <c r="F857" s="1613"/>
      <c r="H857" s="1613"/>
    </row>
    <row r="858">
      <c r="B858" s="1613"/>
      <c r="D858" s="1613"/>
      <c r="F858" s="1613"/>
      <c r="H858" s="1613"/>
    </row>
    <row r="859">
      <c r="B859" s="1613"/>
      <c r="D859" s="1613"/>
      <c r="F859" s="1613"/>
      <c r="H859" s="1613"/>
    </row>
    <row r="860">
      <c r="B860" s="1613"/>
      <c r="D860" s="1613"/>
      <c r="F860" s="1613"/>
      <c r="H860" s="1613"/>
    </row>
    <row r="861">
      <c r="B861" s="1613"/>
      <c r="D861" s="1613"/>
      <c r="F861" s="1613"/>
      <c r="H861" s="1613"/>
    </row>
    <row r="862">
      <c r="B862" s="1613"/>
      <c r="D862" s="1613"/>
      <c r="F862" s="1613"/>
      <c r="H862" s="1613"/>
    </row>
    <row r="863">
      <c r="B863" s="1613"/>
      <c r="D863" s="1613"/>
      <c r="F863" s="1613"/>
      <c r="H863" s="1613"/>
    </row>
    <row r="864">
      <c r="B864" s="1613"/>
      <c r="D864" s="1613"/>
      <c r="F864" s="1613"/>
      <c r="H864" s="1613"/>
    </row>
    <row r="865">
      <c r="B865" s="1613"/>
      <c r="D865" s="1613"/>
      <c r="F865" s="1613"/>
      <c r="H865" s="1613"/>
    </row>
    <row r="866">
      <c r="B866" s="1613"/>
      <c r="D866" s="1613"/>
      <c r="F866" s="1613"/>
      <c r="H866" s="1613"/>
    </row>
    <row r="867">
      <c r="B867" s="1613"/>
      <c r="D867" s="1613"/>
      <c r="F867" s="1613"/>
      <c r="H867" s="1613"/>
    </row>
    <row r="868">
      <c r="B868" s="1613"/>
      <c r="D868" s="1613"/>
      <c r="F868" s="1613"/>
      <c r="H868" s="1613"/>
    </row>
    <row r="869">
      <c r="B869" s="1613"/>
      <c r="D869" s="1613"/>
      <c r="F869" s="1613"/>
      <c r="H869" s="1613"/>
    </row>
    <row r="870">
      <c r="B870" s="1613"/>
      <c r="D870" s="1613"/>
      <c r="F870" s="1613"/>
      <c r="H870" s="1613"/>
    </row>
    <row r="871">
      <c r="B871" s="1613"/>
      <c r="D871" s="1613"/>
      <c r="F871" s="1613"/>
      <c r="H871" s="1613"/>
    </row>
    <row r="872">
      <c r="B872" s="1613"/>
      <c r="D872" s="1613"/>
      <c r="F872" s="1613"/>
      <c r="H872" s="1613"/>
    </row>
    <row r="873">
      <c r="B873" s="1613"/>
      <c r="D873" s="1613"/>
      <c r="F873" s="1613"/>
      <c r="H873" s="1613"/>
    </row>
    <row r="874">
      <c r="B874" s="1613"/>
      <c r="D874" s="1613"/>
      <c r="F874" s="1613"/>
      <c r="H874" s="1613"/>
    </row>
    <row r="875">
      <c r="B875" s="1613"/>
      <c r="D875" s="1613"/>
      <c r="F875" s="1613"/>
      <c r="H875" s="1613"/>
    </row>
    <row r="876">
      <c r="B876" s="1613"/>
      <c r="D876" s="1613"/>
      <c r="F876" s="1613"/>
      <c r="H876" s="1613"/>
    </row>
    <row r="877">
      <c r="B877" s="1613"/>
      <c r="D877" s="1613"/>
      <c r="F877" s="1613"/>
      <c r="H877" s="1613"/>
    </row>
    <row r="878">
      <c r="B878" s="1613"/>
      <c r="D878" s="1613"/>
      <c r="F878" s="1613"/>
      <c r="H878" s="1613"/>
    </row>
    <row r="879">
      <c r="B879" s="1613"/>
      <c r="D879" s="1613"/>
      <c r="F879" s="1613"/>
      <c r="H879" s="1613"/>
    </row>
    <row r="880">
      <c r="B880" s="1613"/>
      <c r="D880" s="1613"/>
      <c r="F880" s="1613"/>
      <c r="H880" s="1613"/>
    </row>
    <row r="881">
      <c r="B881" s="1613"/>
      <c r="D881" s="1613"/>
      <c r="F881" s="1613"/>
      <c r="H881" s="1613"/>
    </row>
    <row r="882">
      <c r="B882" s="1613"/>
      <c r="D882" s="1613"/>
      <c r="F882" s="1613"/>
      <c r="H882" s="1613"/>
    </row>
    <row r="883">
      <c r="B883" s="1613"/>
      <c r="D883" s="1613"/>
      <c r="F883" s="1613"/>
      <c r="H883" s="1613"/>
    </row>
    <row r="884">
      <c r="B884" s="1613"/>
      <c r="D884" s="1613"/>
      <c r="F884" s="1613"/>
      <c r="H884" s="1613"/>
    </row>
    <row r="885">
      <c r="B885" s="1613"/>
      <c r="D885" s="1613"/>
      <c r="F885" s="1613"/>
      <c r="H885" s="1613"/>
    </row>
    <row r="886">
      <c r="B886" s="1613"/>
      <c r="D886" s="1613"/>
      <c r="F886" s="1613"/>
      <c r="H886" s="1613"/>
    </row>
    <row r="887">
      <c r="B887" s="1613"/>
      <c r="D887" s="1613"/>
      <c r="F887" s="1613"/>
      <c r="H887" s="1613"/>
    </row>
    <row r="888">
      <c r="B888" s="1613"/>
      <c r="D888" s="1613"/>
      <c r="F888" s="1613"/>
      <c r="H888" s="1613"/>
    </row>
    <row r="889">
      <c r="B889" s="1613"/>
      <c r="D889" s="1613"/>
      <c r="F889" s="1613"/>
      <c r="H889" s="1613"/>
    </row>
    <row r="890">
      <c r="B890" s="1613"/>
      <c r="D890" s="1613"/>
      <c r="F890" s="1613"/>
      <c r="H890" s="1613"/>
    </row>
    <row r="891">
      <c r="B891" s="1613"/>
      <c r="D891" s="1613"/>
      <c r="F891" s="1613"/>
      <c r="H891" s="1613"/>
    </row>
    <row r="892">
      <c r="B892" s="1613"/>
      <c r="D892" s="1613"/>
      <c r="F892" s="1613"/>
      <c r="H892" s="1613"/>
    </row>
    <row r="893">
      <c r="B893" s="1613"/>
      <c r="D893" s="1613"/>
      <c r="F893" s="1613"/>
      <c r="H893" s="1613"/>
    </row>
    <row r="894">
      <c r="B894" s="1613"/>
      <c r="D894" s="1613"/>
      <c r="F894" s="1613"/>
      <c r="H894" s="1613"/>
    </row>
    <row r="895">
      <c r="B895" s="1613"/>
      <c r="D895" s="1613"/>
      <c r="F895" s="1613"/>
      <c r="H895" s="1613"/>
    </row>
    <row r="896">
      <c r="B896" s="1613"/>
      <c r="D896" s="1613"/>
      <c r="F896" s="1613"/>
      <c r="H896" s="1613"/>
    </row>
    <row r="897">
      <c r="B897" s="1613"/>
      <c r="D897" s="1613"/>
      <c r="F897" s="1613"/>
      <c r="H897" s="1613"/>
    </row>
    <row r="898">
      <c r="B898" s="1613"/>
      <c r="D898" s="1613"/>
      <c r="F898" s="1613"/>
      <c r="H898" s="1613"/>
    </row>
    <row r="899">
      <c r="B899" s="1613"/>
      <c r="D899" s="1613"/>
      <c r="F899" s="1613"/>
      <c r="H899" s="1613"/>
    </row>
    <row r="900">
      <c r="B900" s="1613"/>
      <c r="D900" s="1613"/>
      <c r="F900" s="1613"/>
      <c r="H900" s="1613"/>
    </row>
    <row r="901">
      <c r="B901" s="1613"/>
      <c r="D901" s="1613"/>
      <c r="F901" s="1613"/>
      <c r="H901" s="1613"/>
    </row>
    <row r="902">
      <c r="B902" s="1613"/>
      <c r="D902" s="1613"/>
      <c r="F902" s="1613"/>
      <c r="H902" s="1613"/>
    </row>
    <row r="903">
      <c r="B903" s="1613"/>
      <c r="D903" s="1613"/>
      <c r="F903" s="1613"/>
      <c r="H903" s="1613"/>
    </row>
    <row r="904">
      <c r="B904" s="1613"/>
      <c r="D904" s="1613"/>
      <c r="F904" s="1613"/>
      <c r="H904" s="1613"/>
    </row>
    <row r="905">
      <c r="B905" s="1613"/>
      <c r="D905" s="1613"/>
      <c r="F905" s="1613"/>
      <c r="H905" s="1613"/>
    </row>
    <row r="906">
      <c r="B906" s="1613"/>
      <c r="D906" s="1613"/>
      <c r="F906" s="1613"/>
      <c r="H906" s="1613"/>
    </row>
    <row r="907">
      <c r="B907" s="1613"/>
      <c r="D907" s="1613"/>
      <c r="F907" s="1613"/>
      <c r="H907" s="1613"/>
    </row>
    <row r="908">
      <c r="B908" s="1613"/>
      <c r="D908" s="1613"/>
      <c r="F908" s="1613"/>
      <c r="H908" s="1613"/>
    </row>
    <row r="909">
      <c r="B909" s="1613"/>
      <c r="D909" s="1613"/>
      <c r="F909" s="1613"/>
      <c r="H909" s="1613"/>
    </row>
    <row r="910">
      <c r="B910" s="1613"/>
      <c r="D910" s="1613"/>
      <c r="F910" s="1613"/>
      <c r="H910" s="1613"/>
    </row>
    <row r="911">
      <c r="B911" s="1613"/>
      <c r="D911" s="1613"/>
      <c r="F911" s="1613"/>
      <c r="H911" s="1613"/>
    </row>
    <row r="912">
      <c r="B912" s="1613"/>
      <c r="D912" s="1613"/>
      <c r="F912" s="1613"/>
      <c r="H912" s="1613"/>
    </row>
    <row r="913">
      <c r="B913" s="1613"/>
      <c r="D913" s="1613"/>
      <c r="F913" s="1613"/>
      <c r="H913" s="1613"/>
    </row>
    <row r="914">
      <c r="B914" s="1613"/>
      <c r="D914" s="1613"/>
      <c r="F914" s="1613"/>
      <c r="H914" s="1613"/>
    </row>
    <row r="915">
      <c r="B915" s="1613"/>
      <c r="D915" s="1613"/>
      <c r="F915" s="1613"/>
      <c r="H915" s="1613"/>
    </row>
    <row r="916">
      <c r="B916" s="1613"/>
      <c r="D916" s="1613"/>
      <c r="F916" s="1613"/>
      <c r="H916" s="1613"/>
    </row>
    <row r="917">
      <c r="B917" s="1613"/>
      <c r="D917" s="1613"/>
      <c r="F917" s="1613"/>
      <c r="H917" s="1613"/>
    </row>
    <row r="918">
      <c r="B918" s="1613"/>
      <c r="D918" s="1613"/>
      <c r="F918" s="1613"/>
      <c r="H918" s="1613"/>
    </row>
    <row r="919">
      <c r="B919" s="1613"/>
      <c r="D919" s="1613"/>
      <c r="F919" s="1613"/>
      <c r="H919" s="1613"/>
    </row>
    <row r="920">
      <c r="B920" s="1613"/>
      <c r="D920" s="1613"/>
      <c r="F920" s="1613"/>
      <c r="H920" s="1613"/>
    </row>
    <row r="921">
      <c r="B921" s="1613"/>
      <c r="D921" s="1613"/>
      <c r="F921" s="1613"/>
      <c r="H921" s="1613"/>
    </row>
    <row r="922">
      <c r="B922" s="1613"/>
      <c r="D922" s="1613"/>
      <c r="F922" s="1613"/>
      <c r="H922" s="1613"/>
    </row>
    <row r="923">
      <c r="B923" s="1613"/>
      <c r="D923" s="1613"/>
      <c r="F923" s="1613"/>
      <c r="H923" s="1613"/>
    </row>
    <row r="924">
      <c r="B924" s="1613"/>
      <c r="D924" s="1613"/>
      <c r="F924" s="1613"/>
      <c r="H924" s="1613"/>
    </row>
    <row r="925">
      <c r="B925" s="1613"/>
      <c r="D925" s="1613"/>
      <c r="F925" s="1613"/>
      <c r="H925" s="1613"/>
    </row>
    <row r="926">
      <c r="B926" s="1613"/>
      <c r="D926" s="1613"/>
      <c r="F926" s="1613"/>
      <c r="H926" s="1613"/>
    </row>
    <row r="927">
      <c r="B927" s="1613"/>
      <c r="D927" s="1613"/>
      <c r="F927" s="1613"/>
      <c r="H927" s="1613"/>
    </row>
    <row r="928">
      <c r="B928" s="1613"/>
      <c r="D928" s="1613"/>
      <c r="F928" s="1613"/>
      <c r="H928" s="1613"/>
    </row>
    <row r="929">
      <c r="B929" s="1613"/>
      <c r="D929" s="1613"/>
      <c r="F929" s="1613"/>
      <c r="H929" s="1613"/>
    </row>
    <row r="930">
      <c r="B930" s="1613"/>
      <c r="D930" s="1613"/>
      <c r="F930" s="1613"/>
      <c r="H930" s="1613"/>
    </row>
    <row r="931">
      <c r="B931" s="1613"/>
      <c r="D931" s="1613"/>
      <c r="F931" s="1613"/>
      <c r="H931" s="1613"/>
    </row>
    <row r="932">
      <c r="B932" s="1613"/>
      <c r="D932" s="1613"/>
      <c r="F932" s="1613"/>
      <c r="H932" s="1613"/>
    </row>
    <row r="933">
      <c r="B933" s="1613"/>
      <c r="D933" s="1613"/>
      <c r="F933" s="1613"/>
      <c r="H933" s="1613"/>
    </row>
    <row r="934">
      <c r="B934" s="1613"/>
      <c r="D934" s="1613"/>
      <c r="F934" s="1613"/>
      <c r="H934" s="1613"/>
    </row>
    <row r="935">
      <c r="B935" s="1613"/>
      <c r="D935" s="1613"/>
      <c r="F935" s="1613"/>
      <c r="H935" s="1613"/>
    </row>
    <row r="936">
      <c r="B936" s="1613"/>
      <c r="D936" s="1613"/>
      <c r="F936" s="1613"/>
      <c r="H936" s="1613"/>
    </row>
    <row r="937">
      <c r="B937" s="1613"/>
      <c r="D937" s="1613"/>
      <c r="F937" s="1613"/>
      <c r="H937" s="1613"/>
    </row>
    <row r="938">
      <c r="B938" s="1613"/>
      <c r="D938" s="1613"/>
      <c r="F938" s="1613"/>
      <c r="H938" s="1613"/>
    </row>
    <row r="939">
      <c r="B939" s="1613"/>
      <c r="D939" s="1613"/>
      <c r="F939" s="1613"/>
      <c r="H939" s="1613"/>
    </row>
    <row r="940">
      <c r="B940" s="1613"/>
      <c r="D940" s="1613"/>
      <c r="F940" s="1613"/>
      <c r="H940" s="1613"/>
    </row>
    <row r="941">
      <c r="B941" s="1613"/>
      <c r="D941" s="1613"/>
      <c r="F941" s="1613"/>
      <c r="H941" s="1613"/>
    </row>
    <row r="942">
      <c r="B942" s="1613"/>
      <c r="D942" s="1613"/>
      <c r="F942" s="1613"/>
      <c r="H942" s="1613"/>
    </row>
    <row r="943">
      <c r="B943" s="1613"/>
      <c r="D943" s="1613"/>
      <c r="F943" s="1613"/>
      <c r="H943" s="1613"/>
    </row>
    <row r="944">
      <c r="B944" s="1613"/>
      <c r="D944" s="1613"/>
      <c r="F944" s="1613"/>
      <c r="H944" s="1613"/>
    </row>
    <row r="945">
      <c r="B945" s="1613"/>
      <c r="D945" s="1613"/>
      <c r="F945" s="1613"/>
      <c r="H945" s="1613"/>
    </row>
    <row r="946">
      <c r="B946" s="1613"/>
      <c r="D946" s="1613"/>
      <c r="F946" s="1613"/>
      <c r="H946" s="1613"/>
    </row>
    <row r="947">
      <c r="B947" s="1613"/>
      <c r="D947" s="1613"/>
      <c r="F947" s="1613"/>
      <c r="H947" s="1613"/>
    </row>
    <row r="948">
      <c r="B948" s="1613"/>
      <c r="D948" s="1613"/>
      <c r="F948" s="1613"/>
      <c r="H948" s="1613"/>
    </row>
    <row r="949">
      <c r="B949" s="1613"/>
      <c r="D949" s="1613"/>
      <c r="F949" s="1613"/>
      <c r="H949" s="1613"/>
    </row>
    <row r="950">
      <c r="B950" s="1613"/>
      <c r="D950" s="1613"/>
      <c r="F950" s="1613"/>
      <c r="H950" s="1613"/>
    </row>
    <row r="951">
      <c r="B951" s="1613"/>
      <c r="D951" s="1613"/>
      <c r="F951" s="1613"/>
      <c r="H951" s="1613"/>
    </row>
    <row r="952">
      <c r="B952" s="1613"/>
      <c r="D952" s="1613"/>
      <c r="F952" s="1613"/>
      <c r="H952" s="1613"/>
    </row>
    <row r="953">
      <c r="B953" s="1613"/>
      <c r="D953" s="1613"/>
      <c r="F953" s="1613"/>
      <c r="H953" s="1613"/>
    </row>
    <row r="954">
      <c r="B954" s="1613"/>
      <c r="D954" s="1613"/>
      <c r="F954" s="1613"/>
      <c r="H954" s="1613"/>
    </row>
    <row r="955">
      <c r="B955" s="1613"/>
      <c r="D955" s="1613"/>
      <c r="F955" s="1613"/>
      <c r="H955" s="1613"/>
    </row>
    <row r="956">
      <c r="B956" s="1613"/>
      <c r="D956" s="1613"/>
      <c r="F956" s="1613"/>
      <c r="H956" s="1613"/>
    </row>
    <row r="957">
      <c r="B957" s="1613"/>
      <c r="D957" s="1613"/>
      <c r="F957" s="1613"/>
      <c r="H957" s="1613"/>
    </row>
    <row r="958">
      <c r="B958" s="1613"/>
      <c r="D958" s="1613"/>
      <c r="F958" s="1613"/>
      <c r="H958" s="1613"/>
    </row>
    <row r="959">
      <c r="B959" s="1613"/>
      <c r="D959" s="1613"/>
      <c r="F959" s="1613"/>
      <c r="H959" s="1613"/>
    </row>
    <row r="960">
      <c r="B960" s="1613"/>
      <c r="D960" s="1613"/>
      <c r="F960" s="1613"/>
      <c r="H960" s="1613"/>
    </row>
    <row r="961">
      <c r="B961" s="1613"/>
      <c r="D961" s="1613"/>
      <c r="F961" s="1613"/>
      <c r="H961" s="1613"/>
    </row>
    <row r="962">
      <c r="B962" s="1613"/>
      <c r="D962" s="1613"/>
      <c r="F962" s="1613"/>
      <c r="H962" s="1613"/>
    </row>
    <row r="963">
      <c r="B963" s="1613"/>
      <c r="D963" s="1613"/>
      <c r="F963" s="1613"/>
      <c r="H963" s="1613"/>
    </row>
    <row r="964">
      <c r="B964" s="1613"/>
      <c r="D964" s="1613"/>
      <c r="F964" s="1613"/>
      <c r="H964" s="1613"/>
    </row>
    <row r="965">
      <c r="B965" s="1613"/>
      <c r="D965" s="1613"/>
      <c r="F965" s="1613"/>
      <c r="H965" s="1613"/>
    </row>
    <row r="966">
      <c r="B966" s="1613"/>
      <c r="D966" s="1613"/>
      <c r="F966" s="1613"/>
      <c r="H966" s="1613"/>
    </row>
    <row r="967">
      <c r="B967" s="1613"/>
      <c r="D967" s="1613"/>
      <c r="F967" s="1613"/>
      <c r="H967" s="1613"/>
    </row>
    <row r="968">
      <c r="B968" s="1613"/>
      <c r="D968" s="1613"/>
      <c r="F968" s="1613"/>
      <c r="H968" s="1613"/>
    </row>
    <row r="969">
      <c r="B969" s="1613"/>
      <c r="D969" s="1613"/>
      <c r="F969" s="1613"/>
      <c r="H969" s="1613"/>
    </row>
    <row r="970">
      <c r="B970" s="1613"/>
      <c r="D970" s="1613"/>
      <c r="F970" s="1613"/>
      <c r="H970" s="1613"/>
    </row>
    <row r="971">
      <c r="B971" s="1613"/>
      <c r="D971" s="1613"/>
      <c r="F971" s="1613"/>
      <c r="H971" s="1613"/>
    </row>
    <row r="972">
      <c r="B972" s="1613"/>
      <c r="D972" s="1613"/>
      <c r="F972" s="1613"/>
      <c r="H972" s="1613"/>
    </row>
    <row r="973">
      <c r="B973" s="1613"/>
      <c r="D973" s="1613"/>
      <c r="F973" s="1613"/>
      <c r="H973" s="1613"/>
    </row>
    <row r="974">
      <c r="B974" s="1613"/>
      <c r="D974" s="1613"/>
      <c r="F974" s="1613"/>
      <c r="H974" s="1613"/>
    </row>
    <row r="975">
      <c r="B975" s="1613"/>
      <c r="D975" s="1613"/>
      <c r="F975" s="1613"/>
      <c r="H975" s="1613"/>
    </row>
    <row r="976">
      <c r="B976" s="1613"/>
      <c r="D976" s="1613"/>
      <c r="F976" s="1613"/>
      <c r="H976" s="1613"/>
    </row>
    <row r="977">
      <c r="B977" s="1613"/>
      <c r="D977" s="1613"/>
      <c r="F977" s="1613"/>
      <c r="H977" s="1613"/>
    </row>
    <row r="978">
      <c r="B978" s="1613"/>
      <c r="D978" s="1613"/>
      <c r="F978" s="1613"/>
      <c r="H978" s="1613"/>
    </row>
    <row r="979">
      <c r="B979" s="1613"/>
      <c r="D979" s="1613"/>
      <c r="F979" s="1613"/>
      <c r="H979" s="1613"/>
    </row>
    <row r="980">
      <c r="B980" s="1613"/>
      <c r="D980" s="1613"/>
      <c r="F980" s="1613"/>
      <c r="H980" s="1613"/>
    </row>
    <row r="981">
      <c r="B981" s="1613"/>
      <c r="D981" s="1613"/>
      <c r="F981" s="1613"/>
      <c r="H981" s="1613"/>
    </row>
    <row r="982">
      <c r="B982" s="1613"/>
      <c r="D982" s="1613"/>
      <c r="F982" s="1613"/>
      <c r="H982" s="1613"/>
    </row>
    <row r="983">
      <c r="B983" s="1613"/>
      <c r="D983" s="1613"/>
      <c r="F983" s="1613"/>
      <c r="H983" s="1613"/>
    </row>
    <row r="984">
      <c r="B984" s="1613"/>
      <c r="D984" s="1613"/>
      <c r="F984" s="1613"/>
      <c r="H984" s="1613"/>
    </row>
    <row r="985">
      <c r="B985" s="1613"/>
      <c r="D985" s="1613"/>
      <c r="F985" s="1613"/>
      <c r="H985" s="1613"/>
    </row>
    <row r="986">
      <c r="B986" s="1613"/>
      <c r="D986" s="1613"/>
      <c r="F986" s="1613"/>
      <c r="H986" s="1613"/>
    </row>
    <row r="987">
      <c r="B987" s="1613"/>
      <c r="D987" s="1613"/>
      <c r="F987" s="1613"/>
      <c r="H987" s="1613"/>
    </row>
    <row r="988">
      <c r="B988" s="1613"/>
      <c r="D988" s="1613"/>
      <c r="F988" s="1613"/>
      <c r="H988" s="1613"/>
    </row>
    <row r="989">
      <c r="B989" s="1613"/>
      <c r="D989" s="1613"/>
      <c r="F989" s="1613"/>
      <c r="H989" s="1613"/>
    </row>
    <row r="990">
      <c r="B990" s="1613"/>
      <c r="D990" s="1613"/>
      <c r="F990" s="1613"/>
      <c r="H990" s="1613"/>
    </row>
    <row r="991">
      <c r="B991" s="1613"/>
      <c r="D991" s="1613"/>
      <c r="F991" s="1613"/>
      <c r="H991" s="1613"/>
    </row>
    <row r="992">
      <c r="B992" s="1613"/>
      <c r="D992" s="1613"/>
      <c r="F992" s="1613"/>
      <c r="H992" s="1613"/>
    </row>
    <row r="993">
      <c r="B993" s="1613"/>
      <c r="D993" s="1613"/>
      <c r="F993" s="1613"/>
      <c r="H993" s="1613"/>
    </row>
    <row r="994">
      <c r="B994" s="1613"/>
      <c r="D994" s="1613"/>
      <c r="F994" s="1613"/>
      <c r="H994" s="1613"/>
    </row>
    <row r="995">
      <c r="B995" s="1613"/>
      <c r="D995" s="1613"/>
      <c r="F995" s="1613"/>
      <c r="H995" s="1613"/>
    </row>
    <row r="996">
      <c r="B996" s="1613"/>
      <c r="D996" s="1613"/>
      <c r="F996" s="1613"/>
      <c r="H996" s="1613"/>
    </row>
    <row r="997">
      <c r="B997" s="1613"/>
      <c r="D997" s="1613"/>
      <c r="F997" s="1613"/>
      <c r="H997" s="1613"/>
    </row>
    <row r="998">
      <c r="B998" s="1613"/>
      <c r="D998" s="1613"/>
      <c r="F998" s="1613"/>
      <c r="H998" s="1613"/>
    </row>
    <row r="999">
      <c r="B999" s="1613"/>
      <c r="D999" s="1613"/>
      <c r="F999" s="1613"/>
      <c r="H999" s="1613"/>
    </row>
  </sheetData>
  <drawing r:id="rId1"/>
  <tableParts count="18">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5"/>
    <col customWidth="1" min="2" max="2" width="14.13"/>
    <col customWidth="1" min="3" max="3" width="20.38"/>
    <col customWidth="1" min="4" max="4" width="27.75"/>
    <col customWidth="1" min="5" max="5" width="15.25"/>
  </cols>
  <sheetData>
    <row r="1" ht="29.25" customHeight="1">
      <c r="A1" s="1616" t="s">
        <v>2525</v>
      </c>
      <c r="B1" s="1617"/>
      <c r="C1" s="1617"/>
      <c r="D1" s="1617"/>
      <c r="E1" s="1618"/>
    </row>
    <row r="2">
      <c r="A2" s="1619" t="s">
        <v>801</v>
      </c>
      <c r="B2" s="1618"/>
      <c r="C2" s="1620" t="s">
        <v>2526</v>
      </c>
      <c r="D2" s="1620" t="s">
        <v>1</v>
      </c>
      <c r="E2" s="1620" t="s">
        <v>2527</v>
      </c>
    </row>
    <row r="3">
      <c r="A3" s="1621">
        <v>1.0</v>
      </c>
      <c r="B3" s="1621" t="s">
        <v>2528</v>
      </c>
      <c r="C3" s="1621" t="s">
        <v>2529</v>
      </c>
      <c r="D3" s="1621" t="s">
        <v>2530</v>
      </c>
      <c r="E3" s="1621" t="s">
        <v>2531</v>
      </c>
    </row>
    <row r="4">
      <c r="A4" s="1622">
        <v>2.0</v>
      </c>
      <c r="B4" s="1623" t="s">
        <v>2532</v>
      </c>
      <c r="C4" s="1622" t="s">
        <v>2533</v>
      </c>
      <c r="D4" s="1623" t="s">
        <v>2534</v>
      </c>
      <c r="E4" s="1622" t="s">
        <v>2535</v>
      </c>
    </row>
    <row r="5">
      <c r="A5" s="1621">
        <v>3.0</v>
      </c>
      <c r="B5" s="1624" t="s">
        <v>2536</v>
      </c>
      <c r="C5" s="1624" t="s">
        <v>2537</v>
      </c>
      <c r="D5" s="1624" t="s">
        <v>2538</v>
      </c>
      <c r="E5" s="1624" t="s">
        <v>2539</v>
      </c>
      <c r="F5" s="198"/>
    </row>
    <row r="6">
      <c r="A6" s="1622">
        <v>4.0</v>
      </c>
      <c r="B6" s="1624" t="s">
        <v>2540</v>
      </c>
      <c r="C6" s="1624" t="s">
        <v>2541</v>
      </c>
      <c r="D6" s="1624" t="s">
        <v>2542</v>
      </c>
      <c r="E6" s="1624" t="s">
        <v>2543</v>
      </c>
    </row>
    <row r="7">
      <c r="A7" s="1621">
        <v>5.0</v>
      </c>
      <c r="B7" s="1625"/>
      <c r="C7" s="1625"/>
      <c r="D7" s="1625"/>
      <c r="E7" s="1625"/>
    </row>
    <row r="8">
      <c r="A8" s="1622">
        <v>6.0</v>
      </c>
      <c r="B8" s="1625"/>
      <c r="C8" s="1625"/>
      <c r="D8" s="1625"/>
      <c r="E8" s="1625"/>
    </row>
    <row r="9">
      <c r="A9" s="1621">
        <v>7.0</v>
      </c>
      <c r="B9" s="1625"/>
      <c r="C9" s="1625"/>
      <c r="D9" s="1625"/>
      <c r="E9" s="1625"/>
    </row>
    <row r="10">
      <c r="A10" s="1622">
        <v>8.0</v>
      </c>
      <c r="B10" s="1625"/>
      <c r="C10" s="1625"/>
      <c r="D10" s="1625"/>
      <c r="E10" s="1625"/>
    </row>
    <row r="11">
      <c r="A11" s="1621">
        <v>9.0</v>
      </c>
      <c r="B11" s="1625"/>
      <c r="C11" s="1625"/>
      <c r="D11" s="1625"/>
      <c r="E11" s="1625"/>
    </row>
    <row r="12">
      <c r="A12" s="1622">
        <v>10.0</v>
      </c>
      <c r="B12" s="1625"/>
      <c r="C12" s="1625"/>
      <c r="D12" s="1625"/>
      <c r="E12" s="1625"/>
    </row>
    <row r="13">
      <c r="A13" s="1621">
        <v>11.0</v>
      </c>
      <c r="B13" s="1625"/>
      <c r="C13" s="1625"/>
      <c r="D13" s="1625"/>
      <c r="E13" s="1625"/>
    </row>
    <row r="14">
      <c r="A14" s="1622">
        <v>12.0</v>
      </c>
      <c r="B14" s="1625"/>
      <c r="C14" s="1625"/>
      <c r="D14" s="1625"/>
      <c r="E14" s="1625"/>
    </row>
    <row r="15">
      <c r="A15" s="1621">
        <v>13.0</v>
      </c>
      <c r="B15" s="1625"/>
      <c r="C15" s="1625"/>
      <c r="D15" s="1625"/>
      <c r="E15" s="1625"/>
    </row>
    <row r="16">
      <c r="A16" s="1622">
        <v>14.0</v>
      </c>
      <c r="B16" s="1625"/>
      <c r="C16" s="1625"/>
      <c r="D16" s="1625"/>
      <c r="E16" s="1625"/>
    </row>
    <row r="17">
      <c r="A17" s="1621">
        <v>15.0</v>
      </c>
      <c r="B17" s="1625"/>
      <c r="C17" s="1625"/>
      <c r="D17" s="1625"/>
      <c r="E17" s="1625"/>
    </row>
    <row r="18">
      <c r="A18" s="1622">
        <v>16.0</v>
      </c>
      <c r="B18" s="1625"/>
      <c r="C18" s="1625"/>
      <c r="D18" s="1625"/>
      <c r="E18" s="1625"/>
    </row>
    <row r="19">
      <c r="A19" s="1621">
        <v>17.0</v>
      </c>
      <c r="B19" s="1625"/>
      <c r="C19" s="1625"/>
      <c r="D19" s="1625"/>
      <c r="E19" s="1625"/>
    </row>
    <row r="20">
      <c r="A20" s="1625"/>
      <c r="B20" s="1625"/>
      <c r="C20" s="1625"/>
      <c r="D20" s="1625"/>
      <c r="E20" s="1625"/>
    </row>
    <row r="21">
      <c r="A21" s="1625"/>
      <c r="B21" s="1625"/>
      <c r="C21" s="1625"/>
      <c r="D21" s="1625"/>
      <c r="E21" s="1625"/>
    </row>
    <row r="22">
      <c r="A22" s="1625"/>
      <c r="B22" s="1625"/>
      <c r="C22" s="1625"/>
      <c r="D22" s="1625"/>
      <c r="E22" s="1625"/>
    </row>
    <row r="23">
      <c r="A23" s="1625"/>
      <c r="B23" s="1625"/>
      <c r="C23" s="1625"/>
      <c r="D23" s="1625"/>
      <c r="E23" s="1625"/>
    </row>
    <row r="24">
      <c r="A24" s="1625"/>
      <c r="B24" s="1625"/>
      <c r="C24" s="1625"/>
      <c r="D24" s="1625"/>
      <c r="E24" s="1625"/>
    </row>
    <row r="25">
      <c r="A25" s="1625"/>
      <c r="B25" s="1625"/>
      <c r="C25" s="1625"/>
      <c r="D25" s="1625"/>
      <c r="E25" s="1625"/>
    </row>
    <row r="26">
      <c r="A26" s="1625"/>
      <c r="B26" s="1625"/>
      <c r="C26" s="1625"/>
      <c r="D26" s="1625"/>
      <c r="E26" s="1625"/>
    </row>
    <row r="27">
      <c r="A27" s="1625"/>
      <c r="B27" s="1625"/>
      <c r="C27" s="1625"/>
      <c r="D27" s="1625"/>
      <c r="E27" s="1625"/>
    </row>
    <row r="28">
      <c r="A28" s="1625"/>
      <c r="B28" s="1625"/>
      <c r="C28" s="1625"/>
      <c r="D28" s="1625"/>
      <c r="E28" s="1625"/>
    </row>
    <row r="29">
      <c r="A29" s="1625"/>
      <c r="B29" s="1625"/>
      <c r="C29" s="1625"/>
      <c r="D29" s="1625"/>
      <c r="E29" s="1625"/>
    </row>
    <row r="30">
      <c r="A30" s="1625"/>
      <c r="B30" s="1625"/>
      <c r="C30" s="1625"/>
      <c r="D30" s="1625"/>
      <c r="E30" s="1625"/>
    </row>
    <row r="31">
      <c r="A31" s="1625"/>
      <c r="B31" s="1625"/>
      <c r="C31" s="1625"/>
      <c r="D31" s="1625"/>
      <c r="E31" s="1625"/>
    </row>
    <row r="32">
      <c r="A32" s="1625"/>
      <c r="B32" s="1625"/>
      <c r="C32" s="1625"/>
      <c r="D32" s="1625"/>
      <c r="E32" s="1625"/>
    </row>
    <row r="33">
      <c r="A33" s="1625"/>
      <c r="B33" s="1625"/>
      <c r="C33" s="1625"/>
      <c r="D33" s="1625"/>
      <c r="E33" s="1625"/>
    </row>
    <row r="34">
      <c r="A34" s="1625"/>
      <c r="B34" s="1625"/>
      <c r="C34" s="1625"/>
      <c r="D34" s="1625"/>
      <c r="E34" s="1625"/>
    </row>
    <row r="35">
      <c r="A35" s="1625"/>
      <c r="B35" s="1625"/>
      <c r="C35" s="1625"/>
      <c r="D35" s="1625"/>
      <c r="E35" s="1625"/>
    </row>
    <row r="36">
      <c r="A36" s="1625"/>
      <c r="B36" s="1625"/>
      <c r="C36" s="1625"/>
      <c r="D36" s="1625"/>
      <c r="E36" s="1625"/>
    </row>
    <row r="37">
      <c r="A37" s="1625"/>
      <c r="B37" s="1625"/>
      <c r="C37" s="1625"/>
      <c r="D37" s="1625"/>
      <c r="E37" s="1625"/>
    </row>
    <row r="38">
      <c r="A38" s="1625"/>
      <c r="B38" s="1625"/>
      <c r="C38" s="1625"/>
      <c r="D38" s="1625"/>
      <c r="E38" s="1625"/>
    </row>
    <row r="39">
      <c r="A39" s="1625"/>
      <c r="B39" s="1625"/>
      <c r="C39" s="1625"/>
      <c r="D39" s="1625"/>
      <c r="E39" s="1625"/>
    </row>
    <row r="40">
      <c r="A40" s="1625"/>
      <c r="B40" s="1625"/>
      <c r="C40" s="1625"/>
      <c r="D40" s="1625"/>
      <c r="E40" s="1625"/>
    </row>
    <row r="41">
      <c r="A41" s="1625"/>
      <c r="B41" s="1625"/>
      <c r="C41" s="1625"/>
      <c r="D41" s="1625"/>
      <c r="E41" s="1625"/>
    </row>
    <row r="42">
      <c r="A42" s="1625"/>
      <c r="B42" s="1625"/>
      <c r="C42" s="1625"/>
      <c r="D42" s="1625"/>
      <c r="E42" s="1625"/>
    </row>
    <row r="43">
      <c r="A43" s="1625"/>
      <c r="B43" s="1625"/>
      <c r="C43" s="1625"/>
      <c r="D43" s="1625"/>
      <c r="E43" s="1625"/>
    </row>
    <row r="44">
      <c r="A44" s="1625"/>
      <c r="B44" s="1625"/>
      <c r="C44" s="1625"/>
      <c r="D44" s="1625"/>
      <c r="E44" s="1625"/>
    </row>
    <row r="45">
      <c r="A45" s="1625"/>
      <c r="B45" s="1625"/>
      <c r="C45" s="1625"/>
      <c r="D45" s="1625"/>
      <c r="E45" s="1625"/>
    </row>
    <row r="46">
      <c r="A46" s="1625"/>
      <c r="B46" s="1625"/>
      <c r="C46" s="1625"/>
      <c r="D46" s="1625"/>
      <c r="E46" s="1625"/>
    </row>
    <row r="47">
      <c r="A47" s="1625"/>
      <c r="B47" s="1625"/>
      <c r="C47" s="1625"/>
      <c r="D47" s="1625"/>
      <c r="E47" s="1625"/>
    </row>
    <row r="48">
      <c r="A48" s="1625"/>
      <c r="B48" s="1625"/>
      <c r="C48" s="1625"/>
      <c r="D48" s="1625"/>
      <c r="E48" s="1625"/>
    </row>
    <row r="49">
      <c r="A49" s="1625"/>
      <c r="B49" s="1625"/>
      <c r="C49" s="1625"/>
      <c r="D49" s="1625"/>
      <c r="E49" s="1625"/>
    </row>
    <row r="50">
      <c r="A50" s="1625"/>
      <c r="B50" s="1625"/>
      <c r="C50" s="1625"/>
      <c r="D50" s="1625"/>
      <c r="E50" s="1625"/>
    </row>
    <row r="51">
      <c r="A51" s="1625"/>
      <c r="B51" s="1625"/>
      <c r="C51" s="1625"/>
      <c r="D51" s="1625"/>
      <c r="E51" s="1625"/>
    </row>
    <row r="52">
      <c r="A52" s="1625"/>
      <c r="B52" s="1625"/>
      <c r="C52" s="1625"/>
      <c r="D52" s="1625"/>
      <c r="E52" s="1625"/>
    </row>
    <row r="53">
      <c r="A53" s="1625"/>
      <c r="B53" s="1625"/>
      <c r="C53" s="1625"/>
      <c r="D53" s="1625"/>
      <c r="E53" s="1625"/>
    </row>
    <row r="54">
      <c r="A54" s="1625"/>
      <c r="B54" s="1625"/>
      <c r="C54" s="1625"/>
      <c r="D54" s="1625"/>
      <c r="E54" s="1625"/>
    </row>
    <row r="55">
      <c r="A55" s="1625"/>
      <c r="B55" s="1625"/>
      <c r="C55" s="1625"/>
      <c r="D55" s="1625"/>
      <c r="E55" s="1625"/>
    </row>
    <row r="56">
      <c r="A56" s="1625"/>
      <c r="B56" s="1625"/>
      <c r="C56" s="1625"/>
      <c r="D56" s="1625"/>
      <c r="E56" s="1625"/>
    </row>
    <row r="57">
      <c r="A57" s="1625"/>
      <c r="B57" s="1625"/>
      <c r="C57" s="1625"/>
      <c r="D57" s="1625"/>
      <c r="E57" s="1625"/>
    </row>
    <row r="58">
      <c r="A58" s="1625"/>
      <c r="B58" s="1625"/>
      <c r="C58" s="1625"/>
      <c r="D58" s="1625"/>
      <c r="E58" s="1625"/>
    </row>
    <row r="59">
      <c r="A59" s="1625"/>
      <c r="B59" s="1625"/>
      <c r="C59" s="1625"/>
      <c r="D59" s="1625"/>
      <c r="E59" s="1625"/>
    </row>
    <row r="60">
      <c r="A60" s="1625"/>
      <c r="B60" s="1625"/>
      <c r="C60" s="1625"/>
      <c r="D60" s="1625"/>
      <c r="E60" s="1625"/>
    </row>
    <row r="61">
      <c r="A61" s="1625"/>
      <c r="B61" s="1625"/>
      <c r="C61" s="1625"/>
      <c r="D61" s="1625"/>
      <c r="E61" s="1625"/>
    </row>
    <row r="62">
      <c r="A62" s="1625"/>
      <c r="B62" s="1625"/>
      <c r="C62" s="1625"/>
      <c r="D62" s="1625"/>
      <c r="E62" s="1625"/>
    </row>
    <row r="63">
      <c r="A63" s="1625"/>
      <c r="B63" s="1625"/>
      <c r="C63" s="1625"/>
      <c r="D63" s="1625"/>
      <c r="E63" s="1625"/>
    </row>
    <row r="64">
      <c r="A64" s="1625"/>
      <c r="B64" s="1625"/>
      <c r="C64" s="1625"/>
      <c r="D64" s="1625"/>
      <c r="E64" s="1625"/>
    </row>
    <row r="65">
      <c r="A65" s="1625"/>
      <c r="B65" s="1625"/>
      <c r="C65" s="1625"/>
      <c r="D65" s="1625"/>
      <c r="E65" s="1625"/>
    </row>
    <row r="66">
      <c r="A66" s="1625"/>
      <c r="B66" s="1625"/>
      <c r="C66" s="1625"/>
      <c r="D66" s="1625"/>
      <c r="E66" s="1625"/>
    </row>
    <row r="67">
      <c r="A67" s="1625"/>
      <c r="B67" s="1625"/>
      <c r="C67" s="1625"/>
      <c r="D67" s="1625"/>
      <c r="E67" s="1625"/>
    </row>
    <row r="68">
      <c r="A68" s="1625"/>
      <c r="B68" s="1625"/>
      <c r="C68" s="1625"/>
      <c r="D68" s="1625"/>
      <c r="E68" s="1625"/>
    </row>
    <row r="69">
      <c r="A69" s="1625"/>
      <c r="B69" s="1625"/>
      <c r="C69" s="1625"/>
      <c r="D69" s="1625"/>
      <c r="E69" s="1625"/>
    </row>
    <row r="70">
      <c r="A70" s="1625"/>
      <c r="B70" s="1625"/>
      <c r="C70" s="1625"/>
      <c r="D70" s="1625"/>
      <c r="E70" s="1625"/>
    </row>
    <row r="71">
      <c r="A71" s="1625"/>
      <c r="B71" s="1625"/>
      <c r="C71" s="1625"/>
      <c r="D71" s="1625"/>
      <c r="E71" s="1625"/>
    </row>
    <row r="72">
      <c r="A72" s="1625"/>
      <c r="B72" s="1625"/>
      <c r="C72" s="1625"/>
      <c r="D72" s="1625"/>
      <c r="E72" s="1625"/>
    </row>
    <row r="73">
      <c r="A73" s="1625"/>
      <c r="B73" s="1625"/>
      <c r="C73" s="1625"/>
      <c r="D73" s="1625"/>
      <c r="E73" s="1625"/>
    </row>
    <row r="74">
      <c r="A74" s="1625"/>
      <c r="B74" s="1625"/>
      <c r="C74" s="1625"/>
      <c r="D74" s="1625"/>
      <c r="E74" s="1625"/>
    </row>
    <row r="75">
      <c r="A75" s="1625"/>
      <c r="B75" s="1625"/>
      <c r="C75" s="1625"/>
      <c r="D75" s="1625"/>
      <c r="E75" s="1625"/>
    </row>
    <row r="76">
      <c r="A76" s="1625"/>
      <c r="B76" s="1625"/>
      <c r="C76" s="1625"/>
      <c r="D76" s="1625"/>
      <c r="E76" s="1625"/>
    </row>
    <row r="77">
      <c r="A77" s="1625"/>
      <c r="B77" s="1625"/>
      <c r="C77" s="1625"/>
      <c r="D77" s="1625"/>
      <c r="E77" s="1625"/>
    </row>
  </sheetData>
  <mergeCells count="2">
    <mergeCell ref="A1:E1"/>
    <mergeCell ref="A2:B2"/>
  </mergeCells>
  <drawing r:id="rId1"/>
  <tableParts count="1">
    <tablePart r:id="rId3"/>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8.63"/>
    <col customWidth="1" min="3" max="3" width="18.38"/>
    <col customWidth="1" min="4" max="5" width="11.75"/>
    <col customWidth="1" min="6" max="6" width="12.88"/>
    <col customWidth="1" min="7" max="7" width="89.13"/>
  </cols>
  <sheetData>
    <row r="1">
      <c r="A1" s="1261"/>
      <c r="B1" s="1261" t="s">
        <v>720</v>
      </c>
      <c r="C1" s="1261" t="s">
        <v>2544</v>
      </c>
      <c r="D1" s="1261" t="s">
        <v>2545</v>
      </c>
      <c r="E1" s="1263" t="s">
        <v>2546</v>
      </c>
      <c r="F1" s="1263" t="s">
        <v>2547</v>
      </c>
      <c r="G1" s="1263" t="s">
        <v>2548</v>
      </c>
      <c r="H1" s="164"/>
      <c r="I1" s="164"/>
      <c r="J1" s="164"/>
      <c r="K1" s="164"/>
      <c r="L1" s="164"/>
      <c r="M1" s="164"/>
      <c r="N1" s="164"/>
      <c r="O1" s="164"/>
      <c r="P1" s="164"/>
      <c r="Q1" s="164"/>
      <c r="R1" s="164"/>
      <c r="S1" s="164"/>
      <c r="T1" s="164"/>
      <c r="U1" s="164"/>
      <c r="V1" s="164"/>
      <c r="W1" s="164"/>
      <c r="X1" s="164"/>
      <c r="Y1" s="164"/>
      <c r="Z1" s="164"/>
    </row>
    <row r="2">
      <c r="A2" s="63">
        <v>2023.0</v>
      </c>
      <c r="B2" s="767">
        <v>3.0</v>
      </c>
      <c r="C2" s="135" t="s">
        <v>2549</v>
      </c>
      <c r="D2" s="659" t="s">
        <v>2550</v>
      </c>
      <c r="E2" s="1626">
        <v>45219.0</v>
      </c>
      <c r="F2" s="659" t="s">
        <v>2551</v>
      </c>
      <c r="G2" s="856" t="s">
        <v>2552</v>
      </c>
      <c r="H2" s="164"/>
      <c r="I2" s="164"/>
      <c r="J2" s="164"/>
      <c r="K2" s="164"/>
      <c r="L2" s="164"/>
      <c r="M2" s="164"/>
      <c r="N2" s="164"/>
      <c r="O2" s="164"/>
      <c r="P2" s="164"/>
      <c r="Q2" s="164"/>
      <c r="R2" s="164"/>
      <c r="S2" s="164"/>
      <c r="T2" s="164"/>
      <c r="U2" s="164"/>
      <c r="V2" s="164"/>
      <c r="W2" s="164"/>
      <c r="X2" s="164"/>
      <c r="Y2" s="164"/>
      <c r="Z2" s="164"/>
    </row>
    <row r="3">
      <c r="A3" s="457"/>
      <c r="B3" s="767">
        <v>2.0</v>
      </c>
      <c r="C3" s="135" t="s">
        <v>2542</v>
      </c>
      <c r="D3" s="659" t="s">
        <v>2553</v>
      </c>
      <c r="E3" s="1626">
        <v>45226.0</v>
      </c>
      <c r="F3" s="659" t="s">
        <v>2551</v>
      </c>
      <c r="G3" s="856" t="s">
        <v>2554</v>
      </c>
      <c r="H3" s="164"/>
      <c r="I3" s="164"/>
      <c r="J3" s="164"/>
      <c r="K3" s="164"/>
      <c r="L3" s="164"/>
      <c r="M3" s="164"/>
      <c r="N3" s="164"/>
      <c r="O3" s="164"/>
      <c r="P3" s="164"/>
      <c r="Q3" s="164"/>
      <c r="R3" s="164"/>
      <c r="S3" s="164"/>
      <c r="T3" s="164"/>
      <c r="U3" s="164"/>
      <c r="V3" s="164"/>
      <c r="W3" s="164"/>
      <c r="X3" s="164"/>
      <c r="Y3" s="164"/>
      <c r="Z3" s="164"/>
    </row>
    <row r="4">
      <c r="A4" s="457"/>
      <c r="B4" s="767">
        <v>1.0</v>
      </c>
      <c r="C4" s="135" t="s">
        <v>2555</v>
      </c>
      <c r="D4" s="659" t="s">
        <v>2556</v>
      </c>
      <c r="E4" s="1626">
        <v>45238.0</v>
      </c>
      <c r="F4" s="659" t="s">
        <v>2551</v>
      </c>
      <c r="G4" s="856" t="s">
        <v>2557</v>
      </c>
      <c r="H4" s="164"/>
      <c r="I4" s="164"/>
      <c r="J4" s="164"/>
      <c r="K4" s="164"/>
      <c r="L4" s="164"/>
      <c r="M4" s="164"/>
      <c r="N4" s="164"/>
      <c r="O4" s="164"/>
      <c r="P4" s="164"/>
      <c r="Q4" s="164"/>
      <c r="R4" s="164"/>
      <c r="S4" s="164"/>
      <c r="T4" s="164"/>
      <c r="U4" s="164"/>
      <c r="V4" s="164"/>
      <c r="W4" s="164"/>
      <c r="X4" s="164"/>
      <c r="Y4" s="164"/>
      <c r="Z4" s="164"/>
    </row>
    <row r="5">
      <c r="A5" s="457"/>
      <c r="B5" s="767">
        <v>1.0</v>
      </c>
      <c r="C5" s="135" t="s">
        <v>2558</v>
      </c>
      <c r="D5" s="659" t="s">
        <v>2559</v>
      </c>
      <c r="E5" s="1626">
        <v>45254.0</v>
      </c>
      <c r="F5" s="659" t="s">
        <v>2551</v>
      </c>
      <c r="G5" s="856" t="s">
        <v>2560</v>
      </c>
      <c r="H5" s="164"/>
      <c r="I5" s="164"/>
      <c r="J5" s="164"/>
      <c r="K5" s="164"/>
      <c r="L5" s="164"/>
      <c r="M5" s="164"/>
      <c r="N5" s="164"/>
      <c r="O5" s="164"/>
      <c r="P5" s="164"/>
      <c r="Q5" s="164"/>
      <c r="R5" s="164"/>
      <c r="S5" s="164"/>
      <c r="T5" s="164"/>
      <c r="U5" s="164"/>
      <c r="V5" s="164"/>
      <c r="W5" s="164"/>
      <c r="X5" s="164"/>
      <c r="Y5" s="164"/>
      <c r="Z5" s="164"/>
    </row>
    <row r="6">
      <c r="A6" s="457"/>
      <c r="B6" s="767">
        <v>3.0</v>
      </c>
      <c r="C6" s="135" t="s">
        <v>2561</v>
      </c>
      <c r="D6" s="659" t="s">
        <v>2562</v>
      </c>
      <c r="E6" s="1626">
        <v>45271.0</v>
      </c>
      <c r="F6" s="659" t="s">
        <v>2551</v>
      </c>
      <c r="G6" s="856" t="s">
        <v>2563</v>
      </c>
      <c r="H6" s="164"/>
      <c r="I6" s="164"/>
      <c r="J6" s="164"/>
      <c r="K6" s="164"/>
      <c r="L6" s="164"/>
      <c r="M6" s="164"/>
      <c r="N6" s="164"/>
      <c r="O6" s="164"/>
      <c r="P6" s="164"/>
      <c r="Q6" s="164"/>
      <c r="R6" s="164"/>
      <c r="S6" s="164"/>
      <c r="T6" s="164"/>
      <c r="U6" s="164"/>
      <c r="V6" s="164"/>
      <c r="W6" s="164"/>
      <c r="X6" s="164"/>
      <c r="Y6" s="164"/>
      <c r="Z6" s="164"/>
    </row>
    <row r="7">
      <c r="A7" s="430"/>
      <c r="B7" s="767">
        <v>3.0</v>
      </c>
      <c r="C7" s="135" t="s">
        <v>2564</v>
      </c>
      <c r="D7" s="659" t="s">
        <v>2565</v>
      </c>
      <c r="E7" s="1626">
        <v>45275.0</v>
      </c>
      <c r="F7" s="659" t="s">
        <v>2551</v>
      </c>
      <c r="G7" s="856" t="s">
        <v>2566</v>
      </c>
      <c r="H7" s="164"/>
      <c r="I7" s="164"/>
      <c r="J7" s="164"/>
      <c r="K7" s="164"/>
      <c r="L7" s="164"/>
      <c r="M7" s="164"/>
      <c r="N7" s="164"/>
      <c r="O7" s="164"/>
      <c r="P7" s="164"/>
      <c r="Q7" s="164"/>
      <c r="R7" s="164"/>
      <c r="S7" s="164"/>
      <c r="T7" s="164"/>
      <c r="U7" s="164"/>
      <c r="V7" s="164"/>
      <c r="W7" s="164"/>
      <c r="X7" s="164"/>
      <c r="Y7" s="164"/>
      <c r="Z7" s="164"/>
    </row>
    <row r="8" ht="28.5" customHeight="1">
      <c r="A8" s="194">
        <v>2024.0</v>
      </c>
      <c r="B8" s="406">
        <v>3.0</v>
      </c>
      <c r="C8" s="628" t="s">
        <v>2567</v>
      </c>
      <c r="D8" s="659" t="s">
        <v>681</v>
      </c>
      <c r="E8" s="1626">
        <v>45341.0</v>
      </c>
      <c r="F8" s="659" t="s">
        <v>2551</v>
      </c>
      <c r="G8" s="856" t="s">
        <v>2568</v>
      </c>
      <c r="H8" s="164"/>
      <c r="I8" s="164"/>
      <c r="J8" s="164"/>
      <c r="K8" s="164"/>
      <c r="L8" s="164"/>
      <c r="M8" s="164"/>
      <c r="N8" s="164"/>
      <c r="O8" s="164"/>
      <c r="P8" s="164"/>
      <c r="Q8" s="164"/>
      <c r="R8" s="164"/>
      <c r="S8" s="164"/>
      <c r="T8" s="164"/>
      <c r="U8" s="164"/>
      <c r="V8" s="164"/>
      <c r="W8" s="164"/>
      <c r="X8" s="164"/>
      <c r="Y8" s="164"/>
      <c r="Z8" s="164"/>
    </row>
    <row r="9">
      <c r="A9" s="457"/>
      <c r="B9" s="406">
        <v>2.0</v>
      </c>
      <c r="C9" s="628" t="s">
        <v>2555</v>
      </c>
      <c r="D9" s="659" t="s">
        <v>2556</v>
      </c>
      <c r="E9" s="1626">
        <v>45350.0</v>
      </c>
      <c r="F9" s="1627" t="s">
        <v>2569</v>
      </c>
      <c r="G9" s="856" t="s">
        <v>2570</v>
      </c>
      <c r="H9" s="164"/>
      <c r="I9" s="164"/>
      <c r="J9" s="164"/>
      <c r="K9" s="164"/>
      <c r="L9" s="164"/>
      <c r="M9" s="164"/>
      <c r="N9" s="164"/>
      <c r="O9" s="164"/>
      <c r="P9" s="164"/>
      <c r="Q9" s="164"/>
      <c r="R9" s="164"/>
      <c r="S9" s="164"/>
      <c r="T9" s="164"/>
      <c r="U9" s="164"/>
      <c r="V9" s="164"/>
      <c r="W9" s="164"/>
      <c r="X9" s="164"/>
      <c r="Y9" s="164"/>
      <c r="Z9" s="164"/>
    </row>
    <row r="10">
      <c r="A10" s="457"/>
      <c r="B10" s="406">
        <v>2.0</v>
      </c>
      <c r="C10" s="628" t="s">
        <v>2571</v>
      </c>
      <c r="D10" s="659" t="s">
        <v>2572</v>
      </c>
      <c r="E10" s="1626">
        <v>45510.0</v>
      </c>
      <c r="F10" s="659" t="s">
        <v>2551</v>
      </c>
      <c r="G10" s="856" t="s">
        <v>2573</v>
      </c>
      <c r="H10" s="164"/>
      <c r="I10" s="164"/>
      <c r="J10" s="164"/>
      <c r="K10" s="164"/>
      <c r="L10" s="164"/>
      <c r="M10" s="164"/>
      <c r="N10" s="164"/>
      <c r="O10" s="164"/>
      <c r="P10" s="164"/>
      <c r="Q10" s="164"/>
      <c r="R10" s="164"/>
      <c r="S10" s="164"/>
      <c r="T10" s="164"/>
      <c r="U10" s="164"/>
      <c r="V10" s="164"/>
      <c r="W10" s="164"/>
      <c r="X10" s="164"/>
      <c r="Y10" s="164"/>
      <c r="Z10" s="164"/>
    </row>
    <row r="11">
      <c r="A11" s="457"/>
      <c r="B11" s="406">
        <v>1.0</v>
      </c>
      <c r="C11" s="628" t="s">
        <v>2574</v>
      </c>
      <c r="D11" s="659" t="s">
        <v>2575</v>
      </c>
      <c r="E11" s="1626">
        <v>45580.0</v>
      </c>
      <c r="F11" s="659" t="s">
        <v>2551</v>
      </c>
      <c r="G11" s="856" t="s">
        <v>2576</v>
      </c>
      <c r="H11" s="164"/>
      <c r="I11" s="164"/>
      <c r="J11" s="164"/>
      <c r="K11" s="164"/>
      <c r="L11" s="164"/>
      <c r="M11" s="164"/>
      <c r="N11" s="164"/>
      <c r="O11" s="164"/>
      <c r="P11" s="164"/>
      <c r="Q11" s="164"/>
      <c r="R11" s="164"/>
      <c r="S11" s="164"/>
      <c r="T11" s="164"/>
      <c r="U11" s="164"/>
      <c r="V11" s="164"/>
      <c r="W11" s="164"/>
      <c r="X11" s="164"/>
      <c r="Y11" s="164"/>
      <c r="Z11" s="164"/>
    </row>
    <row r="12">
      <c r="A12" s="457"/>
      <c r="B12" s="415">
        <v>2.0</v>
      </c>
      <c r="C12" s="1628" t="s">
        <v>2571</v>
      </c>
      <c r="D12" s="1628" t="s">
        <v>2572</v>
      </c>
      <c r="E12" s="1629">
        <v>45653.0</v>
      </c>
      <c r="F12" s="1630" t="s">
        <v>2569</v>
      </c>
      <c r="G12" s="1631" t="s">
        <v>2577</v>
      </c>
      <c r="H12" s="164"/>
      <c r="I12" s="164"/>
      <c r="J12" s="164"/>
      <c r="K12" s="164"/>
      <c r="L12" s="164"/>
      <c r="M12" s="164"/>
      <c r="N12" s="164"/>
      <c r="O12" s="164"/>
      <c r="P12" s="164"/>
      <c r="Q12" s="164"/>
      <c r="R12" s="164"/>
      <c r="S12" s="164"/>
      <c r="T12" s="164"/>
      <c r="U12" s="164"/>
      <c r="V12" s="164"/>
      <c r="W12" s="164"/>
      <c r="X12" s="164"/>
      <c r="Y12" s="164"/>
      <c r="Z12" s="164"/>
    </row>
    <row r="13">
      <c r="A13" s="457"/>
      <c r="B13" s="710"/>
      <c r="C13" s="599" t="s">
        <v>2571</v>
      </c>
      <c r="D13" s="599" t="s">
        <v>2362</v>
      </c>
      <c r="E13" s="1632">
        <v>45712.0</v>
      </c>
      <c r="F13" s="1633" t="s">
        <v>2551</v>
      </c>
      <c r="G13" s="1634" t="s">
        <v>2578</v>
      </c>
      <c r="H13" s="164"/>
      <c r="I13" s="164"/>
      <c r="J13" s="164"/>
      <c r="K13" s="164"/>
      <c r="L13" s="164"/>
      <c r="M13" s="164"/>
      <c r="N13" s="164"/>
      <c r="O13" s="164"/>
      <c r="P13" s="164"/>
      <c r="Q13" s="164"/>
      <c r="R13" s="164"/>
      <c r="S13" s="164"/>
      <c r="T13" s="164"/>
      <c r="U13" s="164"/>
      <c r="V13" s="164"/>
      <c r="W13" s="164"/>
      <c r="X13" s="164"/>
      <c r="Y13" s="164"/>
      <c r="Z13" s="164"/>
    </row>
    <row r="14">
      <c r="A14" s="457"/>
      <c r="B14" s="710"/>
      <c r="C14" s="710"/>
      <c r="D14" s="710"/>
      <c r="E14" s="710"/>
      <c r="F14" s="1635"/>
      <c r="G14" s="710"/>
      <c r="H14" s="164"/>
      <c r="I14" s="164"/>
      <c r="J14" s="164"/>
      <c r="K14" s="164"/>
      <c r="L14" s="164"/>
      <c r="M14" s="164"/>
      <c r="N14" s="164"/>
      <c r="O14" s="164"/>
      <c r="P14" s="164"/>
      <c r="Q14" s="164"/>
      <c r="R14" s="164"/>
      <c r="S14" s="164"/>
      <c r="T14" s="164"/>
      <c r="U14" s="164"/>
      <c r="V14" s="164"/>
      <c r="W14" s="164"/>
      <c r="X14" s="164"/>
      <c r="Y14" s="164"/>
      <c r="Z14" s="164"/>
    </row>
    <row r="15">
      <c r="A15" s="457"/>
      <c r="B15" s="710"/>
      <c r="C15" s="710"/>
      <c r="D15" s="710"/>
      <c r="E15" s="710"/>
      <c r="F15" s="1635"/>
      <c r="G15" s="710"/>
      <c r="H15" s="164"/>
      <c r="I15" s="164"/>
      <c r="J15" s="164"/>
      <c r="K15" s="164"/>
      <c r="L15" s="164"/>
      <c r="M15" s="164"/>
      <c r="N15" s="164"/>
      <c r="O15" s="164"/>
      <c r="P15" s="164"/>
      <c r="Q15" s="164"/>
      <c r="R15" s="164"/>
      <c r="S15" s="164"/>
      <c r="T15" s="164"/>
      <c r="U15" s="164"/>
      <c r="V15" s="164"/>
      <c r="W15" s="164"/>
      <c r="X15" s="164"/>
      <c r="Y15" s="164"/>
      <c r="Z15" s="164"/>
    </row>
    <row r="16">
      <c r="A16" s="457"/>
      <c r="B16" s="710"/>
      <c r="C16" s="710"/>
      <c r="D16" s="710"/>
      <c r="E16" s="710"/>
      <c r="F16" s="1635"/>
      <c r="G16" s="710"/>
      <c r="H16" s="164"/>
      <c r="I16" s="164"/>
      <c r="J16" s="164"/>
      <c r="K16" s="164"/>
      <c r="L16" s="164"/>
      <c r="M16" s="164"/>
      <c r="N16" s="164"/>
      <c r="O16" s="164"/>
      <c r="P16" s="164"/>
      <c r="Q16" s="164"/>
      <c r="R16" s="164"/>
      <c r="S16" s="164"/>
      <c r="T16" s="164"/>
      <c r="U16" s="164"/>
      <c r="V16" s="164"/>
      <c r="W16" s="164"/>
      <c r="X16" s="164"/>
      <c r="Y16" s="164"/>
      <c r="Z16" s="164"/>
    </row>
    <row r="17">
      <c r="A17" s="457"/>
      <c r="B17" s="710"/>
      <c r="C17" s="710"/>
      <c r="D17" s="710"/>
      <c r="E17" s="710"/>
      <c r="F17" s="1635"/>
      <c r="G17" s="710"/>
      <c r="H17" s="164"/>
      <c r="I17" s="164"/>
      <c r="J17" s="164"/>
      <c r="K17" s="164"/>
      <c r="L17" s="164"/>
      <c r="M17" s="164"/>
      <c r="N17" s="164"/>
      <c r="O17" s="164"/>
      <c r="P17" s="164"/>
      <c r="Q17" s="164"/>
      <c r="R17" s="164"/>
      <c r="S17" s="164"/>
      <c r="T17" s="164"/>
      <c r="U17" s="164"/>
      <c r="V17" s="164"/>
      <c r="W17" s="164"/>
      <c r="X17" s="164"/>
      <c r="Y17" s="164"/>
      <c r="Z17" s="164"/>
    </row>
    <row r="18">
      <c r="A18" s="430"/>
      <c r="B18" s="710"/>
      <c r="C18" s="710"/>
      <c r="D18" s="710"/>
      <c r="E18" s="710"/>
      <c r="F18" s="1635"/>
      <c r="G18" s="710"/>
      <c r="H18" s="164"/>
      <c r="I18" s="164"/>
      <c r="J18" s="164"/>
      <c r="K18" s="164"/>
      <c r="L18" s="164"/>
      <c r="M18" s="164"/>
      <c r="N18" s="164"/>
      <c r="O18" s="164"/>
      <c r="P18" s="164"/>
      <c r="Q18" s="164"/>
      <c r="R18" s="164"/>
      <c r="S18" s="164"/>
      <c r="T18" s="164"/>
      <c r="U18" s="164"/>
      <c r="V18" s="164"/>
      <c r="W18" s="164"/>
      <c r="X18" s="164"/>
      <c r="Y18" s="164"/>
      <c r="Z18" s="164"/>
    </row>
    <row r="19">
      <c r="A19" s="164"/>
      <c r="B19" s="164"/>
      <c r="C19" s="164"/>
      <c r="D19" s="164"/>
      <c r="E19" s="164"/>
      <c r="F19" s="164"/>
      <c r="G19" s="164"/>
      <c r="H19" s="164"/>
      <c r="I19" s="164"/>
      <c r="J19" s="164"/>
      <c r="K19" s="164"/>
      <c r="L19" s="164"/>
      <c r="M19" s="164"/>
      <c r="N19" s="164"/>
      <c r="O19" s="164"/>
      <c r="P19" s="164"/>
      <c r="Q19" s="164"/>
      <c r="R19" s="164"/>
      <c r="S19" s="164"/>
      <c r="T19" s="164"/>
      <c r="U19" s="164"/>
      <c r="V19" s="164"/>
      <c r="W19" s="164"/>
      <c r="X19" s="164"/>
      <c r="Y19" s="164"/>
      <c r="Z19" s="164"/>
    </row>
    <row r="20">
      <c r="A20" s="164"/>
      <c r="B20" s="164"/>
      <c r="C20" s="164"/>
      <c r="D20" s="164"/>
      <c r="E20" s="164"/>
      <c r="F20" s="164"/>
      <c r="G20" s="164"/>
      <c r="H20" s="164"/>
      <c r="I20" s="164"/>
      <c r="J20" s="164"/>
      <c r="K20" s="164"/>
      <c r="L20" s="164"/>
      <c r="M20" s="164"/>
      <c r="N20" s="164"/>
      <c r="O20" s="164"/>
      <c r="P20" s="164"/>
      <c r="Q20" s="164"/>
      <c r="R20" s="164"/>
      <c r="S20" s="164"/>
      <c r="T20" s="164"/>
      <c r="U20" s="164"/>
      <c r="V20" s="164"/>
      <c r="W20" s="164"/>
      <c r="X20" s="164"/>
      <c r="Y20" s="164"/>
      <c r="Z20" s="164"/>
    </row>
    <row r="21">
      <c r="A21" s="164"/>
      <c r="B21" s="164"/>
      <c r="C21" s="164"/>
      <c r="D21" s="164"/>
      <c r="E21" s="164"/>
      <c r="F21" s="164"/>
      <c r="G21" s="164"/>
      <c r="H21" s="164"/>
      <c r="I21" s="164"/>
      <c r="J21" s="164"/>
      <c r="K21" s="164"/>
      <c r="L21" s="164"/>
      <c r="M21" s="164"/>
      <c r="N21" s="164"/>
      <c r="O21" s="164"/>
      <c r="P21" s="164"/>
      <c r="Q21" s="164"/>
      <c r="R21" s="164"/>
      <c r="S21" s="164"/>
      <c r="T21" s="164"/>
      <c r="U21" s="164"/>
      <c r="V21" s="164"/>
      <c r="W21" s="164"/>
      <c r="X21" s="164"/>
      <c r="Y21" s="164"/>
      <c r="Z21" s="164"/>
    </row>
    <row r="22">
      <c r="A22" s="164"/>
      <c r="B22" s="164"/>
      <c r="C22" s="164"/>
      <c r="D22" s="164"/>
      <c r="E22" s="164"/>
      <c r="F22" s="164"/>
      <c r="G22" s="164"/>
      <c r="H22" s="164"/>
      <c r="I22" s="164"/>
      <c r="J22" s="164"/>
      <c r="K22" s="164"/>
      <c r="L22" s="164"/>
      <c r="M22" s="164"/>
      <c r="N22" s="164"/>
      <c r="O22" s="164"/>
      <c r="P22" s="164"/>
      <c r="Q22" s="164"/>
      <c r="R22" s="164"/>
      <c r="S22" s="164"/>
      <c r="T22" s="164"/>
      <c r="U22" s="164"/>
      <c r="V22" s="164"/>
      <c r="W22" s="164"/>
      <c r="X22" s="164"/>
      <c r="Y22" s="164"/>
      <c r="Z22" s="164"/>
    </row>
    <row r="23">
      <c r="A23" s="164"/>
      <c r="B23" s="164"/>
      <c r="C23" s="164"/>
      <c r="D23" s="164"/>
      <c r="E23" s="164"/>
      <c r="F23" s="164"/>
      <c r="G23" s="164"/>
      <c r="H23" s="164"/>
      <c r="I23" s="164"/>
      <c r="J23" s="164"/>
      <c r="K23" s="164"/>
      <c r="L23" s="164"/>
      <c r="M23" s="164"/>
      <c r="N23" s="164"/>
      <c r="O23" s="164"/>
      <c r="P23" s="164"/>
      <c r="Q23" s="164"/>
      <c r="R23" s="164"/>
      <c r="S23" s="164"/>
      <c r="T23" s="164"/>
      <c r="U23" s="164"/>
      <c r="V23" s="164"/>
      <c r="W23" s="164"/>
      <c r="X23" s="164"/>
      <c r="Y23" s="164"/>
      <c r="Z23" s="164"/>
    </row>
    <row r="24">
      <c r="A24" s="164"/>
      <c r="B24" s="164"/>
      <c r="C24" s="164"/>
      <c r="D24" s="164"/>
      <c r="E24" s="164"/>
      <c r="F24" s="164"/>
      <c r="G24" s="164"/>
      <c r="H24" s="164"/>
      <c r="I24" s="164"/>
      <c r="J24" s="164"/>
      <c r="K24" s="164"/>
      <c r="L24" s="164"/>
      <c r="M24" s="164"/>
      <c r="N24" s="164"/>
      <c r="O24" s="164"/>
      <c r="P24" s="164"/>
      <c r="Q24" s="164"/>
      <c r="R24" s="164"/>
      <c r="S24" s="164"/>
      <c r="T24" s="164"/>
      <c r="U24" s="164"/>
      <c r="V24" s="164"/>
      <c r="W24" s="164"/>
      <c r="X24" s="164"/>
      <c r="Y24" s="164"/>
      <c r="Z24" s="164"/>
    </row>
    <row r="25">
      <c r="A25" s="164"/>
      <c r="B25" s="164"/>
      <c r="C25" s="164"/>
      <c r="D25" s="164"/>
      <c r="E25" s="164"/>
      <c r="F25" s="164"/>
      <c r="G25" s="164"/>
      <c r="H25" s="164"/>
      <c r="I25" s="164"/>
      <c r="J25" s="164"/>
      <c r="K25" s="164"/>
      <c r="L25" s="164"/>
      <c r="M25" s="164"/>
      <c r="N25" s="164"/>
      <c r="O25" s="164"/>
      <c r="P25" s="164"/>
      <c r="Q25" s="164"/>
      <c r="R25" s="164"/>
      <c r="S25" s="164"/>
      <c r="T25" s="164"/>
      <c r="U25" s="164"/>
      <c r="V25" s="164"/>
      <c r="W25" s="164"/>
      <c r="X25" s="164"/>
      <c r="Y25" s="164"/>
      <c r="Z25" s="164"/>
    </row>
    <row r="26">
      <c r="A26" s="164"/>
      <c r="B26" s="164"/>
      <c r="C26" s="164"/>
      <c r="D26" s="164"/>
      <c r="E26" s="164"/>
      <c r="F26" s="164"/>
      <c r="G26" s="164"/>
      <c r="H26" s="164"/>
      <c r="I26" s="164"/>
      <c r="J26" s="164"/>
      <c r="K26" s="164"/>
      <c r="L26" s="164"/>
      <c r="M26" s="164"/>
      <c r="N26" s="164"/>
      <c r="O26" s="164"/>
      <c r="P26" s="164"/>
      <c r="Q26" s="164"/>
      <c r="R26" s="164"/>
      <c r="S26" s="164"/>
      <c r="T26" s="164"/>
      <c r="U26" s="164"/>
      <c r="V26" s="164"/>
      <c r="W26" s="164"/>
      <c r="X26" s="164"/>
      <c r="Y26" s="164"/>
      <c r="Z26" s="164"/>
    </row>
    <row r="27">
      <c r="A27" s="164"/>
      <c r="B27" s="164"/>
      <c r="C27" s="164"/>
      <c r="D27" s="164"/>
      <c r="E27" s="164"/>
      <c r="F27" s="164"/>
      <c r="G27" s="164"/>
      <c r="H27" s="164"/>
      <c r="I27" s="164"/>
      <c r="J27" s="164"/>
      <c r="K27" s="164"/>
      <c r="L27" s="164"/>
      <c r="M27" s="164"/>
      <c r="N27" s="164"/>
      <c r="O27" s="164"/>
      <c r="P27" s="164"/>
      <c r="Q27" s="164"/>
      <c r="R27" s="164"/>
      <c r="S27" s="164"/>
      <c r="T27" s="164"/>
      <c r="U27" s="164"/>
      <c r="V27" s="164"/>
      <c r="W27" s="164"/>
      <c r="X27" s="164"/>
      <c r="Y27" s="164"/>
      <c r="Z27" s="164"/>
    </row>
    <row r="28">
      <c r="A28" s="164"/>
      <c r="B28" s="164"/>
      <c r="C28" s="164"/>
      <c r="D28" s="164"/>
      <c r="E28" s="164"/>
      <c r="F28" s="164"/>
      <c r="G28" s="164"/>
      <c r="H28" s="164"/>
      <c r="I28" s="164"/>
      <c r="J28" s="164"/>
      <c r="K28" s="164"/>
      <c r="L28" s="164"/>
      <c r="M28" s="164"/>
      <c r="N28" s="164"/>
      <c r="O28" s="164"/>
      <c r="P28" s="164"/>
      <c r="Q28" s="164"/>
      <c r="R28" s="164"/>
      <c r="S28" s="164"/>
      <c r="T28" s="164"/>
      <c r="U28" s="164"/>
      <c r="V28" s="164"/>
      <c r="W28" s="164"/>
      <c r="X28" s="164"/>
      <c r="Y28" s="164"/>
      <c r="Z28" s="164"/>
    </row>
    <row r="29">
      <c r="A29" s="164"/>
      <c r="B29" s="164"/>
      <c r="C29" s="164"/>
      <c r="D29" s="164"/>
      <c r="E29" s="164"/>
      <c r="F29" s="164"/>
      <c r="G29" s="164"/>
      <c r="H29" s="164"/>
      <c r="I29" s="164"/>
      <c r="J29" s="164"/>
      <c r="K29" s="164"/>
      <c r="L29" s="164"/>
      <c r="M29" s="164"/>
      <c r="N29" s="164"/>
      <c r="O29" s="164"/>
      <c r="P29" s="164"/>
      <c r="Q29" s="164"/>
      <c r="R29" s="164"/>
      <c r="S29" s="164"/>
      <c r="T29" s="164"/>
      <c r="U29" s="164"/>
      <c r="V29" s="164"/>
      <c r="W29" s="164"/>
      <c r="X29" s="164"/>
      <c r="Y29" s="164"/>
      <c r="Z29" s="164"/>
    </row>
    <row r="30">
      <c r="A30" s="164"/>
      <c r="B30" s="164"/>
      <c r="C30" s="164"/>
      <c r="D30" s="164"/>
      <c r="E30" s="164"/>
      <c r="F30" s="164"/>
      <c r="G30" s="164"/>
      <c r="H30" s="164"/>
      <c r="I30" s="164"/>
      <c r="J30" s="164"/>
      <c r="K30" s="164"/>
      <c r="L30" s="164"/>
      <c r="M30" s="164"/>
      <c r="N30" s="164"/>
      <c r="O30" s="164"/>
      <c r="P30" s="164"/>
      <c r="Q30" s="164"/>
      <c r="R30" s="164"/>
      <c r="S30" s="164"/>
      <c r="T30" s="164"/>
      <c r="U30" s="164"/>
      <c r="V30" s="164"/>
      <c r="W30" s="164"/>
      <c r="X30" s="164"/>
      <c r="Y30" s="164"/>
      <c r="Z30" s="164"/>
    </row>
    <row r="31">
      <c r="A31" s="164"/>
      <c r="B31" s="164"/>
      <c r="C31" s="164"/>
      <c r="D31" s="164"/>
      <c r="E31" s="164"/>
      <c r="F31" s="164"/>
      <c r="G31" s="164"/>
      <c r="H31" s="164"/>
      <c r="I31" s="164"/>
      <c r="J31" s="164"/>
      <c r="K31" s="164"/>
      <c r="L31" s="164"/>
      <c r="M31" s="164"/>
      <c r="N31" s="164"/>
      <c r="O31" s="164"/>
      <c r="P31" s="164"/>
      <c r="Q31" s="164"/>
      <c r="R31" s="164"/>
      <c r="S31" s="164"/>
      <c r="T31" s="164"/>
      <c r="U31" s="164"/>
      <c r="V31" s="164"/>
      <c r="W31" s="164"/>
      <c r="X31" s="164"/>
      <c r="Y31" s="164"/>
      <c r="Z31" s="164"/>
    </row>
    <row r="32">
      <c r="A32" s="164"/>
      <c r="B32" s="164"/>
      <c r="C32" s="164"/>
      <c r="D32" s="164"/>
      <c r="E32" s="164"/>
      <c r="F32" s="164"/>
      <c r="G32" s="164"/>
      <c r="H32" s="164"/>
      <c r="I32" s="164"/>
      <c r="J32" s="164"/>
      <c r="K32" s="164"/>
      <c r="L32" s="164"/>
      <c r="M32" s="164"/>
      <c r="N32" s="164"/>
      <c r="O32" s="164"/>
      <c r="P32" s="164"/>
      <c r="Q32" s="164"/>
      <c r="R32" s="164"/>
      <c r="S32" s="164"/>
      <c r="T32" s="164"/>
      <c r="U32" s="164"/>
      <c r="V32" s="164"/>
      <c r="W32" s="164"/>
      <c r="X32" s="164"/>
      <c r="Y32" s="164"/>
      <c r="Z32" s="164"/>
    </row>
    <row r="33">
      <c r="A33" s="164"/>
      <c r="B33" s="164"/>
      <c r="C33" s="164"/>
      <c r="D33" s="164"/>
      <c r="E33" s="164"/>
      <c r="F33" s="164"/>
      <c r="G33" s="164"/>
      <c r="H33" s="164"/>
      <c r="I33" s="164"/>
      <c r="J33" s="164"/>
      <c r="K33" s="164"/>
      <c r="L33" s="164"/>
      <c r="M33" s="164"/>
      <c r="N33" s="164"/>
      <c r="O33" s="164"/>
      <c r="P33" s="164"/>
      <c r="Q33" s="164"/>
      <c r="R33" s="164"/>
      <c r="S33" s="164"/>
      <c r="T33" s="164"/>
      <c r="U33" s="164"/>
      <c r="V33" s="164"/>
      <c r="W33" s="164"/>
      <c r="X33" s="164"/>
      <c r="Y33" s="164"/>
      <c r="Z33" s="164"/>
    </row>
    <row r="34">
      <c r="A34" s="164"/>
      <c r="B34" s="164"/>
      <c r="C34" s="164"/>
      <c r="D34" s="164"/>
      <c r="E34" s="164"/>
      <c r="F34" s="164"/>
      <c r="G34" s="164"/>
      <c r="H34" s="164"/>
      <c r="I34" s="164"/>
      <c r="J34" s="164"/>
      <c r="K34" s="164"/>
      <c r="L34" s="164"/>
      <c r="M34" s="164"/>
      <c r="N34" s="164"/>
      <c r="O34" s="164"/>
      <c r="P34" s="164"/>
      <c r="Q34" s="164"/>
      <c r="R34" s="164"/>
      <c r="S34" s="164"/>
      <c r="T34" s="164"/>
      <c r="U34" s="164"/>
      <c r="V34" s="164"/>
      <c r="W34" s="164"/>
      <c r="X34" s="164"/>
      <c r="Y34" s="164"/>
      <c r="Z34" s="164"/>
    </row>
    <row r="35">
      <c r="A35" s="164"/>
      <c r="B35" s="164"/>
      <c r="C35" s="164"/>
      <c r="D35" s="164"/>
      <c r="E35" s="164"/>
      <c r="F35" s="164"/>
      <c r="G35" s="164"/>
      <c r="H35" s="164"/>
      <c r="I35" s="164"/>
      <c r="J35" s="164"/>
      <c r="K35" s="164"/>
      <c r="L35" s="164"/>
      <c r="M35" s="164"/>
      <c r="N35" s="164"/>
      <c r="O35" s="164"/>
      <c r="P35" s="164"/>
      <c r="Q35" s="164"/>
      <c r="R35" s="164"/>
      <c r="S35" s="164"/>
      <c r="T35" s="164"/>
      <c r="U35" s="164"/>
      <c r="V35" s="164"/>
      <c r="W35" s="164"/>
      <c r="X35" s="164"/>
      <c r="Y35" s="164"/>
      <c r="Z35" s="164"/>
    </row>
    <row r="36">
      <c r="A36" s="164"/>
      <c r="B36" s="164"/>
      <c r="C36" s="164"/>
      <c r="D36" s="164"/>
      <c r="E36" s="164"/>
      <c r="F36" s="164"/>
      <c r="G36" s="164"/>
      <c r="H36" s="164"/>
      <c r="I36" s="164"/>
      <c r="J36" s="164"/>
      <c r="K36" s="164"/>
      <c r="L36" s="164"/>
      <c r="M36" s="164"/>
      <c r="N36" s="164"/>
      <c r="O36" s="164"/>
      <c r="P36" s="164"/>
      <c r="Q36" s="164"/>
      <c r="R36" s="164"/>
      <c r="S36" s="164"/>
      <c r="T36" s="164"/>
      <c r="U36" s="164"/>
      <c r="V36" s="164"/>
      <c r="W36" s="164"/>
      <c r="X36" s="164"/>
      <c r="Y36" s="164"/>
      <c r="Z36" s="164"/>
    </row>
    <row r="37">
      <c r="A37" s="164"/>
      <c r="B37" s="164"/>
      <c r="C37" s="164"/>
      <c r="D37" s="164"/>
      <c r="E37" s="164"/>
      <c r="F37" s="164"/>
      <c r="G37" s="164"/>
      <c r="H37" s="164"/>
      <c r="I37" s="164"/>
      <c r="J37" s="164"/>
      <c r="K37" s="164"/>
      <c r="L37" s="164"/>
      <c r="M37" s="164"/>
      <c r="N37" s="164"/>
      <c r="O37" s="164"/>
      <c r="P37" s="164"/>
      <c r="Q37" s="164"/>
      <c r="R37" s="164"/>
      <c r="S37" s="164"/>
      <c r="T37" s="164"/>
      <c r="U37" s="164"/>
      <c r="V37" s="164"/>
      <c r="W37" s="164"/>
      <c r="X37" s="164"/>
      <c r="Y37" s="164"/>
      <c r="Z37" s="164"/>
    </row>
    <row r="38">
      <c r="A38" s="164"/>
      <c r="B38" s="164"/>
      <c r="C38" s="164"/>
      <c r="D38" s="164"/>
      <c r="E38" s="164"/>
      <c r="F38" s="164"/>
      <c r="G38" s="164"/>
      <c r="H38" s="164"/>
      <c r="I38" s="164"/>
      <c r="J38" s="164"/>
      <c r="K38" s="164"/>
      <c r="L38" s="164"/>
      <c r="M38" s="164"/>
      <c r="N38" s="164"/>
      <c r="O38" s="164"/>
      <c r="P38" s="164"/>
      <c r="Q38" s="164"/>
      <c r="R38" s="164"/>
      <c r="S38" s="164"/>
      <c r="T38" s="164"/>
      <c r="U38" s="164"/>
      <c r="V38" s="164"/>
      <c r="W38" s="164"/>
      <c r="X38" s="164"/>
      <c r="Y38" s="164"/>
      <c r="Z38" s="164"/>
    </row>
    <row r="39">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c r="A40" s="164"/>
      <c r="B40" s="164"/>
      <c r="C40" s="164"/>
      <c r="D40" s="164"/>
      <c r="E40" s="164"/>
      <c r="F40" s="164"/>
      <c r="G40" s="164"/>
      <c r="H40" s="164"/>
      <c r="I40" s="164"/>
      <c r="J40" s="164"/>
      <c r="K40" s="164"/>
      <c r="L40" s="164"/>
      <c r="M40" s="164"/>
      <c r="N40" s="164"/>
      <c r="O40" s="164"/>
      <c r="P40" s="164"/>
      <c r="Q40" s="164"/>
      <c r="R40" s="164"/>
      <c r="S40" s="164"/>
      <c r="T40" s="164"/>
      <c r="U40" s="164"/>
      <c r="V40" s="164"/>
      <c r="W40" s="164"/>
      <c r="X40" s="164"/>
      <c r="Y40" s="164"/>
      <c r="Z40" s="164"/>
    </row>
    <row r="41">
      <c r="A41" s="164"/>
      <c r="B41" s="164"/>
      <c r="C41" s="164"/>
      <c r="D41" s="164"/>
      <c r="E41" s="164"/>
      <c r="F41" s="164"/>
      <c r="G41" s="164"/>
      <c r="H41" s="164"/>
      <c r="I41" s="164"/>
      <c r="J41" s="164"/>
      <c r="K41" s="164"/>
      <c r="L41" s="164"/>
      <c r="M41" s="164"/>
      <c r="N41" s="164"/>
      <c r="O41" s="164"/>
      <c r="P41" s="164"/>
      <c r="Q41" s="164"/>
      <c r="R41" s="164"/>
      <c r="S41" s="164"/>
      <c r="T41" s="164"/>
      <c r="U41" s="164"/>
      <c r="V41" s="164"/>
      <c r="W41" s="164"/>
      <c r="X41" s="164"/>
      <c r="Y41" s="164"/>
      <c r="Z41" s="164"/>
    </row>
    <row r="42">
      <c r="A42" s="164"/>
      <c r="B42" s="164"/>
      <c r="C42" s="164"/>
      <c r="D42" s="164"/>
      <c r="E42" s="164"/>
      <c r="F42" s="164"/>
      <c r="G42" s="164"/>
      <c r="H42" s="164"/>
      <c r="I42" s="164"/>
      <c r="J42" s="164"/>
      <c r="K42" s="164"/>
      <c r="L42" s="164"/>
      <c r="M42" s="164"/>
      <c r="N42" s="164"/>
      <c r="O42" s="164"/>
      <c r="P42" s="164"/>
      <c r="Q42" s="164"/>
      <c r="R42" s="164"/>
      <c r="S42" s="164"/>
      <c r="T42" s="164"/>
      <c r="U42" s="164"/>
      <c r="V42" s="164"/>
      <c r="W42" s="164"/>
      <c r="X42" s="164"/>
      <c r="Y42" s="164"/>
      <c r="Z42" s="164"/>
    </row>
    <row r="43">
      <c r="A43" s="164"/>
      <c r="B43" s="164"/>
      <c r="C43" s="164"/>
      <c r="D43" s="164"/>
      <c r="E43" s="164"/>
      <c r="F43" s="164"/>
      <c r="G43" s="164"/>
      <c r="H43" s="164"/>
      <c r="I43" s="164"/>
      <c r="J43" s="164"/>
      <c r="K43" s="164"/>
      <c r="L43" s="164"/>
      <c r="M43" s="164"/>
      <c r="N43" s="164"/>
      <c r="O43" s="164"/>
      <c r="P43" s="164"/>
      <c r="Q43" s="164"/>
      <c r="R43" s="164"/>
      <c r="S43" s="164"/>
      <c r="T43" s="164"/>
      <c r="U43" s="164"/>
      <c r="V43" s="164"/>
      <c r="W43" s="164"/>
      <c r="X43" s="164"/>
      <c r="Y43" s="164"/>
      <c r="Z43" s="164"/>
    </row>
    <row r="44">
      <c r="A44" s="164"/>
      <c r="B44" s="164"/>
      <c r="C44" s="164"/>
      <c r="D44" s="164"/>
      <c r="E44" s="164"/>
      <c r="F44" s="164"/>
      <c r="G44" s="164"/>
      <c r="H44" s="164"/>
      <c r="I44" s="164"/>
      <c r="J44" s="164"/>
      <c r="K44" s="164"/>
      <c r="L44" s="164"/>
      <c r="M44" s="164"/>
      <c r="N44" s="164"/>
      <c r="O44" s="164"/>
      <c r="P44" s="164"/>
      <c r="Q44" s="164"/>
      <c r="R44" s="164"/>
      <c r="S44" s="164"/>
      <c r="T44" s="164"/>
      <c r="U44" s="164"/>
      <c r="V44" s="164"/>
      <c r="W44" s="164"/>
      <c r="X44" s="164"/>
      <c r="Y44" s="164"/>
      <c r="Z44" s="164"/>
    </row>
    <row r="45">
      <c r="A45" s="164"/>
      <c r="B45" s="164"/>
      <c r="C45" s="164"/>
      <c r="D45" s="164"/>
      <c r="E45" s="164"/>
      <c r="F45" s="164"/>
      <c r="G45" s="164"/>
      <c r="H45" s="164"/>
      <c r="I45" s="164"/>
      <c r="J45" s="164"/>
      <c r="K45" s="164"/>
      <c r="L45" s="164"/>
      <c r="M45" s="164"/>
      <c r="N45" s="164"/>
      <c r="O45" s="164"/>
      <c r="P45" s="164"/>
      <c r="Q45" s="164"/>
      <c r="R45" s="164"/>
      <c r="S45" s="164"/>
      <c r="T45" s="164"/>
      <c r="U45" s="164"/>
      <c r="V45" s="164"/>
      <c r="W45" s="164"/>
      <c r="X45" s="164"/>
      <c r="Y45" s="164"/>
      <c r="Z45" s="164"/>
    </row>
    <row r="46">
      <c r="A46" s="164"/>
      <c r="B46" s="164"/>
      <c r="C46" s="164"/>
      <c r="D46" s="164"/>
      <c r="E46" s="164"/>
      <c r="F46" s="164"/>
      <c r="G46" s="164"/>
      <c r="H46" s="164"/>
      <c r="I46" s="164"/>
      <c r="J46" s="164"/>
      <c r="K46" s="164"/>
      <c r="L46" s="164"/>
      <c r="M46" s="164"/>
      <c r="N46" s="164"/>
      <c r="O46" s="164"/>
      <c r="P46" s="164"/>
      <c r="Q46" s="164"/>
      <c r="R46" s="164"/>
      <c r="S46" s="164"/>
      <c r="T46" s="164"/>
      <c r="U46" s="164"/>
      <c r="V46" s="164"/>
      <c r="W46" s="164"/>
      <c r="X46" s="164"/>
      <c r="Y46" s="164"/>
      <c r="Z46" s="164"/>
    </row>
    <row r="47">
      <c r="A47" s="164"/>
      <c r="B47" s="164"/>
      <c r="C47" s="164"/>
      <c r="D47" s="164"/>
      <c r="E47" s="164"/>
      <c r="F47" s="164"/>
      <c r="G47" s="164"/>
      <c r="H47" s="164"/>
      <c r="I47" s="164"/>
      <c r="J47" s="164"/>
      <c r="K47" s="164"/>
      <c r="L47" s="164"/>
      <c r="M47" s="164"/>
      <c r="N47" s="164"/>
      <c r="O47" s="164"/>
      <c r="P47" s="164"/>
      <c r="Q47" s="164"/>
      <c r="R47" s="164"/>
      <c r="S47" s="164"/>
      <c r="T47" s="164"/>
      <c r="U47" s="164"/>
      <c r="V47" s="164"/>
      <c r="W47" s="164"/>
      <c r="X47" s="164"/>
      <c r="Y47" s="164"/>
      <c r="Z47" s="164"/>
    </row>
    <row r="48">
      <c r="A48" s="164"/>
      <c r="B48" s="164"/>
      <c r="C48" s="164"/>
      <c r="D48" s="164"/>
      <c r="E48" s="164"/>
      <c r="F48" s="164"/>
      <c r="G48" s="164"/>
      <c r="H48" s="164"/>
      <c r="I48" s="164"/>
      <c r="J48" s="164"/>
      <c r="K48" s="164"/>
      <c r="L48" s="164"/>
      <c r="M48" s="164"/>
      <c r="N48" s="164"/>
      <c r="O48" s="164"/>
      <c r="P48" s="164"/>
      <c r="Q48" s="164"/>
      <c r="R48" s="164"/>
      <c r="S48" s="164"/>
      <c r="T48" s="164"/>
      <c r="U48" s="164"/>
      <c r="V48" s="164"/>
      <c r="W48" s="164"/>
      <c r="X48" s="164"/>
      <c r="Y48" s="164"/>
      <c r="Z48" s="164"/>
    </row>
    <row r="49">
      <c r="A49" s="164"/>
      <c r="B49" s="164"/>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row>
    <row r="50">
      <c r="A50" s="164"/>
      <c r="B50" s="164"/>
      <c r="C50" s="164"/>
      <c r="D50" s="164"/>
      <c r="E50" s="164"/>
      <c r="F50" s="164"/>
      <c r="G50" s="164"/>
      <c r="H50" s="164"/>
      <c r="I50" s="164"/>
      <c r="J50" s="164"/>
      <c r="K50" s="164"/>
      <c r="L50" s="164"/>
      <c r="M50" s="164"/>
      <c r="N50" s="164"/>
      <c r="O50" s="164"/>
      <c r="P50" s="164"/>
      <c r="Q50" s="164"/>
      <c r="R50" s="164"/>
      <c r="S50" s="164"/>
      <c r="T50" s="164"/>
      <c r="U50" s="164"/>
      <c r="V50" s="164"/>
      <c r="W50" s="164"/>
      <c r="X50" s="164"/>
      <c r="Y50" s="164"/>
      <c r="Z50" s="164"/>
    </row>
    <row r="51">
      <c r="A51" s="164"/>
      <c r="B51" s="164"/>
      <c r="C51" s="164"/>
      <c r="D51" s="164"/>
      <c r="E51" s="164"/>
      <c r="F51" s="164"/>
      <c r="G51" s="164"/>
      <c r="H51" s="164"/>
      <c r="I51" s="164"/>
      <c r="J51" s="164"/>
      <c r="K51" s="164"/>
      <c r="L51" s="164"/>
      <c r="M51" s="164"/>
      <c r="N51" s="164"/>
      <c r="O51" s="164"/>
      <c r="P51" s="164"/>
      <c r="Q51" s="164"/>
      <c r="R51" s="164"/>
      <c r="S51" s="164"/>
      <c r="T51" s="164"/>
      <c r="U51" s="164"/>
      <c r="V51" s="164"/>
      <c r="W51" s="164"/>
      <c r="X51" s="164"/>
      <c r="Y51" s="164"/>
      <c r="Z51" s="164"/>
    </row>
    <row r="52">
      <c r="A52" s="164"/>
      <c r="B52" s="164"/>
      <c r="C52" s="164"/>
      <c r="D52" s="164"/>
      <c r="E52" s="164"/>
      <c r="F52" s="164"/>
      <c r="G52" s="164"/>
      <c r="H52" s="164"/>
      <c r="I52" s="164"/>
      <c r="J52" s="164"/>
      <c r="K52" s="164"/>
      <c r="L52" s="164"/>
      <c r="M52" s="164"/>
      <c r="N52" s="164"/>
      <c r="O52" s="164"/>
      <c r="P52" s="164"/>
      <c r="Q52" s="164"/>
      <c r="R52" s="164"/>
      <c r="S52" s="164"/>
      <c r="T52" s="164"/>
      <c r="U52" s="164"/>
      <c r="V52" s="164"/>
      <c r="W52" s="164"/>
      <c r="X52" s="164"/>
      <c r="Y52" s="164"/>
      <c r="Z52" s="164"/>
    </row>
    <row r="53">
      <c r="A53" s="164"/>
      <c r="B53" s="164"/>
      <c r="C53" s="164"/>
      <c r="D53" s="164"/>
      <c r="E53" s="164"/>
      <c r="F53" s="164"/>
      <c r="G53" s="164"/>
      <c r="H53" s="164"/>
      <c r="I53" s="164"/>
      <c r="J53" s="164"/>
      <c r="K53" s="164"/>
      <c r="L53" s="164"/>
      <c r="M53" s="164"/>
      <c r="N53" s="164"/>
      <c r="O53" s="164"/>
      <c r="P53" s="164"/>
      <c r="Q53" s="164"/>
      <c r="R53" s="164"/>
      <c r="S53" s="164"/>
      <c r="T53" s="164"/>
      <c r="U53" s="164"/>
      <c r="V53" s="164"/>
      <c r="W53" s="164"/>
      <c r="X53" s="164"/>
      <c r="Y53" s="164"/>
      <c r="Z53" s="164"/>
    </row>
    <row r="54">
      <c r="A54" s="164"/>
      <c r="B54" s="164"/>
      <c r="C54" s="164"/>
      <c r="D54" s="164"/>
      <c r="E54" s="164"/>
      <c r="F54" s="164"/>
      <c r="G54" s="164"/>
      <c r="H54" s="164"/>
      <c r="I54" s="164"/>
      <c r="J54" s="164"/>
      <c r="K54" s="164"/>
      <c r="L54" s="164"/>
      <c r="M54" s="164"/>
      <c r="N54" s="164"/>
      <c r="O54" s="164"/>
      <c r="P54" s="164"/>
      <c r="Q54" s="164"/>
      <c r="R54" s="164"/>
      <c r="S54" s="164"/>
      <c r="T54" s="164"/>
      <c r="U54" s="164"/>
      <c r="V54" s="164"/>
      <c r="W54" s="164"/>
      <c r="X54" s="164"/>
      <c r="Y54" s="164"/>
      <c r="Z54" s="164"/>
    </row>
    <row r="55">
      <c r="A55" s="164"/>
      <c r="B55" s="164"/>
      <c r="C55" s="164"/>
      <c r="D55" s="164"/>
      <c r="E55" s="164"/>
      <c r="F55" s="164"/>
      <c r="G55" s="164"/>
      <c r="H55" s="164"/>
      <c r="I55" s="164"/>
      <c r="J55" s="164"/>
      <c r="K55" s="164"/>
      <c r="L55" s="164"/>
      <c r="M55" s="164"/>
      <c r="N55" s="164"/>
      <c r="O55" s="164"/>
      <c r="P55" s="164"/>
      <c r="Q55" s="164"/>
      <c r="R55" s="164"/>
      <c r="S55" s="164"/>
      <c r="T55" s="164"/>
      <c r="U55" s="164"/>
      <c r="V55" s="164"/>
      <c r="W55" s="164"/>
      <c r="X55" s="164"/>
      <c r="Y55" s="164"/>
      <c r="Z55" s="164"/>
    </row>
    <row r="56">
      <c r="A56" s="164"/>
      <c r="B56" s="164"/>
      <c r="C56" s="164"/>
      <c r="D56" s="164"/>
      <c r="E56" s="164"/>
      <c r="F56" s="164"/>
      <c r="G56" s="164"/>
      <c r="H56" s="164"/>
      <c r="I56" s="164"/>
      <c r="J56" s="164"/>
      <c r="K56" s="164"/>
      <c r="L56" s="164"/>
      <c r="M56" s="164"/>
      <c r="N56" s="164"/>
      <c r="O56" s="164"/>
      <c r="P56" s="164"/>
      <c r="Q56" s="164"/>
      <c r="R56" s="164"/>
      <c r="S56" s="164"/>
      <c r="T56" s="164"/>
      <c r="U56" s="164"/>
      <c r="V56" s="164"/>
      <c r="W56" s="164"/>
      <c r="X56" s="164"/>
      <c r="Y56" s="164"/>
      <c r="Z56" s="164"/>
    </row>
    <row r="57">
      <c r="A57" s="164"/>
      <c r="B57" s="164"/>
      <c r="C57" s="164"/>
      <c r="D57" s="164"/>
      <c r="E57" s="164"/>
      <c r="F57" s="164"/>
      <c r="G57" s="164"/>
      <c r="H57" s="164"/>
      <c r="I57" s="164"/>
      <c r="J57" s="164"/>
      <c r="K57" s="164"/>
      <c r="L57" s="164"/>
      <c r="M57" s="164"/>
      <c r="N57" s="164"/>
      <c r="O57" s="164"/>
      <c r="P57" s="164"/>
      <c r="Q57" s="164"/>
      <c r="R57" s="164"/>
      <c r="S57" s="164"/>
      <c r="T57" s="164"/>
      <c r="U57" s="164"/>
      <c r="V57" s="164"/>
      <c r="W57" s="164"/>
      <c r="X57" s="164"/>
      <c r="Y57" s="164"/>
      <c r="Z57" s="164"/>
    </row>
    <row r="58">
      <c r="A58" s="164"/>
      <c r="B58" s="164"/>
      <c r="C58" s="164"/>
      <c r="D58" s="164"/>
      <c r="E58" s="164"/>
      <c r="F58" s="164"/>
      <c r="G58" s="164"/>
      <c r="H58" s="164"/>
      <c r="I58" s="164"/>
      <c r="J58" s="164"/>
      <c r="K58" s="164"/>
      <c r="L58" s="164"/>
      <c r="M58" s="164"/>
      <c r="N58" s="164"/>
      <c r="O58" s="164"/>
      <c r="P58" s="164"/>
      <c r="Q58" s="164"/>
      <c r="R58" s="164"/>
      <c r="S58" s="164"/>
      <c r="T58" s="164"/>
      <c r="U58" s="164"/>
      <c r="V58" s="164"/>
      <c r="W58" s="164"/>
      <c r="X58" s="164"/>
      <c r="Y58" s="164"/>
      <c r="Z58" s="164"/>
    </row>
    <row r="59">
      <c r="A59" s="164"/>
      <c r="B59" s="164"/>
      <c r="C59" s="164"/>
      <c r="D59" s="164"/>
      <c r="E59" s="164"/>
      <c r="F59" s="164"/>
      <c r="G59" s="164"/>
      <c r="H59" s="164"/>
      <c r="I59" s="164"/>
      <c r="J59" s="164"/>
      <c r="K59" s="164"/>
      <c r="L59" s="164"/>
      <c r="M59" s="164"/>
      <c r="N59" s="164"/>
      <c r="O59" s="164"/>
      <c r="P59" s="164"/>
      <c r="Q59" s="164"/>
      <c r="R59" s="164"/>
      <c r="S59" s="164"/>
      <c r="T59" s="164"/>
      <c r="U59" s="164"/>
      <c r="V59" s="164"/>
      <c r="W59" s="164"/>
      <c r="X59" s="164"/>
      <c r="Y59" s="164"/>
      <c r="Z59" s="164"/>
    </row>
    <row r="60">
      <c r="A60" s="164"/>
      <c r="B60" s="164"/>
      <c r="C60" s="164"/>
      <c r="D60" s="164"/>
      <c r="E60" s="164"/>
      <c r="F60" s="164"/>
      <c r="G60" s="164"/>
      <c r="H60" s="164"/>
      <c r="I60" s="164"/>
      <c r="J60" s="164"/>
      <c r="K60" s="164"/>
      <c r="L60" s="164"/>
      <c r="M60" s="164"/>
      <c r="N60" s="164"/>
      <c r="O60" s="164"/>
      <c r="P60" s="164"/>
      <c r="Q60" s="164"/>
      <c r="R60" s="164"/>
      <c r="S60" s="164"/>
      <c r="T60" s="164"/>
      <c r="U60" s="164"/>
      <c r="V60" s="164"/>
      <c r="W60" s="164"/>
      <c r="X60" s="164"/>
      <c r="Y60" s="164"/>
      <c r="Z60" s="164"/>
    </row>
    <row r="61">
      <c r="A61" s="164"/>
      <c r="B61" s="164"/>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row>
    <row r="62">
      <c r="A62" s="164"/>
      <c r="B62" s="164"/>
      <c r="C62" s="164"/>
      <c r="D62" s="164"/>
      <c r="E62" s="164"/>
      <c r="F62" s="164"/>
      <c r="G62" s="164"/>
      <c r="H62" s="164"/>
      <c r="I62" s="164"/>
      <c r="J62" s="164"/>
      <c r="K62" s="164"/>
      <c r="L62" s="164"/>
      <c r="M62" s="164"/>
      <c r="N62" s="164"/>
      <c r="O62" s="164"/>
      <c r="P62" s="164"/>
      <c r="Q62" s="164"/>
      <c r="R62" s="164"/>
      <c r="S62" s="164"/>
      <c r="T62" s="164"/>
      <c r="U62" s="164"/>
      <c r="V62" s="164"/>
      <c r="W62" s="164"/>
      <c r="X62" s="164"/>
      <c r="Y62" s="164"/>
      <c r="Z62" s="164"/>
    </row>
    <row r="63">
      <c r="A63" s="164"/>
      <c r="B63" s="164"/>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row>
    <row r="64">
      <c r="A64" s="164"/>
      <c r="B64" s="164"/>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row>
    <row r="65">
      <c r="A65" s="164"/>
      <c r="B65" s="164"/>
      <c r="C65" s="164"/>
      <c r="D65" s="164"/>
      <c r="E65" s="164"/>
      <c r="F65" s="164"/>
      <c r="G65" s="164"/>
      <c r="H65" s="164"/>
      <c r="I65" s="164"/>
      <c r="J65" s="164"/>
      <c r="K65" s="164"/>
      <c r="L65" s="164"/>
      <c r="M65" s="164"/>
      <c r="N65" s="164"/>
      <c r="O65" s="164"/>
      <c r="P65" s="164"/>
      <c r="Q65" s="164"/>
      <c r="R65" s="164"/>
      <c r="S65" s="164"/>
      <c r="T65" s="164"/>
      <c r="U65" s="164"/>
      <c r="V65" s="164"/>
      <c r="W65" s="164"/>
      <c r="X65" s="164"/>
      <c r="Y65" s="164"/>
      <c r="Z65" s="164"/>
    </row>
    <row r="66">
      <c r="A66" s="164"/>
      <c r="B66" s="164"/>
      <c r="C66" s="164"/>
      <c r="D66" s="164"/>
      <c r="E66" s="164"/>
      <c r="F66" s="164"/>
      <c r="G66" s="164"/>
      <c r="H66" s="164"/>
      <c r="I66" s="164"/>
      <c r="J66" s="164"/>
      <c r="K66" s="164"/>
      <c r="L66" s="164"/>
      <c r="M66" s="164"/>
      <c r="N66" s="164"/>
      <c r="O66" s="164"/>
      <c r="P66" s="164"/>
      <c r="Q66" s="164"/>
      <c r="R66" s="164"/>
      <c r="S66" s="164"/>
      <c r="T66" s="164"/>
      <c r="U66" s="164"/>
      <c r="V66" s="164"/>
      <c r="W66" s="164"/>
      <c r="X66" s="164"/>
      <c r="Y66" s="164"/>
      <c r="Z66" s="164"/>
    </row>
    <row r="67">
      <c r="A67" s="164"/>
      <c r="B67" s="164"/>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row>
    <row r="68">
      <c r="A68" s="164"/>
      <c r="B68" s="164"/>
      <c r="C68" s="164"/>
      <c r="D68" s="164"/>
      <c r="E68" s="164"/>
      <c r="F68" s="164"/>
      <c r="G68" s="164"/>
      <c r="H68" s="164"/>
      <c r="I68" s="164"/>
      <c r="J68" s="164"/>
      <c r="K68" s="164"/>
      <c r="L68" s="164"/>
      <c r="M68" s="164"/>
      <c r="N68" s="164"/>
      <c r="O68" s="164"/>
      <c r="P68" s="164"/>
      <c r="Q68" s="164"/>
      <c r="R68" s="164"/>
      <c r="S68" s="164"/>
      <c r="T68" s="164"/>
      <c r="U68" s="164"/>
      <c r="V68" s="164"/>
      <c r="W68" s="164"/>
      <c r="X68" s="164"/>
      <c r="Y68" s="164"/>
      <c r="Z68" s="164"/>
    </row>
    <row r="69">
      <c r="A69" s="164"/>
      <c r="B69" s="164"/>
      <c r="C69" s="164"/>
      <c r="D69" s="164"/>
      <c r="E69" s="164"/>
      <c r="F69" s="164"/>
      <c r="G69" s="164"/>
      <c r="H69" s="164"/>
      <c r="I69" s="164"/>
      <c r="J69" s="164"/>
      <c r="K69" s="164"/>
      <c r="L69" s="164"/>
      <c r="M69" s="164"/>
      <c r="N69" s="164"/>
      <c r="O69" s="164"/>
      <c r="P69" s="164"/>
      <c r="Q69" s="164"/>
      <c r="R69" s="164"/>
      <c r="S69" s="164"/>
      <c r="T69" s="164"/>
      <c r="U69" s="164"/>
      <c r="V69" s="164"/>
      <c r="W69" s="164"/>
      <c r="X69" s="164"/>
      <c r="Y69" s="164"/>
      <c r="Z69" s="164"/>
    </row>
    <row r="70">
      <c r="A70" s="164"/>
      <c r="B70" s="164"/>
      <c r="C70" s="164"/>
      <c r="D70" s="164"/>
      <c r="E70" s="164"/>
      <c r="F70" s="164"/>
      <c r="G70" s="164"/>
      <c r="H70" s="164"/>
      <c r="I70" s="164"/>
      <c r="J70" s="164"/>
      <c r="K70" s="164"/>
      <c r="L70" s="164"/>
      <c r="M70" s="164"/>
      <c r="N70" s="164"/>
      <c r="O70" s="164"/>
      <c r="P70" s="164"/>
      <c r="Q70" s="164"/>
      <c r="R70" s="164"/>
      <c r="S70" s="164"/>
      <c r="T70" s="164"/>
      <c r="U70" s="164"/>
      <c r="V70" s="164"/>
      <c r="W70" s="164"/>
      <c r="X70" s="164"/>
      <c r="Y70" s="164"/>
      <c r="Z70" s="164"/>
    </row>
    <row r="71">
      <c r="A71" s="164"/>
      <c r="B71" s="164"/>
      <c r="C71" s="164"/>
      <c r="D71" s="164"/>
      <c r="E71" s="164"/>
      <c r="F71" s="164"/>
      <c r="G71" s="164"/>
      <c r="H71" s="164"/>
      <c r="I71" s="164"/>
      <c r="J71" s="164"/>
      <c r="K71" s="164"/>
      <c r="L71" s="164"/>
      <c r="M71" s="164"/>
      <c r="N71" s="164"/>
      <c r="O71" s="164"/>
      <c r="P71" s="164"/>
      <c r="Q71" s="164"/>
      <c r="R71" s="164"/>
      <c r="S71" s="164"/>
      <c r="T71" s="164"/>
      <c r="U71" s="164"/>
      <c r="V71" s="164"/>
      <c r="W71" s="164"/>
      <c r="X71" s="164"/>
      <c r="Y71" s="164"/>
      <c r="Z71" s="164"/>
    </row>
    <row r="72">
      <c r="A72" s="164"/>
      <c r="B72" s="164"/>
      <c r="C72" s="164"/>
      <c r="D72" s="164"/>
      <c r="E72" s="164"/>
      <c r="F72" s="164"/>
      <c r="G72" s="164"/>
      <c r="H72" s="164"/>
      <c r="I72" s="164"/>
      <c r="J72" s="164"/>
      <c r="K72" s="164"/>
      <c r="L72" s="164"/>
      <c r="M72" s="164"/>
      <c r="N72" s="164"/>
      <c r="O72" s="164"/>
      <c r="P72" s="164"/>
      <c r="Q72" s="164"/>
      <c r="R72" s="164"/>
      <c r="S72" s="164"/>
      <c r="T72" s="164"/>
      <c r="U72" s="164"/>
      <c r="V72" s="164"/>
      <c r="W72" s="164"/>
      <c r="X72" s="164"/>
      <c r="Y72" s="164"/>
      <c r="Z72" s="164"/>
    </row>
    <row r="73">
      <c r="A73" s="164"/>
      <c r="B73" s="164"/>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row>
    <row r="74">
      <c r="A74" s="164"/>
      <c r="B74" s="164"/>
      <c r="C74" s="164"/>
      <c r="D74" s="164"/>
      <c r="E74" s="164"/>
      <c r="F74" s="164"/>
      <c r="G74" s="164"/>
      <c r="H74" s="164"/>
      <c r="I74" s="164"/>
      <c r="J74" s="164"/>
      <c r="K74" s="164"/>
      <c r="L74" s="164"/>
      <c r="M74" s="164"/>
      <c r="N74" s="164"/>
      <c r="O74" s="164"/>
      <c r="P74" s="164"/>
      <c r="Q74" s="164"/>
      <c r="R74" s="164"/>
      <c r="S74" s="164"/>
      <c r="T74" s="164"/>
      <c r="U74" s="164"/>
      <c r="V74" s="164"/>
      <c r="W74" s="164"/>
      <c r="X74" s="164"/>
      <c r="Y74" s="164"/>
      <c r="Z74" s="164"/>
    </row>
    <row r="75">
      <c r="A75" s="164"/>
      <c r="B75" s="164"/>
      <c r="C75" s="164"/>
      <c r="D75" s="164"/>
      <c r="E75" s="164"/>
      <c r="F75" s="164"/>
      <c r="G75" s="164"/>
      <c r="H75" s="164"/>
      <c r="I75" s="164"/>
      <c r="J75" s="164"/>
      <c r="K75" s="164"/>
      <c r="L75" s="164"/>
      <c r="M75" s="164"/>
      <c r="N75" s="164"/>
      <c r="O75" s="164"/>
      <c r="P75" s="164"/>
      <c r="Q75" s="164"/>
      <c r="R75" s="164"/>
      <c r="S75" s="164"/>
      <c r="T75" s="164"/>
      <c r="U75" s="164"/>
      <c r="V75" s="164"/>
      <c r="W75" s="164"/>
      <c r="X75" s="164"/>
      <c r="Y75" s="164"/>
      <c r="Z75" s="164"/>
    </row>
    <row r="76">
      <c r="A76" s="164"/>
      <c r="B76" s="164"/>
      <c r="C76" s="164"/>
      <c r="D76" s="164"/>
      <c r="E76" s="164"/>
      <c r="F76" s="164"/>
      <c r="G76" s="164"/>
      <c r="H76" s="164"/>
      <c r="I76" s="164"/>
      <c r="J76" s="164"/>
      <c r="K76" s="164"/>
      <c r="L76" s="164"/>
      <c r="M76" s="164"/>
      <c r="N76" s="164"/>
      <c r="O76" s="164"/>
      <c r="P76" s="164"/>
      <c r="Q76" s="164"/>
      <c r="R76" s="164"/>
      <c r="S76" s="164"/>
      <c r="T76" s="164"/>
      <c r="U76" s="164"/>
      <c r="V76" s="164"/>
      <c r="W76" s="164"/>
      <c r="X76" s="164"/>
      <c r="Y76" s="164"/>
      <c r="Z76" s="164"/>
    </row>
    <row r="77">
      <c r="A77" s="164"/>
      <c r="B77" s="164"/>
      <c r="C77" s="164"/>
      <c r="D77" s="164"/>
      <c r="E77" s="164"/>
      <c r="F77" s="164"/>
      <c r="G77" s="164"/>
      <c r="H77" s="164"/>
      <c r="I77" s="164"/>
      <c r="J77" s="164"/>
      <c r="K77" s="164"/>
      <c r="L77" s="164"/>
      <c r="M77" s="164"/>
      <c r="N77" s="164"/>
      <c r="O77" s="164"/>
      <c r="P77" s="164"/>
      <c r="Q77" s="164"/>
      <c r="R77" s="164"/>
      <c r="S77" s="164"/>
      <c r="T77" s="164"/>
      <c r="U77" s="164"/>
      <c r="V77" s="164"/>
      <c r="W77" s="164"/>
      <c r="X77" s="164"/>
      <c r="Y77" s="164"/>
      <c r="Z77" s="164"/>
    </row>
    <row r="78">
      <c r="A78" s="164"/>
      <c r="B78" s="164"/>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row>
    <row r="79">
      <c r="A79" s="164"/>
      <c r="B79" s="164"/>
      <c r="C79" s="164"/>
      <c r="D79" s="164"/>
      <c r="E79" s="164"/>
      <c r="F79" s="164"/>
      <c r="G79" s="164"/>
      <c r="H79" s="164"/>
      <c r="I79" s="164"/>
      <c r="J79" s="164"/>
      <c r="K79" s="164"/>
      <c r="L79" s="164"/>
      <c r="M79" s="164"/>
      <c r="N79" s="164"/>
      <c r="O79" s="164"/>
      <c r="P79" s="164"/>
      <c r="Q79" s="164"/>
      <c r="R79" s="164"/>
      <c r="S79" s="164"/>
      <c r="T79" s="164"/>
      <c r="U79" s="164"/>
      <c r="V79" s="164"/>
      <c r="W79" s="164"/>
      <c r="X79" s="164"/>
      <c r="Y79" s="164"/>
      <c r="Z79" s="164"/>
    </row>
    <row r="80">
      <c r="A80" s="164"/>
      <c r="B80" s="164"/>
      <c r="C80" s="164"/>
      <c r="D80" s="164"/>
      <c r="E80" s="164"/>
      <c r="F80" s="164"/>
      <c r="G80" s="164"/>
      <c r="H80" s="164"/>
      <c r="I80" s="164"/>
      <c r="J80" s="164"/>
      <c r="K80" s="164"/>
      <c r="L80" s="164"/>
      <c r="M80" s="164"/>
      <c r="N80" s="164"/>
      <c r="O80" s="164"/>
      <c r="P80" s="164"/>
      <c r="Q80" s="164"/>
      <c r="R80" s="164"/>
      <c r="S80" s="164"/>
      <c r="T80" s="164"/>
      <c r="U80" s="164"/>
      <c r="V80" s="164"/>
      <c r="W80" s="164"/>
      <c r="X80" s="164"/>
      <c r="Y80" s="164"/>
      <c r="Z80" s="164"/>
    </row>
    <row r="81">
      <c r="A81" s="164"/>
      <c r="B81" s="164"/>
      <c r="C81" s="164"/>
      <c r="D81" s="164"/>
      <c r="E81" s="164"/>
      <c r="F81" s="164"/>
      <c r="G81" s="164"/>
      <c r="H81" s="164"/>
      <c r="I81" s="164"/>
      <c r="J81" s="164"/>
      <c r="K81" s="164"/>
      <c r="L81" s="164"/>
      <c r="M81" s="164"/>
      <c r="N81" s="164"/>
      <c r="O81" s="164"/>
      <c r="P81" s="164"/>
      <c r="Q81" s="164"/>
      <c r="R81" s="164"/>
      <c r="S81" s="164"/>
      <c r="T81" s="164"/>
      <c r="U81" s="164"/>
      <c r="V81" s="164"/>
      <c r="W81" s="164"/>
      <c r="X81" s="164"/>
      <c r="Y81" s="164"/>
      <c r="Z81" s="164"/>
    </row>
    <row r="82">
      <c r="A82" s="164"/>
      <c r="B82" s="164"/>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row>
    <row r="83">
      <c r="A83" s="164"/>
      <c r="B83" s="164"/>
      <c r="C83" s="164"/>
      <c r="D83" s="164"/>
      <c r="E83" s="164"/>
      <c r="F83" s="164"/>
      <c r="G83" s="164"/>
      <c r="H83" s="164"/>
      <c r="I83" s="164"/>
      <c r="J83" s="164"/>
      <c r="K83" s="164"/>
      <c r="L83" s="164"/>
      <c r="M83" s="164"/>
      <c r="N83" s="164"/>
      <c r="O83" s="164"/>
      <c r="P83" s="164"/>
      <c r="Q83" s="164"/>
      <c r="R83" s="164"/>
      <c r="S83" s="164"/>
      <c r="T83" s="164"/>
      <c r="U83" s="164"/>
      <c r="V83" s="164"/>
      <c r="W83" s="164"/>
      <c r="X83" s="164"/>
      <c r="Y83" s="164"/>
      <c r="Z83" s="164"/>
    </row>
    <row r="84">
      <c r="A84" s="164"/>
      <c r="B84" s="164"/>
      <c r="C84" s="164"/>
      <c r="D84" s="164"/>
      <c r="E84" s="164"/>
      <c r="F84" s="164"/>
      <c r="G84" s="164"/>
      <c r="H84" s="164"/>
      <c r="I84" s="164"/>
      <c r="J84" s="164"/>
      <c r="K84" s="164"/>
      <c r="L84" s="164"/>
      <c r="M84" s="164"/>
      <c r="N84" s="164"/>
      <c r="O84" s="164"/>
      <c r="P84" s="164"/>
      <c r="Q84" s="164"/>
      <c r="R84" s="164"/>
      <c r="S84" s="164"/>
      <c r="T84" s="164"/>
      <c r="U84" s="164"/>
      <c r="V84" s="164"/>
      <c r="W84" s="164"/>
      <c r="X84" s="164"/>
      <c r="Y84" s="164"/>
      <c r="Z84" s="164"/>
    </row>
    <row r="85">
      <c r="A85" s="164"/>
      <c r="B85" s="164"/>
      <c r="C85" s="164"/>
      <c r="D85" s="164"/>
      <c r="E85" s="164"/>
      <c r="F85" s="164"/>
      <c r="G85" s="164"/>
      <c r="H85" s="164"/>
      <c r="I85" s="164"/>
      <c r="J85" s="164"/>
      <c r="K85" s="164"/>
      <c r="L85" s="164"/>
      <c r="M85" s="164"/>
      <c r="N85" s="164"/>
      <c r="O85" s="164"/>
      <c r="P85" s="164"/>
      <c r="Q85" s="164"/>
      <c r="R85" s="164"/>
      <c r="S85" s="164"/>
      <c r="T85" s="164"/>
      <c r="U85" s="164"/>
      <c r="V85" s="164"/>
      <c r="W85" s="164"/>
      <c r="X85" s="164"/>
      <c r="Y85" s="164"/>
      <c r="Z85" s="164"/>
    </row>
    <row r="86">
      <c r="A86" s="164"/>
      <c r="B86" s="164"/>
      <c r="C86" s="164"/>
      <c r="D86" s="164"/>
      <c r="E86" s="164"/>
      <c r="F86" s="164"/>
      <c r="G86" s="164"/>
      <c r="H86" s="164"/>
      <c r="I86" s="164"/>
      <c r="J86" s="164"/>
      <c r="K86" s="164"/>
      <c r="L86" s="164"/>
      <c r="M86" s="164"/>
      <c r="N86" s="164"/>
      <c r="O86" s="164"/>
      <c r="P86" s="164"/>
      <c r="Q86" s="164"/>
      <c r="R86" s="164"/>
      <c r="S86" s="164"/>
      <c r="T86" s="164"/>
      <c r="U86" s="164"/>
      <c r="V86" s="164"/>
      <c r="W86" s="164"/>
      <c r="X86" s="164"/>
      <c r="Y86" s="164"/>
      <c r="Z86" s="164"/>
    </row>
    <row r="87">
      <c r="A87" s="164"/>
      <c r="B87" s="164"/>
      <c r="C87" s="164"/>
      <c r="D87" s="164"/>
      <c r="E87" s="164"/>
      <c r="F87" s="164"/>
      <c r="G87" s="164"/>
      <c r="H87" s="164"/>
      <c r="I87" s="164"/>
      <c r="J87" s="164"/>
      <c r="K87" s="164"/>
      <c r="L87" s="164"/>
      <c r="M87" s="164"/>
      <c r="N87" s="164"/>
      <c r="O87" s="164"/>
      <c r="P87" s="164"/>
      <c r="Q87" s="164"/>
      <c r="R87" s="164"/>
      <c r="S87" s="164"/>
      <c r="T87" s="164"/>
      <c r="U87" s="164"/>
      <c r="V87" s="164"/>
      <c r="W87" s="164"/>
      <c r="X87" s="164"/>
      <c r="Y87" s="164"/>
      <c r="Z87" s="164"/>
    </row>
    <row r="88">
      <c r="A88" s="164"/>
      <c r="B88" s="164"/>
      <c r="C88" s="164"/>
      <c r="D88" s="164"/>
      <c r="E88" s="164"/>
      <c r="F88" s="164"/>
      <c r="G88" s="164"/>
      <c r="H88" s="164"/>
      <c r="I88" s="164"/>
      <c r="J88" s="164"/>
      <c r="K88" s="164"/>
      <c r="L88" s="164"/>
      <c r="M88" s="164"/>
      <c r="N88" s="164"/>
      <c r="O88" s="164"/>
      <c r="P88" s="164"/>
      <c r="Q88" s="164"/>
      <c r="R88" s="164"/>
      <c r="S88" s="164"/>
      <c r="T88" s="164"/>
      <c r="U88" s="164"/>
      <c r="V88" s="164"/>
      <c r="W88" s="164"/>
      <c r="X88" s="164"/>
      <c r="Y88" s="164"/>
      <c r="Z88" s="164"/>
    </row>
    <row r="89">
      <c r="A89" s="164"/>
      <c r="B89" s="164"/>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row>
    <row r="90">
      <c r="A90" s="164"/>
      <c r="B90" s="164"/>
      <c r="C90" s="164"/>
      <c r="D90" s="164"/>
      <c r="E90" s="164"/>
      <c r="F90" s="164"/>
      <c r="G90" s="164"/>
      <c r="H90" s="164"/>
      <c r="I90" s="164"/>
      <c r="J90" s="164"/>
      <c r="K90" s="164"/>
      <c r="L90" s="164"/>
      <c r="M90" s="164"/>
      <c r="N90" s="164"/>
      <c r="O90" s="164"/>
      <c r="P90" s="164"/>
      <c r="Q90" s="164"/>
      <c r="R90" s="164"/>
      <c r="S90" s="164"/>
      <c r="T90" s="164"/>
      <c r="U90" s="164"/>
      <c r="V90" s="164"/>
      <c r="W90" s="164"/>
      <c r="X90" s="164"/>
      <c r="Y90" s="164"/>
      <c r="Z90" s="164"/>
    </row>
    <row r="91">
      <c r="A91" s="164"/>
      <c r="B91" s="164"/>
      <c r="C91" s="164"/>
      <c r="D91" s="164"/>
      <c r="E91" s="164"/>
      <c r="F91" s="164"/>
      <c r="G91" s="164"/>
      <c r="H91" s="164"/>
      <c r="I91" s="164"/>
      <c r="J91" s="164"/>
      <c r="K91" s="164"/>
      <c r="L91" s="164"/>
      <c r="M91" s="164"/>
      <c r="N91" s="164"/>
      <c r="O91" s="164"/>
      <c r="P91" s="164"/>
      <c r="Q91" s="164"/>
      <c r="R91" s="164"/>
      <c r="S91" s="164"/>
      <c r="T91" s="164"/>
      <c r="U91" s="164"/>
      <c r="V91" s="164"/>
      <c r="W91" s="164"/>
      <c r="X91" s="164"/>
      <c r="Y91" s="164"/>
      <c r="Z91" s="164"/>
    </row>
    <row r="92">
      <c r="A92" s="164"/>
      <c r="B92" s="164"/>
      <c r="C92" s="164"/>
      <c r="D92" s="164"/>
      <c r="E92" s="164"/>
      <c r="F92" s="164"/>
      <c r="G92" s="164"/>
      <c r="H92" s="164"/>
      <c r="I92" s="164"/>
      <c r="J92" s="164"/>
      <c r="K92" s="164"/>
      <c r="L92" s="164"/>
      <c r="M92" s="164"/>
      <c r="N92" s="164"/>
      <c r="O92" s="164"/>
      <c r="P92" s="164"/>
      <c r="Q92" s="164"/>
      <c r="R92" s="164"/>
      <c r="S92" s="164"/>
      <c r="T92" s="164"/>
      <c r="U92" s="164"/>
      <c r="V92" s="164"/>
      <c r="W92" s="164"/>
      <c r="X92" s="164"/>
      <c r="Y92" s="164"/>
      <c r="Z92" s="164"/>
    </row>
    <row r="93">
      <c r="A93" s="164"/>
      <c r="B93" s="164"/>
      <c r="C93" s="164"/>
      <c r="D93" s="164"/>
      <c r="E93" s="164"/>
      <c r="F93" s="164"/>
      <c r="G93" s="164"/>
      <c r="H93" s="164"/>
      <c r="I93" s="164"/>
      <c r="J93" s="164"/>
      <c r="K93" s="164"/>
      <c r="L93" s="164"/>
      <c r="M93" s="164"/>
      <c r="N93" s="164"/>
      <c r="O93" s="164"/>
      <c r="P93" s="164"/>
      <c r="Q93" s="164"/>
      <c r="R93" s="164"/>
      <c r="S93" s="164"/>
      <c r="T93" s="164"/>
      <c r="U93" s="164"/>
      <c r="V93" s="164"/>
      <c r="W93" s="164"/>
      <c r="X93" s="164"/>
      <c r="Y93" s="164"/>
      <c r="Z93" s="164"/>
    </row>
    <row r="94">
      <c r="A94" s="164"/>
      <c r="B94" s="164"/>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row>
    <row r="95">
      <c r="A95" s="164"/>
      <c r="B95" s="164"/>
      <c r="C95" s="164"/>
      <c r="D95" s="164"/>
      <c r="E95" s="164"/>
      <c r="F95" s="164"/>
      <c r="G95" s="164"/>
      <c r="H95" s="164"/>
      <c r="I95" s="164"/>
      <c r="J95" s="164"/>
      <c r="K95" s="164"/>
      <c r="L95" s="164"/>
      <c r="M95" s="164"/>
      <c r="N95" s="164"/>
      <c r="O95" s="164"/>
      <c r="P95" s="164"/>
      <c r="Q95" s="164"/>
      <c r="R95" s="164"/>
      <c r="S95" s="164"/>
      <c r="T95" s="164"/>
      <c r="U95" s="164"/>
      <c r="V95" s="164"/>
      <c r="W95" s="164"/>
      <c r="X95" s="164"/>
      <c r="Y95" s="164"/>
      <c r="Z95" s="164"/>
    </row>
    <row r="96">
      <c r="A96" s="164"/>
      <c r="B96" s="164"/>
      <c r="C96" s="164"/>
      <c r="D96" s="164"/>
      <c r="E96" s="164"/>
      <c r="F96" s="164"/>
      <c r="G96" s="164"/>
      <c r="H96" s="164"/>
      <c r="I96" s="164"/>
      <c r="J96" s="164"/>
      <c r="K96" s="164"/>
      <c r="L96" s="164"/>
      <c r="M96" s="164"/>
      <c r="N96" s="164"/>
      <c r="O96" s="164"/>
      <c r="P96" s="164"/>
      <c r="Q96" s="164"/>
      <c r="R96" s="164"/>
      <c r="S96" s="164"/>
      <c r="T96" s="164"/>
      <c r="U96" s="164"/>
      <c r="V96" s="164"/>
      <c r="W96" s="164"/>
      <c r="X96" s="164"/>
      <c r="Y96" s="164"/>
      <c r="Z96" s="164"/>
    </row>
    <row r="97">
      <c r="A97" s="164"/>
      <c r="B97" s="164"/>
      <c r="C97" s="164"/>
      <c r="D97" s="164"/>
      <c r="E97" s="164"/>
      <c r="F97" s="164"/>
      <c r="G97" s="164"/>
      <c r="H97" s="164"/>
      <c r="I97" s="164"/>
      <c r="J97" s="164"/>
      <c r="K97" s="164"/>
      <c r="L97" s="164"/>
      <c r="M97" s="164"/>
      <c r="N97" s="164"/>
      <c r="O97" s="164"/>
      <c r="P97" s="164"/>
      <c r="Q97" s="164"/>
      <c r="R97" s="164"/>
      <c r="S97" s="164"/>
      <c r="T97" s="164"/>
      <c r="U97" s="164"/>
      <c r="V97" s="164"/>
      <c r="W97" s="164"/>
      <c r="X97" s="164"/>
      <c r="Y97" s="164"/>
      <c r="Z97" s="164"/>
    </row>
    <row r="98">
      <c r="A98" s="164"/>
      <c r="B98" s="164"/>
      <c r="C98" s="164"/>
      <c r="D98" s="164"/>
      <c r="E98" s="164"/>
      <c r="F98" s="164"/>
      <c r="G98" s="164"/>
      <c r="H98" s="164"/>
      <c r="I98" s="164"/>
      <c r="J98" s="164"/>
      <c r="K98" s="164"/>
      <c r="L98" s="164"/>
      <c r="M98" s="164"/>
      <c r="N98" s="164"/>
      <c r="O98" s="164"/>
      <c r="P98" s="164"/>
      <c r="Q98" s="164"/>
      <c r="R98" s="164"/>
      <c r="S98" s="164"/>
      <c r="T98" s="164"/>
      <c r="U98" s="164"/>
      <c r="V98" s="164"/>
      <c r="W98" s="164"/>
      <c r="X98" s="164"/>
      <c r="Y98" s="164"/>
      <c r="Z98" s="164"/>
    </row>
    <row r="99">
      <c r="A99" s="164"/>
      <c r="B99" s="164"/>
      <c r="C99" s="164"/>
      <c r="D99" s="164"/>
      <c r="E99" s="164"/>
      <c r="F99" s="164"/>
      <c r="G99" s="164"/>
      <c r="H99" s="164"/>
      <c r="I99" s="164"/>
      <c r="J99" s="164"/>
      <c r="K99" s="164"/>
      <c r="L99" s="164"/>
      <c r="M99" s="164"/>
      <c r="N99" s="164"/>
      <c r="O99" s="164"/>
      <c r="P99" s="164"/>
      <c r="Q99" s="164"/>
      <c r="R99" s="164"/>
      <c r="S99" s="164"/>
      <c r="T99" s="164"/>
      <c r="U99" s="164"/>
      <c r="V99" s="164"/>
      <c r="W99" s="164"/>
      <c r="X99" s="164"/>
      <c r="Y99" s="164"/>
      <c r="Z99" s="164"/>
    </row>
    <row r="100">
      <c r="A100" s="164"/>
      <c r="B100" s="164"/>
      <c r="C100" s="164"/>
      <c r="D100" s="164"/>
      <c r="E100" s="164"/>
      <c r="F100" s="164"/>
      <c r="G100" s="164"/>
      <c r="H100" s="164"/>
      <c r="I100" s="164"/>
      <c r="J100" s="164"/>
      <c r="K100" s="164"/>
      <c r="L100" s="164"/>
      <c r="M100" s="164"/>
      <c r="N100" s="164"/>
      <c r="O100" s="164"/>
      <c r="P100" s="164"/>
      <c r="Q100" s="164"/>
      <c r="R100" s="164"/>
      <c r="S100" s="164"/>
      <c r="T100" s="164"/>
      <c r="U100" s="164"/>
      <c r="V100" s="164"/>
      <c r="W100" s="164"/>
      <c r="X100" s="164"/>
      <c r="Y100" s="164"/>
      <c r="Z100" s="164"/>
    </row>
    <row r="101">
      <c r="A101" s="164"/>
      <c r="B101" s="164"/>
      <c r="C101" s="164"/>
      <c r="D101" s="164"/>
      <c r="E101" s="164"/>
      <c r="F101" s="164"/>
      <c r="G101" s="164"/>
      <c r="H101" s="164"/>
      <c r="I101" s="164"/>
      <c r="J101" s="164"/>
      <c r="K101" s="164"/>
      <c r="L101" s="164"/>
      <c r="M101" s="164"/>
      <c r="N101" s="164"/>
      <c r="O101" s="164"/>
      <c r="P101" s="164"/>
      <c r="Q101" s="164"/>
      <c r="R101" s="164"/>
      <c r="S101" s="164"/>
      <c r="T101" s="164"/>
      <c r="U101" s="164"/>
      <c r="V101" s="164"/>
      <c r="W101" s="164"/>
      <c r="X101" s="164"/>
      <c r="Y101" s="164"/>
      <c r="Z101" s="164"/>
    </row>
    <row r="102">
      <c r="A102" s="164"/>
      <c r="B102" s="164"/>
      <c r="C102" s="164"/>
      <c r="D102" s="164"/>
      <c r="E102" s="164"/>
      <c r="F102" s="164"/>
      <c r="G102" s="164"/>
      <c r="H102" s="164"/>
      <c r="I102" s="164"/>
      <c r="J102" s="164"/>
      <c r="K102" s="164"/>
      <c r="L102" s="164"/>
      <c r="M102" s="164"/>
      <c r="N102" s="164"/>
      <c r="O102" s="164"/>
      <c r="P102" s="164"/>
      <c r="Q102" s="164"/>
      <c r="R102" s="164"/>
      <c r="S102" s="164"/>
      <c r="T102" s="164"/>
      <c r="U102" s="164"/>
      <c r="V102" s="164"/>
      <c r="W102" s="164"/>
      <c r="X102" s="164"/>
      <c r="Y102" s="164"/>
      <c r="Z102" s="164"/>
    </row>
    <row r="103">
      <c r="A103" s="164"/>
      <c r="B103" s="164"/>
      <c r="C103" s="164"/>
      <c r="D103" s="164"/>
      <c r="E103" s="164"/>
      <c r="F103" s="164"/>
      <c r="G103" s="164"/>
      <c r="H103" s="164"/>
      <c r="I103" s="164"/>
      <c r="J103" s="164"/>
      <c r="K103" s="164"/>
      <c r="L103" s="164"/>
      <c r="M103" s="164"/>
      <c r="N103" s="164"/>
      <c r="O103" s="164"/>
      <c r="P103" s="164"/>
      <c r="Q103" s="164"/>
      <c r="R103" s="164"/>
      <c r="S103" s="164"/>
      <c r="T103" s="164"/>
      <c r="U103" s="164"/>
      <c r="V103" s="164"/>
      <c r="W103" s="164"/>
      <c r="X103" s="164"/>
      <c r="Y103" s="164"/>
      <c r="Z103" s="164"/>
    </row>
    <row r="104">
      <c r="A104" s="164"/>
      <c r="B104" s="164"/>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row>
    <row r="105">
      <c r="A105" s="164"/>
      <c r="B105" s="164"/>
      <c r="C105" s="164"/>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row>
    <row r="106">
      <c r="A106" s="164"/>
      <c r="B106" s="164"/>
      <c r="C106" s="164"/>
      <c r="D106" s="164"/>
      <c r="E106" s="164"/>
      <c r="F106" s="164"/>
      <c r="G106" s="164"/>
      <c r="H106" s="164"/>
      <c r="I106" s="164"/>
      <c r="J106" s="164"/>
      <c r="K106" s="164"/>
      <c r="L106" s="164"/>
      <c r="M106" s="164"/>
      <c r="N106" s="164"/>
      <c r="O106" s="164"/>
      <c r="P106" s="164"/>
      <c r="Q106" s="164"/>
      <c r="R106" s="164"/>
      <c r="S106" s="164"/>
      <c r="T106" s="164"/>
      <c r="U106" s="164"/>
      <c r="V106" s="164"/>
      <c r="W106" s="164"/>
      <c r="X106" s="164"/>
      <c r="Y106" s="164"/>
      <c r="Z106" s="164"/>
    </row>
    <row r="107">
      <c r="A107" s="164"/>
      <c r="B107" s="164"/>
      <c r="C107" s="164"/>
      <c r="D107" s="164"/>
      <c r="E107" s="164"/>
      <c r="F107" s="164"/>
      <c r="G107" s="164"/>
      <c r="H107" s="164"/>
      <c r="I107" s="164"/>
      <c r="J107" s="164"/>
      <c r="K107" s="164"/>
      <c r="L107" s="164"/>
      <c r="M107" s="164"/>
      <c r="N107" s="164"/>
      <c r="O107" s="164"/>
      <c r="P107" s="164"/>
      <c r="Q107" s="164"/>
      <c r="R107" s="164"/>
      <c r="S107" s="164"/>
      <c r="T107" s="164"/>
      <c r="U107" s="164"/>
      <c r="V107" s="164"/>
      <c r="W107" s="164"/>
      <c r="X107" s="164"/>
      <c r="Y107" s="164"/>
      <c r="Z107" s="164"/>
    </row>
    <row r="108">
      <c r="A108" s="164"/>
      <c r="B108" s="164"/>
      <c r="C108" s="164"/>
      <c r="D108" s="164"/>
      <c r="E108" s="164"/>
      <c r="F108" s="164"/>
      <c r="G108" s="164"/>
      <c r="H108" s="164"/>
      <c r="I108" s="164"/>
      <c r="J108" s="164"/>
      <c r="K108" s="164"/>
      <c r="L108" s="164"/>
      <c r="M108" s="164"/>
      <c r="N108" s="164"/>
      <c r="O108" s="164"/>
      <c r="P108" s="164"/>
      <c r="Q108" s="164"/>
      <c r="R108" s="164"/>
      <c r="S108" s="164"/>
      <c r="T108" s="164"/>
      <c r="U108" s="164"/>
      <c r="V108" s="164"/>
      <c r="W108" s="164"/>
      <c r="X108" s="164"/>
      <c r="Y108" s="164"/>
      <c r="Z108" s="164"/>
    </row>
    <row r="109">
      <c r="A109" s="164"/>
      <c r="B109" s="164"/>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row>
    <row r="110">
      <c r="A110" s="164"/>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row>
    <row r="111">
      <c r="A111" s="164"/>
      <c r="B111" s="164"/>
      <c r="C111" s="164"/>
      <c r="D111" s="164"/>
      <c r="E111" s="164"/>
      <c r="F111" s="164"/>
      <c r="G111" s="164"/>
      <c r="H111" s="164"/>
      <c r="I111" s="164"/>
      <c r="J111" s="164"/>
      <c r="K111" s="164"/>
      <c r="L111" s="164"/>
      <c r="M111" s="164"/>
      <c r="N111" s="164"/>
      <c r="O111" s="164"/>
      <c r="P111" s="164"/>
      <c r="Q111" s="164"/>
      <c r="R111" s="164"/>
      <c r="S111" s="164"/>
      <c r="T111" s="164"/>
      <c r="U111" s="164"/>
      <c r="V111" s="164"/>
      <c r="W111" s="164"/>
      <c r="X111" s="164"/>
      <c r="Y111" s="164"/>
      <c r="Z111" s="164"/>
    </row>
    <row r="112">
      <c r="A112" s="164"/>
      <c r="B112" s="164"/>
      <c r="C112" s="164"/>
      <c r="D112" s="164"/>
      <c r="E112" s="164"/>
      <c r="F112" s="164"/>
      <c r="G112" s="164"/>
      <c r="H112" s="164"/>
      <c r="I112" s="164"/>
      <c r="J112" s="164"/>
      <c r="K112" s="164"/>
      <c r="L112" s="164"/>
      <c r="M112" s="164"/>
      <c r="N112" s="164"/>
      <c r="O112" s="164"/>
      <c r="P112" s="164"/>
      <c r="Q112" s="164"/>
      <c r="R112" s="164"/>
      <c r="S112" s="164"/>
      <c r="T112" s="164"/>
      <c r="U112" s="164"/>
      <c r="V112" s="164"/>
      <c r="W112" s="164"/>
      <c r="X112" s="164"/>
      <c r="Y112" s="164"/>
      <c r="Z112" s="164"/>
    </row>
    <row r="113">
      <c r="A113" s="164"/>
      <c r="B113" s="164"/>
      <c r="C113" s="164"/>
      <c r="D113" s="164"/>
      <c r="E113" s="164"/>
      <c r="F113" s="164"/>
      <c r="G113" s="164"/>
      <c r="H113" s="164"/>
      <c r="I113" s="164"/>
      <c r="J113" s="164"/>
      <c r="K113" s="164"/>
      <c r="L113" s="164"/>
      <c r="M113" s="164"/>
      <c r="N113" s="164"/>
      <c r="O113" s="164"/>
      <c r="P113" s="164"/>
      <c r="Q113" s="164"/>
      <c r="R113" s="164"/>
      <c r="S113" s="164"/>
      <c r="T113" s="164"/>
      <c r="U113" s="164"/>
      <c r="V113" s="164"/>
      <c r="W113" s="164"/>
      <c r="X113" s="164"/>
      <c r="Y113" s="164"/>
      <c r="Z113" s="164"/>
    </row>
    <row r="114">
      <c r="A114" s="164"/>
      <c r="B114" s="164"/>
      <c r="C114" s="164"/>
      <c r="D114" s="164"/>
      <c r="E114" s="164"/>
      <c r="F114" s="164"/>
      <c r="G114" s="164"/>
      <c r="H114" s="164"/>
      <c r="I114" s="164"/>
      <c r="J114" s="164"/>
      <c r="K114" s="164"/>
      <c r="L114" s="164"/>
      <c r="M114" s="164"/>
      <c r="N114" s="164"/>
      <c r="O114" s="164"/>
      <c r="P114" s="164"/>
      <c r="Q114" s="164"/>
      <c r="R114" s="164"/>
      <c r="S114" s="164"/>
      <c r="T114" s="164"/>
      <c r="U114" s="164"/>
      <c r="V114" s="164"/>
      <c r="W114" s="164"/>
      <c r="X114" s="164"/>
      <c r="Y114" s="164"/>
      <c r="Z114" s="164"/>
    </row>
    <row r="115">
      <c r="A115" s="164"/>
      <c r="B115" s="164"/>
      <c r="C115" s="164"/>
      <c r="D115" s="164"/>
      <c r="E115" s="164"/>
      <c r="F115" s="164"/>
      <c r="G115" s="164"/>
      <c r="H115" s="164"/>
      <c r="I115" s="164"/>
      <c r="J115" s="164"/>
      <c r="K115" s="164"/>
      <c r="L115" s="164"/>
      <c r="M115" s="164"/>
      <c r="N115" s="164"/>
      <c r="O115" s="164"/>
      <c r="P115" s="164"/>
      <c r="Q115" s="164"/>
      <c r="R115" s="164"/>
      <c r="S115" s="164"/>
      <c r="T115" s="164"/>
      <c r="U115" s="164"/>
      <c r="V115" s="164"/>
      <c r="W115" s="164"/>
      <c r="X115" s="164"/>
      <c r="Y115" s="164"/>
      <c r="Z115" s="164"/>
    </row>
    <row r="116">
      <c r="A116" s="164"/>
      <c r="B116" s="164"/>
      <c r="C116" s="164"/>
      <c r="D116" s="164"/>
      <c r="E116" s="164"/>
      <c r="F116" s="164"/>
      <c r="G116" s="164"/>
      <c r="H116" s="164"/>
      <c r="I116" s="164"/>
      <c r="J116" s="164"/>
      <c r="K116" s="164"/>
      <c r="L116" s="164"/>
      <c r="M116" s="164"/>
      <c r="N116" s="164"/>
      <c r="O116" s="164"/>
      <c r="P116" s="164"/>
      <c r="Q116" s="164"/>
      <c r="R116" s="164"/>
      <c r="S116" s="164"/>
      <c r="T116" s="164"/>
      <c r="U116" s="164"/>
      <c r="V116" s="164"/>
      <c r="W116" s="164"/>
      <c r="X116" s="164"/>
      <c r="Y116" s="164"/>
      <c r="Z116" s="164"/>
    </row>
    <row r="117">
      <c r="A117" s="164"/>
      <c r="B117" s="164"/>
      <c r="C117" s="164"/>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row>
    <row r="118">
      <c r="A118" s="164"/>
      <c r="B118" s="164"/>
      <c r="C118" s="164"/>
      <c r="D118" s="164"/>
      <c r="E118" s="164"/>
      <c r="F118" s="164"/>
      <c r="G118" s="164"/>
      <c r="H118" s="164"/>
      <c r="I118" s="164"/>
      <c r="J118" s="164"/>
      <c r="K118" s="164"/>
      <c r="L118" s="164"/>
      <c r="M118" s="164"/>
      <c r="N118" s="164"/>
      <c r="O118" s="164"/>
      <c r="P118" s="164"/>
      <c r="Q118" s="164"/>
      <c r="R118" s="164"/>
      <c r="S118" s="164"/>
      <c r="T118" s="164"/>
      <c r="U118" s="164"/>
      <c r="V118" s="164"/>
      <c r="W118" s="164"/>
      <c r="X118" s="164"/>
      <c r="Y118" s="164"/>
      <c r="Z118" s="164"/>
    </row>
    <row r="119">
      <c r="A119" s="164"/>
      <c r="B119" s="164"/>
      <c r="C119" s="164"/>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row>
    <row r="120">
      <c r="A120" s="164"/>
      <c r="B120" s="164"/>
      <c r="C120" s="164"/>
      <c r="D120" s="164"/>
      <c r="E120" s="164"/>
      <c r="F120" s="164"/>
      <c r="G120" s="164"/>
      <c r="H120" s="164"/>
      <c r="I120" s="164"/>
      <c r="J120" s="164"/>
      <c r="K120" s="164"/>
      <c r="L120" s="164"/>
      <c r="M120" s="164"/>
      <c r="N120" s="164"/>
      <c r="O120" s="164"/>
      <c r="P120" s="164"/>
      <c r="Q120" s="164"/>
      <c r="R120" s="164"/>
      <c r="S120" s="164"/>
      <c r="T120" s="164"/>
      <c r="U120" s="164"/>
      <c r="V120" s="164"/>
      <c r="W120" s="164"/>
      <c r="X120" s="164"/>
      <c r="Y120" s="164"/>
      <c r="Z120" s="164"/>
    </row>
    <row r="121">
      <c r="A121" s="164"/>
      <c r="B121" s="164"/>
      <c r="C121" s="164"/>
      <c r="D121" s="164"/>
      <c r="E121" s="164"/>
      <c r="F121" s="164"/>
      <c r="G121" s="164"/>
      <c r="H121" s="164"/>
      <c r="I121" s="164"/>
      <c r="J121" s="164"/>
      <c r="K121" s="164"/>
      <c r="L121" s="164"/>
      <c r="M121" s="164"/>
      <c r="N121" s="164"/>
      <c r="O121" s="164"/>
      <c r="P121" s="164"/>
      <c r="Q121" s="164"/>
      <c r="R121" s="164"/>
      <c r="S121" s="164"/>
      <c r="T121" s="164"/>
      <c r="U121" s="164"/>
      <c r="V121" s="164"/>
      <c r="W121" s="164"/>
      <c r="X121" s="164"/>
      <c r="Y121" s="164"/>
      <c r="Z121" s="164"/>
    </row>
    <row r="122">
      <c r="A122" s="164"/>
      <c r="B122" s="164"/>
      <c r="C122" s="164"/>
      <c r="D122" s="164"/>
      <c r="E122" s="164"/>
      <c r="F122" s="164"/>
      <c r="G122" s="164"/>
      <c r="H122" s="164"/>
      <c r="I122" s="164"/>
      <c r="J122" s="164"/>
      <c r="K122" s="164"/>
      <c r="L122" s="164"/>
      <c r="M122" s="164"/>
      <c r="N122" s="164"/>
      <c r="O122" s="164"/>
      <c r="P122" s="164"/>
      <c r="Q122" s="164"/>
      <c r="R122" s="164"/>
      <c r="S122" s="164"/>
      <c r="T122" s="164"/>
      <c r="U122" s="164"/>
      <c r="V122" s="164"/>
      <c r="W122" s="164"/>
      <c r="X122" s="164"/>
      <c r="Y122" s="164"/>
      <c r="Z122" s="164"/>
    </row>
    <row r="123">
      <c r="A123" s="164"/>
      <c r="B123" s="164"/>
      <c r="C123" s="164"/>
      <c r="D123" s="164"/>
      <c r="E123" s="164"/>
      <c r="F123" s="164"/>
      <c r="G123" s="164"/>
      <c r="H123" s="164"/>
      <c r="I123" s="164"/>
      <c r="J123" s="164"/>
      <c r="K123" s="164"/>
      <c r="L123" s="164"/>
      <c r="M123" s="164"/>
      <c r="N123" s="164"/>
      <c r="O123" s="164"/>
      <c r="P123" s="164"/>
      <c r="Q123" s="164"/>
      <c r="R123" s="164"/>
      <c r="S123" s="164"/>
      <c r="T123" s="164"/>
      <c r="U123" s="164"/>
      <c r="V123" s="164"/>
      <c r="W123" s="164"/>
      <c r="X123" s="164"/>
      <c r="Y123" s="164"/>
      <c r="Z123" s="164"/>
    </row>
    <row r="124">
      <c r="A124" s="164"/>
      <c r="B124" s="164"/>
      <c r="C124" s="164"/>
      <c r="D124" s="164"/>
      <c r="E124" s="164"/>
      <c r="F124" s="164"/>
      <c r="G124" s="164"/>
      <c r="H124" s="164"/>
      <c r="I124" s="164"/>
      <c r="J124" s="164"/>
      <c r="K124" s="164"/>
      <c r="L124" s="164"/>
      <c r="M124" s="164"/>
      <c r="N124" s="164"/>
      <c r="O124" s="164"/>
      <c r="P124" s="164"/>
      <c r="Q124" s="164"/>
      <c r="R124" s="164"/>
      <c r="S124" s="164"/>
      <c r="T124" s="164"/>
      <c r="U124" s="164"/>
      <c r="V124" s="164"/>
      <c r="W124" s="164"/>
      <c r="X124" s="164"/>
      <c r="Y124" s="164"/>
      <c r="Z124" s="164"/>
    </row>
    <row r="125">
      <c r="A125" s="164"/>
      <c r="B125" s="164"/>
      <c r="C125" s="164"/>
      <c r="D125" s="164"/>
      <c r="E125" s="164"/>
      <c r="F125" s="164"/>
      <c r="G125" s="164"/>
      <c r="H125" s="164"/>
      <c r="I125" s="164"/>
      <c r="J125" s="164"/>
      <c r="K125" s="164"/>
      <c r="L125" s="164"/>
      <c r="M125" s="164"/>
      <c r="N125" s="164"/>
      <c r="O125" s="164"/>
      <c r="P125" s="164"/>
      <c r="Q125" s="164"/>
      <c r="R125" s="164"/>
      <c r="S125" s="164"/>
      <c r="T125" s="164"/>
      <c r="U125" s="164"/>
      <c r="V125" s="164"/>
      <c r="W125" s="164"/>
      <c r="X125" s="164"/>
      <c r="Y125" s="164"/>
      <c r="Z125" s="164"/>
    </row>
    <row r="126">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row>
    <row r="127">
      <c r="A127" s="164"/>
      <c r="B127" s="164"/>
      <c r="C127" s="164"/>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row>
    <row r="128">
      <c r="A128" s="164"/>
      <c r="B128" s="164"/>
      <c r="C128" s="164"/>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row>
    <row r="129">
      <c r="A129" s="164"/>
      <c r="B129" s="164"/>
      <c r="C129" s="164"/>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row>
    <row r="130">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row>
    <row r="131">
      <c r="A131" s="164"/>
      <c r="B131" s="164"/>
      <c r="C131" s="164"/>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row>
    <row r="132">
      <c r="A132" s="164"/>
      <c r="B132" s="164"/>
      <c r="C132" s="164"/>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row>
    <row r="133">
      <c r="A133" s="164"/>
      <c r="B133" s="164"/>
      <c r="C133" s="164"/>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row>
    <row r="134">
      <c r="A134" s="164"/>
      <c r="B134" s="164"/>
      <c r="C134" s="164"/>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row>
    <row r="135">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row>
    <row r="136">
      <c r="A136" s="164"/>
      <c r="B136" s="164"/>
      <c r="C136" s="164"/>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row>
    <row r="137">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row>
    <row r="138">
      <c r="A138" s="164"/>
      <c r="B138" s="164"/>
      <c r="C138" s="164"/>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row>
    <row r="139">
      <c r="A139" s="164"/>
      <c r="B139" s="164"/>
      <c r="C139" s="164"/>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row>
    <row r="140">
      <c r="A140" s="164"/>
      <c r="B140" s="164"/>
      <c r="C140" s="164"/>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row>
    <row r="141">
      <c r="A141" s="164"/>
      <c r="B141" s="164"/>
      <c r="C141" s="164"/>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row>
    <row r="142">
      <c r="A142" s="164"/>
      <c r="B142" s="164"/>
      <c r="C142" s="164"/>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row>
    <row r="143">
      <c r="A143" s="164"/>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row>
    <row r="144">
      <c r="A144" s="164"/>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row>
    <row r="145">
      <c r="A145" s="164"/>
      <c r="B145" s="164"/>
      <c r="C145" s="164"/>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row>
    <row r="146">
      <c r="A146" s="164"/>
      <c r="B146" s="164"/>
      <c r="C146" s="164"/>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row>
    <row r="147">
      <c r="A147" s="164"/>
      <c r="B147" s="164"/>
      <c r="C147" s="164"/>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row>
    <row r="148">
      <c r="A148" s="164"/>
      <c r="B148" s="164"/>
      <c r="C148" s="164"/>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row>
    <row r="149">
      <c r="A149" s="164"/>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row>
    <row r="150">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row>
    <row r="151">
      <c r="A151" s="164"/>
      <c r="B151" s="164"/>
      <c r="C151" s="164"/>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row>
    <row r="152">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row>
    <row r="153">
      <c r="A153" s="164"/>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row>
    <row r="154">
      <c r="A154" s="164"/>
      <c r="B154" s="164"/>
      <c r="C154" s="164"/>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row>
    <row r="155">
      <c r="A155" s="164"/>
      <c r="B155" s="164"/>
      <c r="C155" s="164"/>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row>
    <row r="156">
      <c r="A156" s="164"/>
      <c r="B156" s="164"/>
      <c r="C156" s="164"/>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row>
    <row r="157">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row>
    <row r="158">
      <c r="A158" s="164"/>
      <c r="B158" s="164"/>
      <c r="C158" s="164"/>
      <c r="D158" s="164"/>
      <c r="E158" s="164"/>
      <c r="F158" s="164"/>
      <c r="G158" s="164"/>
      <c r="H158" s="164"/>
      <c r="I158" s="164"/>
      <c r="J158" s="164"/>
      <c r="K158" s="164"/>
      <c r="L158" s="164"/>
      <c r="M158" s="164"/>
      <c r="N158" s="164"/>
      <c r="O158" s="164"/>
      <c r="P158" s="164"/>
      <c r="Q158" s="164"/>
      <c r="R158" s="164"/>
      <c r="S158" s="164"/>
      <c r="T158" s="164"/>
      <c r="U158" s="164"/>
      <c r="V158" s="164"/>
      <c r="W158" s="164"/>
      <c r="X158" s="164"/>
      <c r="Y158" s="164"/>
      <c r="Z158" s="164"/>
    </row>
    <row r="159">
      <c r="A159" s="164"/>
      <c r="B159" s="164"/>
      <c r="C159" s="164"/>
      <c r="D159" s="164"/>
      <c r="E159" s="164"/>
      <c r="F159" s="164"/>
      <c r="G159" s="164"/>
      <c r="H159" s="164"/>
      <c r="I159" s="164"/>
      <c r="J159" s="164"/>
      <c r="K159" s="164"/>
      <c r="L159" s="164"/>
      <c r="M159" s="164"/>
      <c r="N159" s="164"/>
      <c r="O159" s="164"/>
      <c r="P159" s="164"/>
      <c r="Q159" s="164"/>
      <c r="R159" s="164"/>
      <c r="S159" s="164"/>
      <c r="T159" s="164"/>
      <c r="U159" s="164"/>
      <c r="V159" s="164"/>
      <c r="W159" s="164"/>
      <c r="X159" s="164"/>
      <c r="Y159" s="164"/>
      <c r="Z159" s="164"/>
    </row>
    <row r="160">
      <c r="A160" s="164"/>
      <c r="B160" s="164"/>
      <c r="C160" s="164"/>
      <c r="D160" s="164"/>
      <c r="E160" s="164"/>
      <c r="F160" s="164"/>
      <c r="G160" s="164"/>
      <c r="H160" s="164"/>
      <c r="I160" s="164"/>
      <c r="J160" s="164"/>
      <c r="K160" s="164"/>
      <c r="L160" s="164"/>
      <c r="M160" s="164"/>
      <c r="N160" s="164"/>
      <c r="O160" s="164"/>
      <c r="P160" s="164"/>
      <c r="Q160" s="164"/>
      <c r="R160" s="164"/>
      <c r="S160" s="164"/>
      <c r="T160" s="164"/>
      <c r="U160" s="164"/>
      <c r="V160" s="164"/>
      <c r="W160" s="164"/>
      <c r="X160" s="164"/>
      <c r="Y160" s="164"/>
      <c r="Z160" s="164"/>
    </row>
    <row r="161">
      <c r="A161" s="164"/>
      <c r="B161" s="164"/>
      <c r="C161" s="164"/>
      <c r="D161" s="164"/>
      <c r="E161" s="164"/>
      <c r="F161" s="164"/>
      <c r="G161" s="164"/>
      <c r="H161" s="164"/>
      <c r="I161" s="164"/>
      <c r="J161" s="164"/>
      <c r="K161" s="164"/>
      <c r="L161" s="164"/>
      <c r="M161" s="164"/>
      <c r="N161" s="164"/>
      <c r="O161" s="164"/>
      <c r="P161" s="164"/>
      <c r="Q161" s="164"/>
      <c r="R161" s="164"/>
      <c r="S161" s="164"/>
      <c r="T161" s="164"/>
      <c r="U161" s="164"/>
      <c r="V161" s="164"/>
      <c r="W161" s="164"/>
      <c r="X161" s="164"/>
      <c r="Y161" s="164"/>
      <c r="Z161" s="164"/>
    </row>
    <row r="162">
      <c r="A162" s="164"/>
      <c r="B162" s="164"/>
      <c r="C162" s="164"/>
      <c r="D162" s="164"/>
      <c r="E162" s="164"/>
      <c r="F162" s="164"/>
      <c r="G162" s="164"/>
      <c r="H162" s="164"/>
      <c r="I162" s="164"/>
      <c r="J162" s="164"/>
      <c r="K162" s="164"/>
      <c r="L162" s="164"/>
      <c r="M162" s="164"/>
      <c r="N162" s="164"/>
      <c r="O162" s="164"/>
      <c r="P162" s="164"/>
      <c r="Q162" s="164"/>
      <c r="R162" s="164"/>
      <c r="S162" s="164"/>
      <c r="T162" s="164"/>
      <c r="U162" s="164"/>
      <c r="V162" s="164"/>
      <c r="W162" s="164"/>
      <c r="X162" s="164"/>
      <c r="Y162" s="164"/>
      <c r="Z162" s="164"/>
    </row>
    <row r="163">
      <c r="A163" s="164"/>
      <c r="B163" s="164"/>
      <c r="C163" s="164"/>
      <c r="D163" s="164"/>
      <c r="E163" s="164"/>
      <c r="F163" s="164"/>
      <c r="G163" s="164"/>
      <c r="H163" s="164"/>
      <c r="I163" s="164"/>
      <c r="J163" s="164"/>
      <c r="K163" s="164"/>
      <c r="L163" s="164"/>
      <c r="M163" s="164"/>
      <c r="N163" s="164"/>
      <c r="O163" s="164"/>
      <c r="P163" s="164"/>
      <c r="Q163" s="164"/>
      <c r="R163" s="164"/>
      <c r="S163" s="164"/>
      <c r="T163" s="164"/>
      <c r="U163" s="164"/>
      <c r="V163" s="164"/>
      <c r="W163" s="164"/>
      <c r="X163" s="164"/>
      <c r="Y163" s="164"/>
      <c r="Z163" s="164"/>
    </row>
    <row r="164">
      <c r="A164" s="164"/>
      <c r="B164" s="164"/>
      <c r="C164" s="164"/>
      <c r="D164" s="164"/>
      <c r="E164" s="164"/>
      <c r="F164" s="164"/>
      <c r="G164" s="164"/>
      <c r="H164" s="164"/>
      <c r="I164" s="164"/>
      <c r="J164" s="164"/>
      <c r="K164" s="164"/>
      <c r="L164" s="164"/>
      <c r="M164" s="164"/>
      <c r="N164" s="164"/>
      <c r="O164" s="164"/>
      <c r="P164" s="164"/>
      <c r="Q164" s="164"/>
      <c r="R164" s="164"/>
      <c r="S164" s="164"/>
      <c r="T164" s="164"/>
      <c r="U164" s="164"/>
      <c r="V164" s="164"/>
      <c r="W164" s="164"/>
      <c r="X164" s="164"/>
      <c r="Y164" s="164"/>
      <c r="Z164" s="164"/>
    </row>
    <row r="165">
      <c r="A165" s="164"/>
      <c r="B165" s="164"/>
      <c r="C165" s="164"/>
      <c r="D165" s="164"/>
      <c r="E165" s="164"/>
      <c r="F165" s="164"/>
      <c r="G165" s="164"/>
      <c r="H165" s="164"/>
      <c r="I165" s="164"/>
      <c r="J165" s="164"/>
      <c r="K165" s="164"/>
      <c r="L165" s="164"/>
      <c r="M165" s="164"/>
      <c r="N165" s="164"/>
      <c r="O165" s="164"/>
      <c r="P165" s="164"/>
      <c r="Q165" s="164"/>
      <c r="R165" s="164"/>
      <c r="S165" s="164"/>
      <c r="T165" s="164"/>
      <c r="U165" s="164"/>
      <c r="V165" s="164"/>
      <c r="W165" s="164"/>
      <c r="X165" s="164"/>
      <c r="Y165" s="164"/>
      <c r="Z165" s="164"/>
    </row>
    <row r="166">
      <c r="A166" s="164"/>
      <c r="B166" s="164"/>
      <c r="C166" s="164"/>
      <c r="D166" s="164"/>
      <c r="E166" s="164"/>
      <c r="F166" s="164"/>
      <c r="G166" s="164"/>
      <c r="H166" s="164"/>
      <c r="I166" s="164"/>
      <c r="J166" s="164"/>
      <c r="K166" s="164"/>
      <c r="L166" s="164"/>
      <c r="M166" s="164"/>
      <c r="N166" s="164"/>
      <c r="O166" s="164"/>
      <c r="P166" s="164"/>
      <c r="Q166" s="164"/>
      <c r="R166" s="164"/>
      <c r="S166" s="164"/>
      <c r="T166" s="164"/>
      <c r="U166" s="164"/>
      <c r="V166" s="164"/>
      <c r="W166" s="164"/>
      <c r="X166" s="164"/>
      <c r="Y166" s="164"/>
      <c r="Z166" s="164"/>
    </row>
    <row r="167">
      <c r="A167" s="164"/>
      <c r="B167" s="164"/>
      <c r="C167" s="164"/>
      <c r="D167" s="164"/>
      <c r="E167" s="164"/>
      <c r="F167" s="164"/>
      <c r="G167" s="164"/>
      <c r="H167" s="164"/>
      <c r="I167" s="164"/>
      <c r="J167" s="164"/>
      <c r="K167" s="164"/>
      <c r="L167" s="164"/>
      <c r="M167" s="164"/>
      <c r="N167" s="164"/>
      <c r="O167" s="164"/>
      <c r="P167" s="164"/>
      <c r="Q167" s="164"/>
      <c r="R167" s="164"/>
      <c r="S167" s="164"/>
      <c r="T167" s="164"/>
      <c r="U167" s="164"/>
      <c r="V167" s="164"/>
      <c r="W167" s="164"/>
      <c r="X167" s="164"/>
      <c r="Y167" s="164"/>
      <c r="Z167" s="164"/>
    </row>
    <row r="168">
      <c r="A168" s="164"/>
      <c r="B168" s="164"/>
      <c r="C168" s="164"/>
      <c r="D168" s="164"/>
      <c r="E168" s="164"/>
      <c r="F168" s="164"/>
      <c r="G168" s="164"/>
      <c r="H168" s="164"/>
      <c r="I168" s="164"/>
      <c r="J168" s="164"/>
      <c r="K168" s="164"/>
      <c r="L168" s="164"/>
      <c r="M168" s="164"/>
      <c r="N168" s="164"/>
      <c r="O168" s="164"/>
      <c r="P168" s="164"/>
      <c r="Q168" s="164"/>
      <c r="R168" s="164"/>
      <c r="S168" s="164"/>
      <c r="T168" s="164"/>
      <c r="U168" s="164"/>
      <c r="V168" s="164"/>
      <c r="W168" s="164"/>
      <c r="X168" s="164"/>
      <c r="Y168" s="164"/>
      <c r="Z168" s="164"/>
    </row>
    <row r="169">
      <c r="A169" s="164"/>
      <c r="B169" s="164"/>
      <c r="C169" s="164"/>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row>
    <row r="170">
      <c r="A170" s="164"/>
      <c r="B170" s="164"/>
      <c r="C170" s="164"/>
      <c r="D170" s="164"/>
      <c r="E170" s="164"/>
      <c r="F170" s="164"/>
      <c r="G170" s="164"/>
      <c r="H170" s="164"/>
      <c r="I170" s="164"/>
      <c r="J170" s="164"/>
      <c r="K170" s="164"/>
      <c r="L170" s="164"/>
      <c r="M170" s="164"/>
      <c r="N170" s="164"/>
      <c r="O170" s="164"/>
      <c r="P170" s="164"/>
      <c r="Q170" s="164"/>
      <c r="R170" s="164"/>
      <c r="S170" s="164"/>
      <c r="T170" s="164"/>
      <c r="U170" s="164"/>
      <c r="V170" s="164"/>
      <c r="W170" s="164"/>
      <c r="X170" s="164"/>
      <c r="Y170" s="164"/>
      <c r="Z170" s="164"/>
    </row>
    <row r="171">
      <c r="A171" s="164"/>
      <c r="B171" s="164"/>
      <c r="C171" s="164"/>
      <c r="D171" s="164"/>
      <c r="E171" s="164"/>
      <c r="F171" s="164"/>
      <c r="G171" s="164"/>
      <c r="H171" s="164"/>
      <c r="I171" s="164"/>
      <c r="J171" s="164"/>
      <c r="K171" s="164"/>
      <c r="L171" s="164"/>
      <c r="M171" s="164"/>
      <c r="N171" s="164"/>
      <c r="O171" s="164"/>
      <c r="P171" s="164"/>
      <c r="Q171" s="164"/>
      <c r="R171" s="164"/>
      <c r="S171" s="164"/>
      <c r="T171" s="164"/>
      <c r="U171" s="164"/>
      <c r="V171" s="164"/>
      <c r="W171" s="164"/>
      <c r="X171" s="164"/>
      <c r="Y171" s="164"/>
      <c r="Z171" s="164"/>
    </row>
    <row r="172">
      <c r="A172" s="164"/>
      <c r="B172" s="164"/>
      <c r="C172" s="164"/>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row>
    <row r="173">
      <c r="A173" s="164"/>
      <c r="B173" s="164"/>
      <c r="C173" s="164"/>
      <c r="D173" s="164"/>
      <c r="E173" s="164"/>
      <c r="F173" s="164"/>
      <c r="G173" s="164"/>
      <c r="H173" s="164"/>
      <c r="I173" s="164"/>
      <c r="J173" s="164"/>
      <c r="K173" s="164"/>
      <c r="L173" s="164"/>
      <c r="M173" s="164"/>
      <c r="N173" s="164"/>
      <c r="O173" s="164"/>
      <c r="P173" s="164"/>
      <c r="Q173" s="164"/>
      <c r="R173" s="164"/>
      <c r="S173" s="164"/>
      <c r="T173" s="164"/>
      <c r="U173" s="164"/>
      <c r="V173" s="164"/>
      <c r="W173" s="164"/>
      <c r="X173" s="164"/>
      <c r="Y173" s="164"/>
      <c r="Z173" s="164"/>
    </row>
    <row r="174">
      <c r="A174" s="164"/>
      <c r="B174" s="164"/>
      <c r="C174" s="164"/>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c r="Z174" s="164"/>
    </row>
    <row r="175">
      <c r="A175" s="164"/>
      <c r="B175" s="164"/>
      <c r="C175" s="164"/>
      <c r="D175" s="164"/>
      <c r="E175" s="164"/>
      <c r="F175" s="164"/>
      <c r="G175" s="164"/>
      <c r="H175" s="164"/>
      <c r="I175" s="164"/>
      <c r="J175" s="164"/>
      <c r="K175" s="164"/>
      <c r="L175" s="164"/>
      <c r="M175" s="164"/>
      <c r="N175" s="164"/>
      <c r="O175" s="164"/>
      <c r="P175" s="164"/>
      <c r="Q175" s="164"/>
      <c r="R175" s="164"/>
      <c r="S175" s="164"/>
      <c r="T175" s="164"/>
      <c r="U175" s="164"/>
      <c r="V175" s="164"/>
      <c r="W175" s="164"/>
      <c r="X175" s="164"/>
      <c r="Y175" s="164"/>
      <c r="Z175" s="164"/>
    </row>
    <row r="176">
      <c r="A176" s="164"/>
      <c r="B176" s="164"/>
      <c r="C176" s="164"/>
      <c r="D176" s="164"/>
      <c r="E176" s="164"/>
      <c r="F176" s="164"/>
      <c r="G176" s="164"/>
      <c r="H176" s="164"/>
      <c r="I176" s="164"/>
      <c r="J176" s="164"/>
      <c r="K176" s="164"/>
      <c r="L176" s="164"/>
      <c r="M176" s="164"/>
      <c r="N176" s="164"/>
      <c r="O176" s="164"/>
      <c r="P176" s="164"/>
      <c r="Q176" s="164"/>
      <c r="R176" s="164"/>
      <c r="S176" s="164"/>
      <c r="T176" s="164"/>
      <c r="U176" s="164"/>
      <c r="V176" s="164"/>
      <c r="W176" s="164"/>
      <c r="X176" s="164"/>
      <c r="Y176" s="164"/>
      <c r="Z176" s="164"/>
    </row>
    <row r="177">
      <c r="A177" s="164"/>
      <c r="B177" s="164"/>
      <c r="C177" s="164"/>
      <c r="D177" s="164"/>
      <c r="E177" s="164"/>
      <c r="F177" s="164"/>
      <c r="G177" s="164"/>
      <c r="H177" s="164"/>
      <c r="I177" s="164"/>
      <c r="J177" s="164"/>
      <c r="K177" s="164"/>
      <c r="L177" s="164"/>
      <c r="M177" s="164"/>
      <c r="N177" s="164"/>
      <c r="O177" s="164"/>
      <c r="P177" s="164"/>
      <c r="Q177" s="164"/>
      <c r="R177" s="164"/>
      <c r="S177" s="164"/>
      <c r="T177" s="164"/>
      <c r="U177" s="164"/>
      <c r="V177" s="164"/>
      <c r="W177" s="164"/>
      <c r="X177" s="164"/>
      <c r="Y177" s="164"/>
      <c r="Z177" s="164"/>
    </row>
    <row r="178">
      <c r="A178" s="164"/>
      <c r="B178" s="164"/>
      <c r="C178" s="164"/>
      <c r="D178" s="164"/>
      <c r="E178" s="164"/>
      <c r="F178" s="164"/>
      <c r="G178" s="164"/>
      <c r="H178" s="164"/>
      <c r="I178" s="164"/>
      <c r="J178" s="164"/>
      <c r="K178" s="164"/>
      <c r="L178" s="164"/>
      <c r="M178" s="164"/>
      <c r="N178" s="164"/>
      <c r="O178" s="164"/>
      <c r="P178" s="164"/>
      <c r="Q178" s="164"/>
      <c r="R178" s="164"/>
      <c r="S178" s="164"/>
      <c r="T178" s="164"/>
      <c r="U178" s="164"/>
      <c r="V178" s="164"/>
      <c r="W178" s="164"/>
      <c r="X178" s="164"/>
      <c r="Y178" s="164"/>
      <c r="Z178" s="164"/>
    </row>
    <row r="179">
      <c r="A179" s="164"/>
      <c r="B179" s="164"/>
      <c r="C179" s="164"/>
      <c r="D179" s="164"/>
      <c r="E179" s="164"/>
      <c r="F179" s="164"/>
      <c r="G179" s="164"/>
      <c r="H179" s="164"/>
      <c r="I179" s="164"/>
      <c r="J179" s="164"/>
      <c r="K179" s="164"/>
      <c r="L179" s="164"/>
      <c r="M179" s="164"/>
      <c r="N179" s="164"/>
      <c r="O179" s="164"/>
      <c r="P179" s="164"/>
      <c r="Q179" s="164"/>
      <c r="R179" s="164"/>
      <c r="S179" s="164"/>
      <c r="T179" s="164"/>
      <c r="U179" s="164"/>
      <c r="V179" s="164"/>
      <c r="W179" s="164"/>
      <c r="X179" s="164"/>
      <c r="Y179" s="164"/>
      <c r="Z179" s="164"/>
    </row>
    <row r="180">
      <c r="A180" s="164"/>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64"/>
      <c r="X180" s="164"/>
      <c r="Y180" s="164"/>
      <c r="Z180" s="164"/>
    </row>
    <row r="181">
      <c r="A181" s="164"/>
      <c r="B181" s="164"/>
      <c r="C181" s="164"/>
      <c r="D181" s="164"/>
      <c r="E181" s="164"/>
      <c r="F181" s="164"/>
      <c r="G181" s="164"/>
      <c r="H181" s="164"/>
      <c r="I181" s="164"/>
      <c r="J181" s="164"/>
      <c r="K181" s="164"/>
      <c r="L181" s="164"/>
      <c r="M181" s="164"/>
      <c r="N181" s="164"/>
      <c r="O181" s="164"/>
      <c r="P181" s="164"/>
      <c r="Q181" s="164"/>
      <c r="R181" s="164"/>
      <c r="S181" s="164"/>
      <c r="T181" s="164"/>
      <c r="U181" s="164"/>
      <c r="V181" s="164"/>
      <c r="W181" s="164"/>
      <c r="X181" s="164"/>
      <c r="Y181" s="164"/>
      <c r="Z181" s="164"/>
    </row>
    <row r="182">
      <c r="A182" s="164"/>
      <c r="B182" s="164"/>
      <c r="C182" s="164"/>
      <c r="D182" s="164"/>
      <c r="E182" s="164"/>
      <c r="F182" s="164"/>
      <c r="G182" s="164"/>
      <c r="H182" s="164"/>
      <c r="I182" s="164"/>
      <c r="J182" s="164"/>
      <c r="K182" s="164"/>
      <c r="L182" s="164"/>
      <c r="M182" s="164"/>
      <c r="N182" s="164"/>
      <c r="O182" s="164"/>
      <c r="P182" s="164"/>
      <c r="Q182" s="164"/>
      <c r="R182" s="164"/>
      <c r="S182" s="164"/>
      <c r="T182" s="164"/>
      <c r="U182" s="164"/>
      <c r="V182" s="164"/>
      <c r="W182" s="164"/>
      <c r="X182" s="164"/>
      <c r="Y182" s="164"/>
      <c r="Z182" s="164"/>
    </row>
    <row r="183">
      <c r="A183" s="164"/>
      <c r="B183" s="164"/>
      <c r="C183" s="164"/>
      <c r="D183" s="164"/>
      <c r="E183" s="164"/>
      <c r="F183" s="164"/>
      <c r="G183" s="164"/>
      <c r="H183" s="164"/>
      <c r="I183" s="164"/>
      <c r="J183" s="164"/>
      <c r="K183" s="164"/>
      <c r="L183" s="164"/>
      <c r="M183" s="164"/>
      <c r="N183" s="164"/>
      <c r="O183" s="164"/>
      <c r="P183" s="164"/>
      <c r="Q183" s="164"/>
      <c r="R183" s="164"/>
      <c r="S183" s="164"/>
      <c r="T183" s="164"/>
      <c r="U183" s="164"/>
      <c r="V183" s="164"/>
      <c r="W183" s="164"/>
      <c r="X183" s="164"/>
      <c r="Y183" s="164"/>
      <c r="Z183" s="164"/>
    </row>
    <row r="184">
      <c r="A184" s="164"/>
      <c r="B184" s="164"/>
      <c r="C184" s="164"/>
      <c r="D184" s="164"/>
      <c r="E184" s="164"/>
      <c r="F184" s="164"/>
      <c r="G184" s="164"/>
      <c r="H184" s="164"/>
      <c r="I184" s="164"/>
      <c r="J184" s="164"/>
      <c r="K184" s="164"/>
      <c r="L184" s="164"/>
      <c r="M184" s="164"/>
      <c r="N184" s="164"/>
      <c r="O184" s="164"/>
      <c r="P184" s="164"/>
      <c r="Q184" s="164"/>
      <c r="R184" s="164"/>
      <c r="S184" s="164"/>
      <c r="T184" s="164"/>
      <c r="U184" s="164"/>
      <c r="V184" s="164"/>
      <c r="W184" s="164"/>
      <c r="X184" s="164"/>
      <c r="Y184" s="164"/>
      <c r="Z184" s="164"/>
    </row>
    <row r="185">
      <c r="A185" s="164"/>
      <c r="B185" s="164"/>
      <c r="C185" s="164"/>
      <c r="D185" s="164"/>
      <c r="E185" s="164"/>
      <c r="F185" s="164"/>
      <c r="G185" s="164"/>
      <c r="H185" s="164"/>
      <c r="I185" s="164"/>
      <c r="J185" s="164"/>
      <c r="K185" s="164"/>
      <c r="L185" s="164"/>
      <c r="M185" s="164"/>
      <c r="N185" s="164"/>
      <c r="O185" s="164"/>
      <c r="P185" s="164"/>
      <c r="Q185" s="164"/>
      <c r="R185" s="164"/>
      <c r="S185" s="164"/>
      <c r="T185" s="164"/>
      <c r="U185" s="164"/>
      <c r="V185" s="164"/>
      <c r="W185" s="164"/>
      <c r="X185" s="164"/>
      <c r="Y185" s="164"/>
      <c r="Z185" s="164"/>
    </row>
    <row r="186">
      <c r="A186" s="164"/>
      <c r="B186" s="164"/>
      <c r="C186" s="164"/>
      <c r="D186" s="164"/>
      <c r="E186" s="164"/>
      <c r="F186" s="164"/>
      <c r="G186" s="164"/>
      <c r="H186" s="164"/>
      <c r="I186" s="164"/>
      <c r="J186" s="164"/>
      <c r="K186" s="164"/>
      <c r="L186" s="164"/>
      <c r="M186" s="164"/>
      <c r="N186" s="164"/>
      <c r="O186" s="164"/>
      <c r="P186" s="164"/>
      <c r="Q186" s="164"/>
      <c r="R186" s="164"/>
      <c r="S186" s="164"/>
      <c r="T186" s="164"/>
      <c r="U186" s="164"/>
      <c r="V186" s="164"/>
      <c r="W186" s="164"/>
      <c r="X186" s="164"/>
      <c r="Y186" s="164"/>
      <c r="Z186" s="164"/>
    </row>
    <row r="187">
      <c r="A187" s="164"/>
      <c r="B187" s="164"/>
      <c r="C187" s="164"/>
      <c r="D187" s="164"/>
      <c r="E187" s="164"/>
      <c r="F187" s="164"/>
      <c r="G187" s="164"/>
      <c r="H187" s="164"/>
      <c r="I187" s="164"/>
      <c r="J187" s="164"/>
      <c r="K187" s="164"/>
      <c r="L187" s="164"/>
      <c r="M187" s="164"/>
      <c r="N187" s="164"/>
      <c r="O187" s="164"/>
      <c r="P187" s="164"/>
      <c r="Q187" s="164"/>
      <c r="R187" s="164"/>
      <c r="S187" s="164"/>
      <c r="T187" s="164"/>
      <c r="U187" s="164"/>
      <c r="V187" s="164"/>
      <c r="W187" s="164"/>
      <c r="X187" s="164"/>
      <c r="Y187" s="164"/>
      <c r="Z187" s="164"/>
    </row>
    <row r="188">
      <c r="A188" s="164"/>
      <c r="B188" s="164"/>
      <c r="C188" s="164"/>
      <c r="D188" s="164"/>
      <c r="E188" s="164"/>
      <c r="F188" s="164"/>
      <c r="G188" s="164"/>
      <c r="H188" s="164"/>
      <c r="I188" s="164"/>
      <c r="J188" s="164"/>
      <c r="K188" s="164"/>
      <c r="L188" s="164"/>
      <c r="M188" s="164"/>
      <c r="N188" s="164"/>
      <c r="O188" s="164"/>
      <c r="P188" s="164"/>
      <c r="Q188" s="164"/>
      <c r="R188" s="164"/>
      <c r="S188" s="164"/>
      <c r="T188" s="164"/>
      <c r="U188" s="164"/>
      <c r="V188" s="164"/>
      <c r="W188" s="164"/>
      <c r="X188" s="164"/>
      <c r="Y188" s="164"/>
      <c r="Z188" s="164"/>
    </row>
    <row r="189">
      <c r="A189" s="164"/>
      <c r="B189" s="164"/>
      <c r="C189" s="164"/>
      <c r="D189" s="164"/>
      <c r="E189" s="164"/>
      <c r="F189" s="164"/>
      <c r="G189" s="164"/>
      <c r="H189" s="164"/>
      <c r="I189" s="164"/>
      <c r="J189" s="164"/>
      <c r="K189" s="164"/>
      <c r="L189" s="164"/>
      <c r="M189" s="164"/>
      <c r="N189" s="164"/>
      <c r="O189" s="164"/>
      <c r="P189" s="164"/>
      <c r="Q189" s="164"/>
      <c r="R189" s="164"/>
      <c r="S189" s="164"/>
      <c r="T189" s="164"/>
      <c r="U189" s="164"/>
      <c r="V189" s="164"/>
      <c r="W189" s="164"/>
      <c r="X189" s="164"/>
      <c r="Y189" s="164"/>
      <c r="Z189" s="164"/>
    </row>
    <row r="190">
      <c r="A190" s="164"/>
      <c r="B190" s="164"/>
      <c r="C190" s="164"/>
      <c r="D190" s="164"/>
      <c r="E190" s="164"/>
      <c r="F190" s="164"/>
      <c r="G190" s="164"/>
      <c r="H190" s="164"/>
      <c r="I190" s="164"/>
      <c r="J190" s="164"/>
      <c r="K190" s="164"/>
      <c r="L190" s="164"/>
      <c r="M190" s="164"/>
      <c r="N190" s="164"/>
      <c r="O190" s="164"/>
      <c r="P190" s="164"/>
      <c r="Q190" s="164"/>
      <c r="R190" s="164"/>
      <c r="S190" s="164"/>
      <c r="T190" s="164"/>
      <c r="U190" s="164"/>
      <c r="V190" s="164"/>
      <c r="W190" s="164"/>
      <c r="X190" s="164"/>
      <c r="Y190" s="164"/>
      <c r="Z190" s="164"/>
    </row>
    <row r="191">
      <c r="A191" s="164"/>
      <c r="B191" s="164"/>
      <c r="C191" s="164"/>
      <c r="D191" s="164"/>
      <c r="E191" s="164"/>
      <c r="F191" s="164"/>
      <c r="G191" s="164"/>
      <c r="H191" s="164"/>
      <c r="I191" s="164"/>
      <c r="J191" s="164"/>
      <c r="K191" s="164"/>
      <c r="L191" s="164"/>
      <c r="M191" s="164"/>
      <c r="N191" s="164"/>
      <c r="O191" s="164"/>
      <c r="P191" s="164"/>
      <c r="Q191" s="164"/>
      <c r="R191" s="164"/>
      <c r="S191" s="164"/>
      <c r="T191" s="164"/>
      <c r="U191" s="164"/>
      <c r="V191" s="164"/>
      <c r="W191" s="164"/>
      <c r="X191" s="164"/>
      <c r="Y191" s="164"/>
      <c r="Z191" s="164"/>
    </row>
    <row r="192">
      <c r="A192" s="164"/>
      <c r="B192" s="164"/>
      <c r="C192" s="164"/>
      <c r="D192" s="164"/>
      <c r="E192" s="164"/>
      <c r="F192" s="164"/>
      <c r="G192" s="164"/>
      <c r="H192" s="164"/>
      <c r="I192" s="164"/>
      <c r="J192" s="164"/>
      <c r="K192" s="164"/>
      <c r="L192" s="164"/>
      <c r="M192" s="164"/>
      <c r="N192" s="164"/>
      <c r="O192" s="164"/>
      <c r="P192" s="164"/>
      <c r="Q192" s="164"/>
      <c r="R192" s="164"/>
      <c r="S192" s="164"/>
      <c r="T192" s="164"/>
      <c r="U192" s="164"/>
      <c r="V192" s="164"/>
      <c r="W192" s="164"/>
      <c r="X192" s="164"/>
      <c r="Y192" s="164"/>
      <c r="Z192" s="164"/>
    </row>
    <row r="193">
      <c r="A193" s="164"/>
      <c r="B193" s="164"/>
      <c r="C193" s="164"/>
      <c r="D193" s="164"/>
      <c r="E193" s="164"/>
      <c r="F193" s="164"/>
      <c r="G193" s="164"/>
      <c r="H193" s="164"/>
      <c r="I193" s="164"/>
      <c r="J193" s="164"/>
      <c r="K193" s="164"/>
      <c r="L193" s="164"/>
      <c r="M193" s="164"/>
      <c r="N193" s="164"/>
      <c r="O193" s="164"/>
      <c r="P193" s="164"/>
      <c r="Q193" s="164"/>
      <c r="R193" s="164"/>
      <c r="S193" s="164"/>
      <c r="T193" s="164"/>
      <c r="U193" s="164"/>
      <c r="V193" s="164"/>
      <c r="W193" s="164"/>
      <c r="X193" s="164"/>
      <c r="Y193" s="164"/>
      <c r="Z193" s="164"/>
    </row>
    <row r="194">
      <c r="A194" s="164"/>
      <c r="B194" s="164"/>
      <c r="C194" s="164"/>
      <c r="D194" s="164"/>
      <c r="E194" s="164"/>
      <c r="F194" s="164"/>
      <c r="G194" s="164"/>
      <c r="H194" s="164"/>
      <c r="I194" s="164"/>
      <c r="J194" s="164"/>
      <c r="K194" s="164"/>
      <c r="L194" s="164"/>
      <c r="M194" s="164"/>
      <c r="N194" s="164"/>
      <c r="O194" s="164"/>
      <c r="P194" s="164"/>
      <c r="Q194" s="164"/>
      <c r="R194" s="164"/>
      <c r="S194" s="164"/>
      <c r="T194" s="164"/>
      <c r="U194" s="164"/>
      <c r="V194" s="164"/>
      <c r="W194" s="164"/>
      <c r="X194" s="164"/>
      <c r="Y194" s="164"/>
      <c r="Z194" s="164"/>
    </row>
    <row r="195">
      <c r="A195" s="164"/>
      <c r="B195" s="164"/>
      <c r="C195" s="164"/>
      <c r="D195" s="164"/>
      <c r="E195" s="164"/>
      <c r="F195" s="164"/>
      <c r="G195" s="164"/>
      <c r="H195" s="164"/>
      <c r="I195" s="164"/>
      <c r="J195" s="164"/>
      <c r="K195" s="164"/>
      <c r="L195" s="164"/>
      <c r="M195" s="164"/>
      <c r="N195" s="164"/>
      <c r="O195" s="164"/>
      <c r="P195" s="164"/>
      <c r="Q195" s="164"/>
      <c r="R195" s="164"/>
      <c r="S195" s="164"/>
      <c r="T195" s="164"/>
      <c r="U195" s="164"/>
      <c r="V195" s="164"/>
      <c r="W195" s="164"/>
      <c r="X195" s="164"/>
      <c r="Y195" s="164"/>
      <c r="Z195" s="164"/>
    </row>
    <row r="196">
      <c r="A196" s="164"/>
      <c r="B196" s="164"/>
      <c r="C196" s="164"/>
      <c r="D196" s="164"/>
      <c r="E196" s="164"/>
      <c r="F196" s="164"/>
      <c r="G196" s="164"/>
      <c r="H196" s="164"/>
      <c r="I196" s="164"/>
      <c r="J196" s="164"/>
      <c r="K196" s="164"/>
      <c r="L196" s="164"/>
      <c r="M196" s="164"/>
      <c r="N196" s="164"/>
      <c r="O196" s="164"/>
      <c r="P196" s="164"/>
      <c r="Q196" s="164"/>
      <c r="R196" s="164"/>
      <c r="S196" s="164"/>
      <c r="T196" s="164"/>
      <c r="U196" s="164"/>
      <c r="V196" s="164"/>
      <c r="W196" s="164"/>
      <c r="X196" s="164"/>
      <c r="Y196" s="164"/>
      <c r="Z196" s="164"/>
    </row>
    <row r="197">
      <c r="A197" s="164"/>
      <c r="B197" s="164"/>
      <c r="C197" s="164"/>
      <c r="D197" s="164"/>
      <c r="E197" s="164"/>
      <c r="F197" s="164"/>
      <c r="G197" s="164"/>
      <c r="H197" s="164"/>
      <c r="I197" s="164"/>
      <c r="J197" s="164"/>
      <c r="K197" s="164"/>
      <c r="L197" s="164"/>
      <c r="M197" s="164"/>
      <c r="N197" s="164"/>
      <c r="O197" s="164"/>
      <c r="P197" s="164"/>
      <c r="Q197" s="164"/>
      <c r="R197" s="164"/>
      <c r="S197" s="164"/>
      <c r="T197" s="164"/>
      <c r="U197" s="164"/>
      <c r="V197" s="164"/>
      <c r="W197" s="164"/>
      <c r="X197" s="164"/>
      <c r="Y197" s="164"/>
      <c r="Z197" s="164"/>
    </row>
    <row r="198">
      <c r="A198" s="164"/>
      <c r="B198" s="164"/>
      <c r="C198" s="164"/>
      <c r="D198" s="164"/>
      <c r="E198" s="164"/>
      <c r="F198" s="164"/>
      <c r="G198" s="164"/>
      <c r="H198" s="164"/>
      <c r="I198" s="164"/>
      <c r="J198" s="164"/>
      <c r="K198" s="164"/>
      <c r="L198" s="164"/>
      <c r="M198" s="164"/>
      <c r="N198" s="164"/>
      <c r="O198" s="164"/>
      <c r="P198" s="164"/>
      <c r="Q198" s="164"/>
      <c r="R198" s="164"/>
      <c r="S198" s="164"/>
      <c r="T198" s="164"/>
      <c r="U198" s="164"/>
      <c r="V198" s="164"/>
      <c r="W198" s="164"/>
      <c r="X198" s="164"/>
      <c r="Y198" s="164"/>
      <c r="Z198" s="164"/>
    </row>
    <row r="199">
      <c r="A199" s="164"/>
      <c r="B199" s="164"/>
      <c r="C199" s="164"/>
      <c r="D199" s="164"/>
      <c r="E199" s="164"/>
      <c r="F199" s="164"/>
      <c r="G199" s="164"/>
      <c r="H199" s="164"/>
      <c r="I199" s="164"/>
      <c r="J199" s="164"/>
      <c r="K199" s="164"/>
      <c r="L199" s="164"/>
      <c r="M199" s="164"/>
      <c r="N199" s="164"/>
      <c r="O199" s="164"/>
      <c r="P199" s="164"/>
      <c r="Q199" s="164"/>
      <c r="R199" s="164"/>
      <c r="S199" s="164"/>
      <c r="T199" s="164"/>
      <c r="U199" s="164"/>
      <c r="V199" s="164"/>
      <c r="W199" s="164"/>
      <c r="X199" s="164"/>
      <c r="Y199" s="164"/>
      <c r="Z199" s="164"/>
    </row>
    <row r="200">
      <c r="A200" s="164"/>
      <c r="B200" s="164"/>
      <c r="C200" s="164"/>
      <c r="D200" s="164"/>
      <c r="E200" s="164"/>
      <c r="F200" s="164"/>
      <c r="G200" s="164"/>
      <c r="H200" s="164"/>
      <c r="I200" s="164"/>
      <c r="J200" s="164"/>
      <c r="K200" s="164"/>
      <c r="L200" s="164"/>
      <c r="M200" s="164"/>
      <c r="N200" s="164"/>
      <c r="O200" s="164"/>
      <c r="P200" s="164"/>
      <c r="Q200" s="164"/>
      <c r="R200" s="164"/>
      <c r="S200" s="164"/>
      <c r="T200" s="164"/>
      <c r="U200" s="164"/>
      <c r="V200" s="164"/>
      <c r="W200" s="164"/>
      <c r="X200" s="164"/>
      <c r="Y200" s="164"/>
      <c r="Z200" s="164"/>
    </row>
    <row r="201">
      <c r="A201" s="164"/>
      <c r="B201" s="164"/>
      <c r="C201" s="164"/>
      <c r="D201" s="164"/>
      <c r="E201" s="164"/>
      <c r="F201" s="164"/>
      <c r="G201" s="164"/>
      <c r="H201" s="164"/>
      <c r="I201" s="164"/>
      <c r="J201" s="164"/>
      <c r="K201" s="164"/>
      <c r="L201" s="164"/>
      <c r="M201" s="164"/>
      <c r="N201" s="164"/>
      <c r="O201" s="164"/>
      <c r="P201" s="164"/>
      <c r="Q201" s="164"/>
      <c r="R201" s="164"/>
      <c r="S201" s="164"/>
      <c r="T201" s="164"/>
      <c r="U201" s="164"/>
      <c r="V201" s="164"/>
      <c r="W201" s="164"/>
      <c r="X201" s="164"/>
      <c r="Y201" s="164"/>
      <c r="Z201" s="164"/>
    </row>
    <row r="202">
      <c r="A202" s="164"/>
      <c r="B202" s="164"/>
      <c r="C202" s="164"/>
      <c r="D202" s="164"/>
      <c r="E202" s="164"/>
      <c r="F202" s="164"/>
      <c r="G202" s="164"/>
      <c r="H202" s="164"/>
      <c r="I202" s="164"/>
      <c r="J202" s="164"/>
      <c r="K202" s="164"/>
      <c r="L202" s="164"/>
      <c r="M202" s="164"/>
      <c r="N202" s="164"/>
      <c r="O202" s="164"/>
      <c r="P202" s="164"/>
      <c r="Q202" s="164"/>
      <c r="R202" s="164"/>
      <c r="S202" s="164"/>
      <c r="T202" s="164"/>
      <c r="U202" s="164"/>
      <c r="V202" s="164"/>
      <c r="W202" s="164"/>
      <c r="X202" s="164"/>
      <c r="Y202" s="164"/>
      <c r="Z202" s="164"/>
    </row>
    <row r="203">
      <c r="A203" s="164"/>
      <c r="B203" s="164"/>
      <c r="C203" s="164"/>
      <c r="D203" s="164"/>
      <c r="E203" s="164"/>
      <c r="F203" s="164"/>
      <c r="G203" s="164"/>
      <c r="H203" s="164"/>
      <c r="I203" s="164"/>
      <c r="J203" s="164"/>
      <c r="K203" s="164"/>
      <c r="L203" s="164"/>
      <c r="M203" s="164"/>
      <c r="N203" s="164"/>
      <c r="O203" s="164"/>
      <c r="P203" s="164"/>
      <c r="Q203" s="164"/>
      <c r="R203" s="164"/>
      <c r="S203" s="164"/>
      <c r="T203" s="164"/>
      <c r="U203" s="164"/>
      <c r="V203" s="164"/>
      <c r="W203" s="164"/>
      <c r="X203" s="164"/>
      <c r="Y203" s="164"/>
      <c r="Z203" s="164"/>
    </row>
    <row r="204">
      <c r="A204" s="164"/>
      <c r="B204" s="164"/>
      <c r="C204" s="164"/>
      <c r="D204" s="164"/>
      <c r="E204" s="164"/>
      <c r="F204" s="164"/>
      <c r="G204" s="164"/>
      <c r="H204" s="164"/>
      <c r="I204" s="164"/>
      <c r="J204" s="164"/>
      <c r="K204" s="164"/>
      <c r="L204" s="164"/>
      <c r="M204" s="164"/>
      <c r="N204" s="164"/>
      <c r="O204" s="164"/>
      <c r="P204" s="164"/>
      <c r="Q204" s="164"/>
      <c r="R204" s="164"/>
      <c r="S204" s="164"/>
      <c r="T204" s="164"/>
      <c r="U204" s="164"/>
      <c r="V204" s="164"/>
      <c r="W204" s="164"/>
      <c r="X204" s="164"/>
      <c r="Y204" s="164"/>
      <c r="Z204" s="164"/>
    </row>
    <row r="205">
      <c r="A205" s="164"/>
      <c r="B205" s="164"/>
      <c r="C205" s="164"/>
      <c r="D205" s="164"/>
      <c r="E205" s="164"/>
      <c r="F205" s="164"/>
      <c r="G205" s="164"/>
      <c r="H205" s="164"/>
      <c r="I205" s="164"/>
      <c r="J205" s="164"/>
      <c r="K205" s="164"/>
      <c r="L205" s="164"/>
      <c r="M205" s="164"/>
      <c r="N205" s="164"/>
      <c r="O205" s="164"/>
      <c r="P205" s="164"/>
      <c r="Q205" s="164"/>
      <c r="R205" s="164"/>
      <c r="S205" s="164"/>
      <c r="T205" s="164"/>
      <c r="U205" s="164"/>
      <c r="V205" s="164"/>
      <c r="W205" s="164"/>
      <c r="X205" s="164"/>
      <c r="Y205" s="164"/>
      <c r="Z205" s="164"/>
    </row>
    <row r="206">
      <c r="A206" s="164"/>
      <c r="B206" s="164"/>
      <c r="C206" s="164"/>
      <c r="D206" s="164"/>
      <c r="E206" s="164"/>
      <c r="F206" s="164"/>
      <c r="G206" s="164"/>
      <c r="H206" s="164"/>
      <c r="I206" s="164"/>
      <c r="J206" s="164"/>
      <c r="K206" s="164"/>
      <c r="L206" s="164"/>
      <c r="M206" s="164"/>
      <c r="N206" s="164"/>
      <c r="O206" s="164"/>
      <c r="P206" s="164"/>
      <c r="Q206" s="164"/>
      <c r="R206" s="164"/>
      <c r="S206" s="164"/>
      <c r="T206" s="164"/>
      <c r="U206" s="164"/>
      <c r="V206" s="164"/>
      <c r="W206" s="164"/>
      <c r="X206" s="164"/>
      <c r="Y206" s="164"/>
      <c r="Z206" s="164"/>
    </row>
    <row r="207">
      <c r="A207" s="164"/>
      <c r="B207" s="164"/>
      <c r="C207" s="164"/>
      <c r="D207" s="164"/>
      <c r="E207" s="164"/>
      <c r="F207" s="164"/>
      <c r="G207" s="164"/>
      <c r="H207" s="164"/>
      <c r="I207" s="164"/>
      <c r="J207" s="164"/>
      <c r="K207" s="164"/>
      <c r="L207" s="164"/>
      <c r="M207" s="164"/>
      <c r="N207" s="164"/>
      <c r="O207" s="164"/>
      <c r="P207" s="164"/>
      <c r="Q207" s="164"/>
      <c r="R207" s="164"/>
      <c r="S207" s="164"/>
      <c r="T207" s="164"/>
      <c r="U207" s="164"/>
      <c r="V207" s="164"/>
      <c r="W207" s="164"/>
      <c r="X207" s="164"/>
      <c r="Y207" s="164"/>
      <c r="Z207" s="164"/>
    </row>
    <row r="208">
      <c r="A208" s="164"/>
      <c r="B208" s="164"/>
      <c r="C208" s="164"/>
      <c r="D208" s="164"/>
      <c r="E208" s="164"/>
      <c r="F208" s="164"/>
      <c r="G208" s="164"/>
      <c r="H208" s="164"/>
      <c r="I208" s="164"/>
      <c r="J208" s="164"/>
      <c r="K208" s="164"/>
      <c r="L208" s="164"/>
      <c r="M208" s="164"/>
      <c r="N208" s="164"/>
      <c r="O208" s="164"/>
      <c r="P208" s="164"/>
      <c r="Q208" s="164"/>
      <c r="R208" s="164"/>
      <c r="S208" s="164"/>
      <c r="T208" s="164"/>
      <c r="U208" s="164"/>
      <c r="V208" s="164"/>
      <c r="W208" s="164"/>
      <c r="X208" s="164"/>
      <c r="Y208" s="164"/>
      <c r="Z208" s="164"/>
    </row>
    <row r="209">
      <c r="A209" s="164"/>
      <c r="B209" s="164"/>
      <c r="C209" s="164"/>
      <c r="D209" s="164"/>
      <c r="E209" s="164"/>
      <c r="F209" s="164"/>
      <c r="G209" s="164"/>
      <c r="H209" s="164"/>
      <c r="I209" s="164"/>
      <c r="J209" s="164"/>
      <c r="K209" s="164"/>
      <c r="L209" s="164"/>
      <c r="M209" s="164"/>
      <c r="N209" s="164"/>
      <c r="O209" s="164"/>
      <c r="P209" s="164"/>
      <c r="Q209" s="164"/>
      <c r="R209" s="164"/>
      <c r="S209" s="164"/>
      <c r="T209" s="164"/>
      <c r="U209" s="164"/>
      <c r="V209" s="164"/>
      <c r="W209" s="164"/>
      <c r="X209" s="164"/>
      <c r="Y209" s="164"/>
      <c r="Z209" s="164"/>
    </row>
    <row r="210">
      <c r="A210" s="164"/>
      <c r="B210" s="164"/>
      <c r="C210" s="164"/>
      <c r="D210" s="164"/>
      <c r="E210" s="164"/>
      <c r="F210" s="164"/>
      <c r="G210" s="164"/>
      <c r="H210" s="164"/>
      <c r="I210" s="164"/>
      <c r="J210" s="164"/>
      <c r="K210" s="164"/>
      <c r="L210" s="164"/>
      <c r="M210" s="164"/>
      <c r="N210" s="164"/>
      <c r="O210" s="164"/>
      <c r="P210" s="164"/>
      <c r="Q210" s="164"/>
      <c r="R210" s="164"/>
      <c r="S210" s="164"/>
      <c r="T210" s="164"/>
      <c r="U210" s="164"/>
      <c r="V210" s="164"/>
      <c r="W210" s="164"/>
      <c r="X210" s="164"/>
      <c r="Y210" s="164"/>
      <c r="Z210" s="164"/>
    </row>
    <row r="211">
      <c r="A211" s="164"/>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64"/>
      <c r="Y211" s="164"/>
      <c r="Z211" s="164"/>
    </row>
    <row r="212">
      <c r="A212" s="164"/>
      <c r="B212" s="164"/>
      <c r="C212" s="164"/>
      <c r="D212" s="164"/>
      <c r="E212" s="164"/>
      <c r="F212" s="164"/>
      <c r="G212" s="164"/>
      <c r="H212" s="164"/>
      <c r="I212" s="164"/>
      <c r="J212" s="164"/>
      <c r="K212" s="164"/>
      <c r="L212" s="164"/>
      <c r="M212" s="164"/>
      <c r="N212" s="164"/>
      <c r="O212" s="164"/>
      <c r="P212" s="164"/>
      <c r="Q212" s="164"/>
      <c r="R212" s="164"/>
      <c r="S212" s="164"/>
      <c r="T212" s="164"/>
      <c r="U212" s="164"/>
      <c r="V212" s="164"/>
      <c r="W212" s="164"/>
      <c r="X212" s="164"/>
      <c r="Y212" s="164"/>
      <c r="Z212" s="164"/>
    </row>
    <row r="213">
      <c r="A213" s="164"/>
      <c r="B213" s="164"/>
      <c r="C213" s="164"/>
      <c r="D213" s="164"/>
      <c r="E213" s="164"/>
      <c r="F213" s="164"/>
      <c r="G213" s="164"/>
      <c r="H213" s="164"/>
      <c r="I213" s="164"/>
      <c r="J213" s="164"/>
      <c r="K213" s="164"/>
      <c r="L213" s="164"/>
      <c r="M213" s="164"/>
      <c r="N213" s="164"/>
      <c r="O213" s="164"/>
      <c r="P213" s="164"/>
      <c r="Q213" s="164"/>
      <c r="R213" s="164"/>
      <c r="S213" s="164"/>
      <c r="T213" s="164"/>
      <c r="U213" s="164"/>
      <c r="V213" s="164"/>
      <c r="W213" s="164"/>
      <c r="X213" s="164"/>
      <c r="Y213" s="164"/>
      <c r="Z213" s="164"/>
    </row>
    <row r="214">
      <c r="A214" s="164"/>
      <c r="B214" s="164"/>
      <c r="C214" s="164"/>
      <c r="D214" s="164"/>
      <c r="E214" s="164"/>
      <c r="F214" s="164"/>
      <c r="G214" s="164"/>
      <c r="H214" s="164"/>
      <c r="I214" s="164"/>
      <c r="J214" s="164"/>
      <c r="K214" s="164"/>
      <c r="L214" s="164"/>
      <c r="M214" s="164"/>
      <c r="N214" s="164"/>
      <c r="O214" s="164"/>
      <c r="P214" s="164"/>
      <c r="Q214" s="164"/>
      <c r="R214" s="164"/>
      <c r="S214" s="164"/>
      <c r="T214" s="164"/>
      <c r="U214" s="164"/>
      <c r="V214" s="164"/>
      <c r="W214" s="164"/>
      <c r="X214" s="164"/>
      <c r="Y214" s="164"/>
      <c r="Z214" s="164"/>
    </row>
    <row r="215">
      <c r="A215" s="164"/>
      <c r="B215" s="164"/>
      <c r="C215" s="164"/>
      <c r="D215" s="164"/>
      <c r="E215" s="164"/>
      <c r="F215" s="164"/>
      <c r="G215" s="164"/>
      <c r="H215" s="164"/>
      <c r="I215" s="164"/>
      <c r="J215" s="164"/>
      <c r="K215" s="164"/>
      <c r="L215" s="164"/>
      <c r="M215" s="164"/>
      <c r="N215" s="164"/>
      <c r="O215" s="164"/>
      <c r="P215" s="164"/>
      <c r="Q215" s="164"/>
      <c r="R215" s="164"/>
      <c r="S215" s="164"/>
      <c r="T215" s="164"/>
      <c r="U215" s="164"/>
      <c r="V215" s="164"/>
      <c r="W215" s="164"/>
      <c r="X215" s="164"/>
      <c r="Y215" s="164"/>
      <c r="Z215" s="164"/>
    </row>
    <row r="216">
      <c r="A216" s="164"/>
      <c r="B216" s="164"/>
      <c r="C216" s="164"/>
      <c r="D216" s="164"/>
      <c r="E216" s="164"/>
      <c r="F216" s="164"/>
      <c r="G216" s="164"/>
      <c r="H216" s="164"/>
      <c r="I216" s="164"/>
      <c r="J216" s="164"/>
      <c r="K216" s="164"/>
      <c r="L216" s="164"/>
      <c r="M216" s="164"/>
      <c r="N216" s="164"/>
      <c r="O216" s="164"/>
      <c r="P216" s="164"/>
      <c r="Q216" s="164"/>
      <c r="R216" s="164"/>
      <c r="S216" s="164"/>
      <c r="T216" s="164"/>
      <c r="U216" s="164"/>
      <c r="V216" s="164"/>
      <c r="W216" s="164"/>
      <c r="X216" s="164"/>
      <c r="Y216" s="164"/>
      <c r="Z216" s="164"/>
    </row>
    <row r="217">
      <c r="A217" s="164"/>
      <c r="B217" s="164"/>
      <c r="C217" s="164"/>
      <c r="D217" s="164"/>
      <c r="E217" s="164"/>
      <c r="F217" s="164"/>
      <c r="G217" s="164"/>
      <c r="H217" s="164"/>
      <c r="I217" s="164"/>
      <c r="J217" s="164"/>
      <c r="K217" s="164"/>
      <c r="L217" s="164"/>
      <c r="M217" s="164"/>
      <c r="N217" s="164"/>
      <c r="O217" s="164"/>
      <c r="P217" s="164"/>
      <c r="Q217" s="164"/>
      <c r="R217" s="164"/>
      <c r="S217" s="164"/>
      <c r="T217" s="164"/>
      <c r="U217" s="164"/>
      <c r="V217" s="164"/>
      <c r="W217" s="164"/>
      <c r="X217" s="164"/>
      <c r="Y217" s="164"/>
      <c r="Z217" s="164"/>
    </row>
    <row r="218">
      <c r="A218" s="164"/>
      <c r="B218" s="164"/>
      <c r="C218" s="164"/>
      <c r="D218" s="164"/>
      <c r="E218" s="164"/>
      <c r="F218" s="164"/>
      <c r="G218" s="164"/>
      <c r="H218" s="164"/>
      <c r="I218" s="164"/>
      <c r="J218" s="164"/>
      <c r="K218" s="164"/>
      <c r="L218" s="164"/>
      <c r="M218" s="164"/>
      <c r="N218" s="164"/>
      <c r="O218" s="164"/>
      <c r="P218" s="164"/>
      <c r="Q218" s="164"/>
      <c r="R218" s="164"/>
      <c r="S218" s="164"/>
      <c r="T218" s="164"/>
      <c r="U218" s="164"/>
      <c r="V218" s="164"/>
      <c r="W218" s="164"/>
      <c r="X218" s="164"/>
      <c r="Y218" s="164"/>
      <c r="Z218" s="164"/>
    </row>
    <row r="219">
      <c r="A219" s="164"/>
      <c r="B219" s="164"/>
      <c r="C219" s="164"/>
      <c r="D219" s="164"/>
      <c r="E219" s="164"/>
      <c r="F219" s="164"/>
      <c r="G219" s="164"/>
      <c r="H219" s="164"/>
      <c r="I219" s="164"/>
      <c r="J219" s="164"/>
      <c r="K219" s="164"/>
      <c r="L219" s="164"/>
      <c r="M219" s="164"/>
      <c r="N219" s="164"/>
      <c r="O219" s="164"/>
      <c r="P219" s="164"/>
      <c r="Q219" s="164"/>
      <c r="R219" s="164"/>
      <c r="S219" s="164"/>
      <c r="T219" s="164"/>
      <c r="U219" s="164"/>
      <c r="V219" s="164"/>
      <c r="W219" s="164"/>
      <c r="X219" s="164"/>
      <c r="Y219" s="164"/>
      <c r="Z219" s="164"/>
    </row>
    <row r="220">
      <c r="A220" s="164"/>
      <c r="B220" s="164"/>
      <c r="C220" s="164"/>
      <c r="D220" s="164"/>
      <c r="E220" s="164"/>
      <c r="F220" s="164"/>
      <c r="G220" s="164"/>
      <c r="H220" s="164"/>
      <c r="I220" s="164"/>
      <c r="J220" s="164"/>
      <c r="K220" s="164"/>
      <c r="L220" s="164"/>
      <c r="M220" s="164"/>
      <c r="N220" s="164"/>
      <c r="O220" s="164"/>
      <c r="P220" s="164"/>
      <c r="Q220" s="164"/>
      <c r="R220" s="164"/>
      <c r="S220" s="164"/>
      <c r="T220" s="164"/>
      <c r="U220" s="164"/>
      <c r="V220" s="164"/>
      <c r="W220" s="164"/>
      <c r="X220" s="164"/>
      <c r="Y220" s="164"/>
      <c r="Z220" s="164"/>
    </row>
    <row r="221">
      <c r="A221" s="164"/>
      <c r="B221" s="164"/>
      <c r="C221" s="164"/>
      <c r="D221" s="164"/>
      <c r="E221" s="164"/>
      <c r="F221" s="164"/>
      <c r="G221" s="164"/>
      <c r="H221" s="164"/>
      <c r="I221" s="164"/>
      <c r="J221" s="164"/>
      <c r="K221" s="164"/>
      <c r="L221" s="164"/>
      <c r="M221" s="164"/>
      <c r="N221" s="164"/>
      <c r="O221" s="164"/>
      <c r="P221" s="164"/>
      <c r="Q221" s="164"/>
      <c r="R221" s="164"/>
      <c r="S221" s="164"/>
      <c r="T221" s="164"/>
      <c r="U221" s="164"/>
      <c r="V221" s="164"/>
      <c r="W221" s="164"/>
      <c r="X221" s="164"/>
      <c r="Y221" s="164"/>
      <c r="Z221" s="164"/>
    </row>
    <row r="222">
      <c r="A222" s="164"/>
      <c r="B222" s="164"/>
      <c r="C222" s="164"/>
      <c r="D222" s="164"/>
      <c r="E222" s="164"/>
      <c r="F222" s="164"/>
      <c r="G222" s="164"/>
      <c r="H222" s="164"/>
      <c r="I222" s="164"/>
      <c r="J222" s="164"/>
      <c r="K222" s="164"/>
      <c r="L222" s="164"/>
      <c r="M222" s="164"/>
      <c r="N222" s="164"/>
      <c r="O222" s="164"/>
      <c r="P222" s="164"/>
      <c r="Q222" s="164"/>
      <c r="R222" s="164"/>
      <c r="S222" s="164"/>
      <c r="T222" s="164"/>
      <c r="U222" s="164"/>
      <c r="V222" s="164"/>
      <c r="W222" s="164"/>
      <c r="X222" s="164"/>
      <c r="Y222" s="164"/>
      <c r="Z222" s="164"/>
    </row>
    <row r="223">
      <c r="A223" s="164"/>
      <c r="B223" s="164"/>
      <c r="C223" s="164"/>
      <c r="D223" s="164"/>
      <c r="E223" s="164"/>
      <c r="F223" s="164"/>
      <c r="G223" s="164"/>
      <c r="H223" s="164"/>
      <c r="I223" s="164"/>
      <c r="J223" s="164"/>
      <c r="K223" s="164"/>
      <c r="L223" s="164"/>
      <c r="M223" s="164"/>
      <c r="N223" s="164"/>
      <c r="O223" s="164"/>
      <c r="P223" s="164"/>
      <c r="Q223" s="164"/>
      <c r="R223" s="164"/>
      <c r="S223" s="164"/>
      <c r="T223" s="164"/>
      <c r="U223" s="164"/>
      <c r="V223" s="164"/>
      <c r="W223" s="164"/>
      <c r="X223" s="164"/>
      <c r="Y223" s="164"/>
      <c r="Z223" s="164"/>
    </row>
    <row r="224">
      <c r="A224" s="164"/>
      <c r="B224" s="164"/>
      <c r="C224" s="164"/>
      <c r="D224" s="164"/>
      <c r="E224" s="164"/>
      <c r="F224" s="164"/>
      <c r="G224" s="164"/>
      <c r="H224" s="164"/>
      <c r="I224" s="164"/>
      <c r="J224" s="164"/>
      <c r="K224" s="164"/>
      <c r="L224" s="164"/>
      <c r="M224" s="164"/>
      <c r="N224" s="164"/>
      <c r="O224" s="164"/>
      <c r="P224" s="164"/>
      <c r="Q224" s="164"/>
      <c r="R224" s="164"/>
      <c r="S224" s="164"/>
      <c r="T224" s="164"/>
      <c r="U224" s="164"/>
      <c r="V224" s="164"/>
      <c r="W224" s="164"/>
      <c r="X224" s="164"/>
      <c r="Y224" s="164"/>
      <c r="Z224" s="164"/>
    </row>
    <row r="225">
      <c r="A225" s="164"/>
      <c r="B225" s="164"/>
      <c r="C225" s="164"/>
      <c r="D225" s="164"/>
      <c r="E225" s="164"/>
      <c r="F225" s="164"/>
      <c r="G225" s="164"/>
      <c r="H225" s="164"/>
      <c r="I225" s="164"/>
      <c r="J225" s="164"/>
      <c r="K225" s="164"/>
      <c r="L225" s="164"/>
      <c r="M225" s="164"/>
      <c r="N225" s="164"/>
      <c r="O225" s="164"/>
      <c r="P225" s="164"/>
      <c r="Q225" s="164"/>
      <c r="R225" s="164"/>
      <c r="S225" s="164"/>
      <c r="T225" s="164"/>
      <c r="U225" s="164"/>
      <c r="V225" s="164"/>
      <c r="W225" s="164"/>
      <c r="X225" s="164"/>
      <c r="Y225" s="164"/>
      <c r="Z225" s="164"/>
    </row>
    <row r="226">
      <c r="A226" s="164"/>
      <c r="B226" s="164"/>
      <c r="C226" s="164"/>
      <c r="D226" s="164"/>
      <c r="E226" s="164"/>
      <c r="F226" s="164"/>
      <c r="G226" s="164"/>
      <c r="H226" s="164"/>
      <c r="I226" s="164"/>
      <c r="J226" s="164"/>
      <c r="K226" s="164"/>
      <c r="L226" s="164"/>
      <c r="M226" s="164"/>
      <c r="N226" s="164"/>
      <c r="O226" s="164"/>
      <c r="P226" s="164"/>
      <c r="Q226" s="164"/>
      <c r="R226" s="164"/>
      <c r="S226" s="164"/>
      <c r="T226" s="164"/>
      <c r="U226" s="164"/>
      <c r="V226" s="164"/>
      <c r="W226" s="164"/>
      <c r="X226" s="164"/>
      <c r="Y226" s="164"/>
      <c r="Z226" s="164"/>
    </row>
    <row r="227">
      <c r="A227" s="164"/>
      <c r="B227" s="164"/>
      <c r="C227" s="164"/>
      <c r="D227" s="164"/>
      <c r="E227" s="164"/>
      <c r="F227" s="164"/>
      <c r="G227" s="164"/>
      <c r="H227" s="164"/>
      <c r="I227" s="164"/>
      <c r="J227" s="164"/>
      <c r="K227" s="164"/>
      <c r="L227" s="164"/>
      <c r="M227" s="164"/>
      <c r="N227" s="164"/>
      <c r="O227" s="164"/>
      <c r="P227" s="164"/>
      <c r="Q227" s="164"/>
      <c r="R227" s="164"/>
      <c r="S227" s="164"/>
      <c r="T227" s="164"/>
      <c r="U227" s="164"/>
      <c r="V227" s="164"/>
      <c r="W227" s="164"/>
      <c r="X227" s="164"/>
      <c r="Y227" s="164"/>
      <c r="Z227" s="164"/>
    </row>
    <row r="228">
      <c r="A228" s="164"/>
      <c r="B228" s="164"/>
      <c r="C228" s="164"/>
      <c r="D228" s="164"/>
      <c r="E228" s="164"/>
      <c r="F228" s="164"/>
      <c r="G228" s="164"/>
      <c r="H228" s="164"/>
      <c r="I228" s="164"/>
      <c r="J228" s="164"/>
      <c r="K228" s="164"/>
      <c r="L228" s="164"/>
      <c r="M228" s="164"/>
      <c r="N228" s="164"/>
      <c r="O228" s="164"/>
      <c r="P228" s="164"/>
      <c r="Q228" s="164"/>
      <c r="R228" s="164"/>
      <c r="S228" s="164"/>
      <c r="T228" s="164"/>
      <c r="U228" s="164"/>
      <c r="V228" s="164"/>
      <c r="W228" s="164"/>
      <c r="X228" s="164"/>
      <c r="Y228" s="164"/>
      <c r="Z228" s="164"/>
    </row>
    <row r="229">
      <c r="A229" s="164"/>
      <c r="B229" s="164"/>
      <c r="C229" s="164"/>
      <c r="D229" s="164"/>
      <c r="E229" s="164"/>
      <c r="F229" s="164"/>
      <c r="G229" s="164"/>
      <c r="H229" s="164"/>
      <c r="I229" s="164"/>
      <c r="J229" s="164"/>
      <c r="K229" s="164"/>
      <c r="L229" s="164"/>
      <c r="M229" s="164"/>
      <c r="N229" s="164"/>
      <c r="O229" s="164"/>
      <c r="P229" s="164"/>
      <c r="Q229" s="164"/>
      <c r="R229" s="164"/>
      <c r="S229" s="164"/>
      <c r="T229" s="164"/>
      <c r="U229" s="164"/>
      <c r="V229" s="164"/>
      <c r="W229" s="164"/>
      <c r="X229" s="164"/>
      <c r="Y229" s="164"/>
      <c r="Z229" s="164"/>
    </row>
    <row r="230">
      <c r="A230" s="164"/>
      <c r="B230" s="164"/>
      <c r="C230" s="164"/>
      <c r="D230" s="164"/>
      <c r="E230" s="164"/>
      <c r="F230" s="164"/>
      <c r="G230" s="164"/>
      <c r="H230" s="164"/>
      <c r="I230" s="164"/>
      <c r="J230" s="164"/>
      <c r="K230" s="164"/>
      <c r="L230" s="164"/>
      <c r="M230" s="164"/>
      <c r="N230" s="164"/>
      <c r="O230" s="164"/>
      <c r="P230" s="164"/>
      <c r="Q230" s="164"/>
      <c r="R230" s="164"/>
      <c r="S230" s="164"/>
      <c r="T230" s="164"/>
      <c r="U230" s="164"/>
      <c r="V230" s="164"/>
      <c r="W230" s="164"/>
      <c r="X230" s="164"/>
      <c r="Y230" s="164"/>
      <c r="Z230" s="164"/>
    </row>
    <row r="231">
      <c r="A231" s="164"/>
      <c r="B231" s="164"/>
      <c r="C231" s="164"/>
      <c r="D231" s="164"/>
      <c r="E231" s="164"/>
      <c r="F231" s="164"/>
      <c r="G231" s="164"/>
      <c r="H231" s="164"/>
      <c r="I231" s="164"/>
      <c r="J231" s="164"/>
      <c r="K231" s="164"/>
      <c r="L231" s="164"/>
      <c r="M231" s="164"/>
      <c r="N231" s="164"/>
      <c r="O231" s="164"/>
      <c r="P231" s="164"/>
      <c r="Q231" s="164"/>
      <c r="R231" s="164"/>
      <c r="S231" s="164"/>
      <c r="T231" s="164"/>
      <c r="U231" s="164"/>
      <c r="V231" s="164"/>
      <c r="W231" s="164"/>
      <c r="X231" s="164"/>
      <c r="Y231" s="164"/>
      <c r="Z231" s="164"/>
    </row>
    <row r="232">
      <c r="A232" s="164"/>
      <c r="B232" s="164"/>
      <c r="C232" s="164"/>
      <c r="D232" s="164"/>
      <c r="E232" s="164"/>
      <c r="F232" s="164"/>
      <c r="G232" s="164"/>
      <c r="H232" s="164"/>
      <c r="I232" s="164"/>
      <c r="J232" s="164"/>
      <c r="K232" s="164"/>
      <c r="L232" s="164"/>
      <c r="M232" s="164"/>
      <c r="N232" s="164"/>
      <c r="O232" s="164"/>
      <c r="P232" s="164"/>
      <c r="Q232" s="164"/>
      <c r="R232" s="164"/>
      <c r="S232" s="164"/>
      <c r="T232" s="164"/>
      <c r="U232" s="164"/>
      <c r="V232" s="164"/>
      <c r="W232" s="164"/>
      <c r="X232" s="164"/>
      <c r="Y232" s="164"/>
      <c r="Z232" s="164"/>
    </row>
    <row r="233">
      <c r="A233" s="164"/>
      <c r="B233" s="164"/>
      <c r="C233" s="164"/>
      <c r="D233" s="164"/>
      <c r="E233" s="164"/>
      <c r="F233" s="164"/>
      <c r="G233" s="164"/>
      <c r="H233" s="164"/>
      <c r="I233" s="164"/>
      <c r="J233" s="164"/>
      <c r="K233" s="164"/>
      <c r="L233" s="164"/>
      <c r="M233" s="164"/>
      <c r="N233" s="164"/>
      <c r="O233" s="164"/>
      <c r="P233" s="164"/>
      <c r="Q233" s="164"/>
      <c r="R233" s="164"/>
      <c r="S233" s="164"/>
      <c r="T233" s="164"/>
      <c r="U233" s="164"/>
      <c r="V233" s="164"/>
      <c r="W233" s="164"/>
      <c r="X233" s="164"/>
      <c r="Y233" s="164"/>
      <c r="Z233" s="164"/>
    </row>
    <row r="234">
      <c r="A234" s="164"/>
      <c r="B234" s="164"/>
      <c r="C234" s="164"/>
      <c r="D234" s="164"/>
      <c r="E234" s="164"/>
      <c r="F234" s="164"/>
      <c r="G234" s="164"/>
      <c r="H234" s="164"/>
      <c r="I234" s="164"/>
      <c r="J234" s="164"/>
      <c r="K234" s="164"/>
      <c r="L234" s="164"/>
      <c r="M234" s="164"/>
      <c r="N234" s="164"/>
      <c r="O234" s="164"/>
      <c r="P234" s="164"/>
      <c r="Q234" s="164"/>
      <c r="R234" s="164"/>
      <c r="S234" s="164"/>
      <c r="T234" s="164"/>
      <c r="U234" s="164"/>
      <c r="V234" s="164"/>
      <c r="W234" s="164"/>
      <c r="X234" s="164"/>
      <c r="Y234" s="164"/>
      <c r="Z234" s="164"/>
    </row>
    <row r="235">
      <c r="A235" s="164"/>
      <c r="B235" s="164"/>
      <c r="C235" s="164"/>
      <c r="D235" s="164"/>
      <c r="E235" s="164"/>
      <c r="F235" s="164"/>
      <c r="G235" s="164"/>
      <c r="H235" s="164"/>
      <c r="I235" s="164"/>
      <c r="J235" s="164"/>
      <c r="K235" s="164"/>
      <c r="L235" s="164"/>
      <c r="M235" s="164"/>
      <c r="N235" s="164"/>
      <c r="O235" s="164"/>
      <c r="P235" s="164"/>
      <c r="Q235" s="164"/>
      <c r="R235" s="164"/>
      <c r="S235" s="164"/>
      <c r="T235" s="164"/>
      <c r="U235" s="164"/>
      <c r="V235" s="164"/>
      <c r="W235" s="164"/>
      <c r="X235" s="164"/>
      <c r="Y235" s="164"/>
      <c r="Z235" s="164"/>
    </row>
    <row r="236">
      <c r="A236" s="164"/>
      <c r="B236" s="164"/>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164"/>
      <c r="Y236" s="164"/>
      <c r="Z236" s="164"/>
    </row>
    <row r="237">
      <c r="A237" s="164"/>
      <c r="B237" s="164"/>
      <c r="C237" s="164"/>
      <c r="D237" s="164"/>
      <c r="E237" s="164"/>
      <c r="F237" s="164"/>
      <c r="G237" s="164"/>
      <c r="H237" s="164"/>
      <c r="I237" s="164"/>
      <c r="J237" s="164"/>
      <c r="K237" s="164"/>
      <c r="L237" s="164"/>
      <c r="M237" s="164"/>
      <c r="N237" s="164"/>
      <c r="O237" s="164"/>
      <c r="P237" s="164"/>
      <c r="Q237" s="164"/>
      <c r="R237" s="164"/>
      <c r="S237" s="164"/>
      <c r="T237" s="164"/>
      <c r="U237" s="164"/>
      <c r="V237" s="164"/>
      <c r="W237" s="164"/>
      <c r="X237" s="164"/>
      <c r="Y237" s="164"/>
      <c r="Z237" s="164"/>
    </row>
    <row r="238">
      <c r="A238" s="164"/>
      <c r="B238" s="164"/>
      <c r="C238" s="164"/>
      <c r="D238" s="164"/>
      <c r="E238" s="164"/>
      <c r="F238" s="164"/>
      <c r="G238" s="164"/>
      <c r="H238" s="164"/>
      <c r="I238" s="164"/>
      <c r="J238" s="164"/>
      <c r="K238" s="164"/>
      <c r="L238" s="164"/>
      <c r="M238" s="164"/>
      <c r="N238" s="164"/>
      <c r="O238" s="164"/>
      <c r="P238" s="164"/>
      <c r="Q238" s="164"/>
      <c r="R238" s="164"/>
      <c r="S238" s="164"/>
      <c r="T238" s="164"/>
      <c r="U238" s="164"/>
      <c r="V238" s="164"/>
      <c r="W238" s="164"/>
      <c r="X238" s="164"/>
      <c r="Y238" s="164"/>
      <c r="Z238" s="164"/>
    </row>
    <row r="239">
      <c r="A239" s="164"/>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row>
    <row r="240">
      <c r="A240" s="164"/>
      <c r="B240" s="164"/>
      <c r="C240" s="164"/>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64"/>
      <c r="Z240" s="164"/>
    </row>
    <row r="241">
      <c r="A241" s="164"/>
      <c r="B241" s="164"/>
      <c r="C241" s="164"/>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64"/>
      <c r="Z241" s="164"/>
    </row>
    <row r="242">
      <c r="A242" s="164"/>
      <c r="B242" s="164"/>
      <c r="C242" s="164"/>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64"/>
      <c r="Z242" s="164"/>
    </row>
    <row r="243">
      <c r="A243" s="164"/>
      <c r="B243" s="164"/>
      <c r="C243" s="164"/>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64"/>
      <c r="Z243" s="164"/>
    </row>
    <row r="244">
      <c r="A244" s="164"/>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64"/>
      <c r="Z244" s="164"/>
    </row>
    <row r="245">
      <c r="A245" s="164"/>
      <c r="B245" s="164"/>
      <c r="C245" s="164"/>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64"/>
      <c r="Z245" s="164"/>
    </row>
    <row r="246">
      <c r="A246" s="164"/>
      <c r="B246" s="164"/>
      <c r="C246" s="164"/>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64"/>
      <c r="Z246" s="164"/>
    </row>
    <row r="247">
      <c r="A247" s="164"/>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64"/>
      <c r="Z247" s="164"/>
    </row>
    <row r="248">
      <c r="A248" s="164"/>
      <c r="B248" s="164"/>
      <c r="C248" s="164"/>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64"/>
      <c r="Z248" s="164"/>
    </row>
    <row r="249">
      <c r="A249" s="164"/>
      <c r="B249" s="164"/>
      <c r="C249" s="164"/>
      <c r="D249" s="164"/>
      <c r="E249" s="164"/>
      <c r="F249" s="164"/>
      <c r="G249" s="164"/>
      <c r="H249" s="164"/>
      <c r="I249" s="164"/>
      <c r="J249" s="164"/>
      <c r="K249" s="164"/>
      <c r="L249" s="164"/>
      <c r="M249" s="164"/>
      <c r="N249" s="164"/>
      <c r="O249" s="164"/>
      <c r="P249" s="164"/>
      <c r="Q249" s="164"/>
      <c r="R249" s="164"/>
      <c r="S249" s="164"/>
      <c r="T249" s="164"/>
      <c r="U249" s="164"/>
      <c r="V249" s="164"/>
      <c r="W249" s="164"/>
      <c r="X249" s="164"/>
      <c r="Y249" s="164"/>
      <c r="Z249" s="164"/>
    </row>
    <row r="250">
      <c r="A250" s="164"/>
      <c r="B250" s="164"/>
      <c r="C250" s="164"/>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row>
    <row r="251">
      <c r="A251" s="164"/>
      <c r="B251" s="164"/>
      <c r="C251" s="164"/>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row>
    <row r="252">
      <c r="A252" s="164"/>
      <c r="B252" s="164"/>
      <c r="C252" s="164"/>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row>
    <row r="253">
      <c r="A253" s="164"/>
      <c r="B253" s="164"/>
      <c r="C253" s="164"/>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row>
    <row r="254">
      <c r="A254" s="164"/>
      <c r="B254" s="164"/>
      <c r="C254" s="164"/>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row>
    <row r="255">
      <c r="A255" s="164"/>
      <c r="B255" s="164"/>
      <c r="C255" s="164"/>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row>
    <row r="256">
      <c r="A256" s="164"/>
      <c r="B256" s="164"/>
      <c r="C256" s="164"/>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row>
    <row r="257">
      <c r="A257" s="164"/>
      <c r="B257" s="164"/>
      <c r="C257" s="164"/>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row>
    <row r="258">
      <c r="A258" s="164"/>
      <c r="B258" s="164"/>
      <c r="C258" s="164"/>
      <c r="D258" s="164"/>
      <c r="E258" s="164"/>
      <c r="F258" s="164"/>
      <c r="G258" s="164"/>
      <c r="H258" s="164"/>
      <c r="I258" s="164"/>
      <c r="J258" s="164"/>
      <c r="K258" s="164"/>
      <c r="L258" s="164"/>
      <c r="M258" s="164"/>
      <c r="N258" s="164"/>
      <c r="O258" s="164"/>
      <c r="P258" s="164"/>
      <c r="Q258" s="164"/>
      <c r="R258" s="164"/>
      <c r="S258" s="164"/>
      <c r="T258" s="164"/>
      <c r="U258" s="164"/>
      <c r="V258" s="164"/>
      <c r="W258" s="164"/>
      <c r="X258" s="164"/>
      <c r="Y258" s="164"/>
      <c r="Z258" s="164"/>
    </row>
    <row r="259">
      <c r="A259" s="164"/>
      <c r="B259" s="164"/>
      <c r="C259" s="164"/>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row>
    <row r="260">
      <c r="A260" s="164"/>
      <c r="B260" s="164"/>
      <c r="C260" s="164"/>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row>
    <row r="261">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row>
    <row r="262">
      <c r="A262" s="164"/>
      <c r="B262" s="164"/>
      <c r="C262" s="164"/>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row>
    <row r="263">
      <c r="A263" s="164"/>
      <c r="B263" s="164"/>
      <c r="C263" s="164"/>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row>
    <row r="264">
      <c r="A264" s="164"/>
      <c r="B264" s="164"/>
      <c r="C264" s="164"/>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row>
    <row r="265">
      <c r="A265" s="164"/>
      <c r="B265" s="164"/>
      <c r="C265" s="164"/>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row>
    <row r="266">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row>
    <row r="267">
      <c r="A267" s="164"/>
      <c r="B267" s="164"/>
      <c r="C267" s="164"/>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row>
    <row r="268">
      <c r="A268" s="164"/>
      <c r="B268" s="164"/>
      <c r="C268" s="164"/>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row>
    <row r="269">
      <c r="A269" s="164"/>
      <c r="B269" s="164"/>
      <c r="C269" s="164"/>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row>
    <row r="270">
      <c r="A270" s="164"/>
      <c r="B270" s="164"/>
      <c r="C270" s="164"/>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row>
    <row r="271">
      <c r="A271" s="164"/>
      <c r="B271" s="164"/>
      <c r="C271" s="164"/>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row>
    <row r="272">
      <c r="A272" s="164"/>
      <c r="B272" s="164"/>
      <c r="C272" s="164"/>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row>
    <row r="273">
      <c r="A273" s="164"/>
      <c r="B273" s="164"/>
      <c r="C273" s="164"/>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row>
    <row r="274">
      <c r="A274" s="164"/>
      <c r="B274" s="164"/>
      <c r="C274" s="164"/>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row>
    <row r="275">
      <c r="A275" s="164"/>
      <c r="B275" s="164"/>
      <c r="C275" s="164"/>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row>
    <row r="276">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row>
    <row r="277">
      <c r="A277" s="164"/>
      <c r="B277" s="164"/>
      <c r="C277" s="164"/>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row>
    <row r="278">
      <c r="A278" s="164"/>
      <c r="B278" s="164"/>
      <c r="C278" s="164"/>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row>
    <row r="279">
      <c r="A279" s="164"/>
      <c r="B279" s="164"/>
      <c r="C279" s="164"/>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row>
    <row r="280">
      <c r="A280" s="164"/>
      <c r="B280" s="164"/>
      <c r="C280" s="164"/>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row>
    <row r="281">
      <c r="A281" s="164"/>
      <c r="B281" s="164"/>
      <c r="C281" s="164"/>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row>
    <row r="282">
      <c r="A282" s="164"/>
      <c r="B282" s="164"/>
      <c r="C282" s="164"/>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row>
    <row r="283">
      <c r="A283" s="164"/>
      <c r="B283" s="164"/>
      <c r="C283" s="164"/>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row>
    <row r="284">
      <c r="A284" s="164"/>
      <c r="B284" s="164"/>
      <c r="C284" s="164"/>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row>
    <row r="285">
      <c r="A285" s="164"/>
      <c r="B285" s="164"/>
      <c r="C285" s="164"/>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row>
    <row r="286">
      <c r="A286" s="164"/>
      <c r="B286" s="164"/>
      <c r="C286" s="164"/>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row>
    <row r="287">
      <c r="A287" s="164"/>
      <c r="B287" s="164"/>
      <c r="C287" s="164"/>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row>
    <row r="288">
      <c r="A288" s="164"/>
      <c r="B288" s="164"/>
      <c r="C288" s="164"/>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row>
    <row r="289">
      <c r="A289" s="164"/>
      <c r="B289" s="164"/>
      <c r="C289" s="164"/>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row>
    <row r="290">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row>
    <row r="291">
      <c r="A291" s="164"/>
      <c r="B291" s="164"/>
      <c r="C291" s="164"/>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row>
    <row r="292">
      <c r="A292" s="164"/>
      <c r="B292" s="164"/>
      <c r="C292" s="164"/>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row>
    <row r="293">
      <c r="A293" s="164"/>
      <c r="B293" s="164"/>
      <c r="C293" s="164"/>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row>
    <row r="294">
      <c r="A294" s="164"/>
      <c r="B294" s="164"/>
      <c r="C294" s="164"/>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row>
    <row r="295">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row>
    <row r="296">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row>
    <row r="297">
      <c r="A297" s="164"/>
      <c r="B297" s="164"/>
      <c r="C297" s="164"/>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row>
    <row r="298">
      <c r="A298" s="164"/>
      <c r="B298" s="164"/>
      <c r="C298" s="164"/>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row>
    <row r="299">
      <c r="A299" s="164"/>
      <c r="B299" s="164"/>
      <c r="C299" s="164"/>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row>
    <row r="300">
      <c r="A300" s="164"/>
      <c r="B300" s="164"/>
      <c r="C300" s="164"/>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row>
    <row r="301">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row>
    <row r="302">
      <c r="A302" s="164"/>
      <c r="B302" s="164"/>
      <c r="C302" s="164"/>
      <c r="D302" s="164"/>
      <c r="E302" s="164"/>
      <c r="F302" s="164"/>
      <c r="G302" s="164"/>
      <c r="H302" s="164"/>
      <c r="I302" s="164"/>
      <c r="J302" s="164"/>
      <c r="K302" s="164"/>
      <c r="L302" s="164"/>
      <c r="M302" s="164"/>
      <c r="N302" s="164"/>
      <c r="O302" s="164"/>
      <c r="P302" s="164"/>
      <c r="Q302" s="164"/>
      <c r="R302" s="164"/>
      <c r="S302" s="164"/>
      <c r="T302" s="164"/>
      <c r="U302" s="164"/>
      <c r="V302" s="164"/>
      <c r="W302" s="164"/>
      <c r="X302" s="164"/>
      <c r="Y302" s="164"/>
      <c r="Z302" s="164"/>
    </row>
    <row r="303">
      <c r="A303" s="164"/>
      <c r="B303" s="164"/>
      <c r="C303" s="164"/>
      <c r="D303" s="164"/>
      <c r="E303" s="164"/>
      <c r="F303" s="164"/>
      <c r="G303" s="164"/>
      <c r="H303" s="164"/>
      <c r="I303" s="164"/>
      <c r="J303" s="164"/>
      <c r="K303" s="164"/>
      <c r="L303" s="164"/>
      <c r="M303" s="164"/>
      <c r="N303" s="164"/>
      <c r="O303" s="164"/>
      <c r="P303" s="164"/>
      <c r="Q303" s="164"/>
      <c r="R303" s="164"/>
      <c r="S303" s="164"/>
      <c r="T303" s="164"/>
      <c r="U303" s="164"/>
      <c r="V303" s="164"/>
      <c r="W303" s="164"/>
      <c r="X303" s="164"/>
      <c r="Y303" s="164"/>
      <c r="Z303" s="164"/>
    </row>
    <row r="304">
      <c r="A304" s="164"/>
      <c r="B304" s="164"/>
      <c r="C304" s="164"/>
      <c r="D304" s="164"/>
      <c r="E304" s="164"/>
      <c r="F304" s="164"/>
      <c r="G304" s="164"/>
      <c r="H304" s="164"/>
      <c r="I304" s="164"/>
      <c r="J304" s="164"/>
      <c r="K304" s="164"/>
      <c r="L304" s="164"/>
      <c r="M304" s="164"/>
      <c r="N304" s="164"/>
      <c r="O304" s="164"/>
      <c r="P304" s="164"/>
      <c r="Q304" s="164"/>
      <c r="R304" s="164"/>
      <c r="S304" s="164"/>
      <c r="T304" s="164"/>
      <c r="U304" s="164"/>
      <c r="V304" s="164"/>
      <c r="W304" s="164"/>
      <c r="X304" s="164"/>
      <c r="Y304" s="164"/>
      <c r="Z304" s="164"/>
    </row>
    <row r="305">
      <c r="A305" s="164"/>
      <c r="B305" s="164"/>
      <c r="C305" s="164"/>
      <c r="D305" s="164"/>
      <c r="E305" s="164"/>
      <c r="F305" s="164"/>
      <c r="G305" s="164"/>
      <c r="H305" s="164"/>
      <c r="I305" s="164"/>
      <c r="J305" s="164"/>
      <c r="K305" s="164"/>
      <c r="L305" s="164"/>
      <c r="M305" s="164"/>
      <c r="N305" s="164"/>
      <c r="O305" s="164"/>
      <c r="P305" s="164"/>
      <c r="Q305" s="164"/>
      <c r="R305" s="164"/>
      <c r="S305" s="164"/>
      <c r="T305" s="164"/>
      <c r="U305" s="164"/>
      <c r="V305" s="164"/>
      <c r="W305" s="164"/>
      <c r="X305" s="164"/>
      <c r="Y305" s="164"/>
      <c r="Z305" s="164"/>
    </row>
    <row r="306">
      <c r="A306" s="164"/>
      <c r="B306" s="164"/>
      <c r="C306" s="164"/>
      <c r="D306" s="164"/>
      <c r="E306" s="164"/>
      <c r="F306" s="164"/>
      <c r="G306" s="164"/>
      <c r="H306" s="164"/>
      <c r="I306" s="164"/>
      <c r="J306" s="164"/>
      <c r="K306" s="164"/>
      <c r="L306" s="164"/>
      <c r="M306" s="164"/>
      <c r="N306" s="164"/>
      <c r="O306" s="164"/>
      <c r="P306" s="164"/>
      <c r="Q306" s="164"/>
      <c r="R306" s="164"/>
      <c r="S306" s="164"/>
      <c r="T306" s="164"/>
      <c r="U306" s="164"/>
      <c r="V306" s="164"/>
      <c r="W306" s="164"/>
      <c r="X306" s="164"/>
      <c r="Y306" s="164"/>
      <c r="Z306" s="164"/>
    </row>
    <row r="307">
      <c r="A307" s="164"/>
      <c r="B307" s="164"/>
      <c r="C307" s="164"/>
      <c r="D307" s="164"/>
      <c r="E307" s="164"/>
      <c r="F307" s="164"/>
      <c r="G307" s="164"/>
      <c r="H307" s="164"/>
      <c r="I307" s="164"/>
      <c r="J307" s="164"/>
      <c r="K307" s="164"/>
      <c r="L307" s="164"/>
      <c r="M307" s="164"/>
      <c r="N307" s="164"/>
      <c r="O307" s="164"/>
      <c r="P307" s="164"/>
      <c r="Q307" s="164"/>
      <c r="R307" s="164"/>
      <c r="S307" s="164"/>
      <c r="T307" s="164"/>
      <c r="U307" s="164"/>
      <c r="V307" s="164"/>
      <c r="W307" s="164"/>
      <c r="X307" s="164"/>
      <c r="Y307" s="164"/>
      <c r="Z307" s="164"/>
    </row>
    <row r="308">
      <c r="A308" s="164"/>
      <c r="B308" s="164"/>
      <c r="C308" s="164"/>
      <c r="D308" s="164"/>
      <c r="E308" s="164"/>
      <c r="F308" s="164"/>
      <c r="G308" s="164"/>
      <c r="H308" s="164"/>
      <c r="I308" s="164"/>
      <c r="J308" s="164"/>
      <c r="K308" s="164"/>
      <c r="L308" s="164"/>
      <c r="M308" s="164"/>
      <c r="N308" s="164"/>
      <c r="O308" s="164"/>
      <c r="P308" s="164"/>
      <c r="Q308" s="164"/>
      <c r="R308" s="164"/>
      <c r="S308" s="164"/>
      <c r="T308" s="164"/>
      <c r="U308" s="164"/>
      <c r="V308" s="164"/>
      <c r="W308" s="164"/>
      <c r="X308" s="164"/>
      <c r="Y308" s="164"/>
      <c r="Z308" s="164"/>
    </row>
    <row r="309">
      <c r="A309" s="164"/>
      <c r="B309" s="164"/>
      <c r="C309" s="164"/>
      <c r="D309" s="164"/>
      <c r="E309" s="164"/>
      <c r="F309" s="164"/>
      <c r="G309" s="164"/>
      <c r="H309" s="164"/>
      <c r="I309" s="164"/>
      <c r="J309" s="164"/>
      <c r="K309" s="164"/>
      <c r="L309" s="164"/>
      <c r="M309" s="164"/>
      <c r="N309" s="164"/>
      <c r="O309" s="164"/>
      <c r="P309" s="164"/>
      <c r="Q309" s="164"/>
      <c r="R309" s="164"/>
      <c r="S309" s="164"/>
      <c r="T309" s="164"/>
      <c r="U309" s="164"/>
      <c r="V309" s="164"/>
      <c r="W309" s="164"/>
      <c r="X309" s="164"/>
      <c r="Y309" s="164"/>
      <c r="Z309" s="164"/>
    </row>
    <row r="310">
      <c r="A310" s="164"/>
      <c r="B310" s="164"/>
      <c r="C310" s="164"/>
      <c r="D310" s="164"/>
      <c r="E310" s="164"/>
      <c r="F310" s="164"/>
      <c r="G310" s="164"/>
      <c r="H310" s="164"/>
      <c r="I310" s="164"/>
      <c r="J310" s="164"/>
      <c r="K310" s="164"/>
      <c r="L310" s="164"/>
      <c r="M310" s="164"/>
      <c r="N310" s="164"/>
      <c r="O310" s="164"/>
      <c r="P310" s="164"/>
      <c r="Q310" s="164"/>
      <c r="R310" s="164"/>
      <c r="S310" s="164"/>
      <c r="T310" s="164"/>
      <c r="U310" s="164"/>
      <c r="V310" s="164"/>
      <c r="W310" s="164"/>
      <c r="X310" s="164"/>
      <c r="Y310" s="164"/>
      <c r="Z310" s="164"/>
    </row>
    <row r="311">
      <c r="A311" s="164"/>
      <c r="B311" s="164"/>
      <c r="C311" s="164"/>
      <c r="D311" s="164"/>
      <c r="E311" s="164"/>
      <c r="F311" s="164"/>
      <c r="G311" s="164"/>
      <c r="H311" s="164"/>
      <c r="I311" s="164"/>
      <c r="J311" s="164"/>
      <c r="K311" s="164"/>
      <c r="L311" s="164"/>
      <c r="M311" s="164"/>
      <c r="N311" s="164"/>
      <c r="O311" s="164"/>
      <c r="P311" s="164"/>
      <c r="Q311" s="164"/>
      <c r="R311" s="164"/>
      <c r="S311" s="164"/>
      <c r="T311" s="164"/>
      <c r="U311" s="164"/>
      <c r="V311" s="164"/>
      <c r="W311" s="164"/>
      <c r="X311" s="164"/>
      <c r="Y311" s="164"/>
      <c r="Z311" s="164"/>
    </row>
    <row r="312">
      <c r="A312" s="164"/>
      <c r="B312" s="164"/>
      <c r="C312" s="164"/>
      <c r="D312" s="164"/>
      <c r="E312" s="164"/>
      <c r="F312" s="164"/>
      <c r="G312" s="164"/>
      <c r="H312" s="164"/>
      <c r="I312" s="164"/>
      <c r="J312" s="164"/>
      <c r="K312" s="164"/>
      <c r="L312" s="164"/>
      <c r="M312" s="164"/>
      <c r="N312" s="164"/>
      <c r="O312" s="164"/>
      <c r="P312" s="164"/>
      <c r="Q312" s="164"/>
      <c r="R312" s="164"/>
      <c r="S312" s="164"/>
      <c r="T312" s="164"/>
      <c r="U312" s="164"/>
      <c r="V312" s="164"/>
      <c r="W312" s="164"/>
      <c r="X312" s="164"/>
      <c r="Y312" s="164"/>
      <c r="Z312" s="164"/>
    </row>
    <row r="313">
      <c r="A313" s="164"/>
      <c r="B313" s="164"/>
      <c r="C313" s="164"/>
      <c r="D313" s="164"/>
      <c r="E313" s="164"/>
      <c r="F313" s="164"/>
      <c r="G313" s="164"/>
      <c r="H313" s="164"/>
      <c r="I313" s="164"/>
      <c r="J313" s="164"/>
      <c r="K313" s="164"/>
      <c r="L313" s="164"/>
      <c r="M313" s="164"/>
      <c r="N313" s="164"/>
      <c r="O313" s="164"/>
      <c r="P313" s="164"/>
      <c r="Q313" s="164"/>
      <c r="R313" s="164"/>
      <c r="S313" s="164"/>
      <c r="T313" s="164"/>
      <c r="U313" s="164"/>
      <c r="V313" s="164"/>
      <c r="W313" s="164"/>
      <c r="X313" s="164"/>
      <c r="Y313" s="164"/>
      <c r="Z313" s="164"/>
    </row>
    <row r="314">
      <c r="A314" s="164"/>
      <c r="B314" s="164"/>
      <c r="C314" s="164"/>
      <c r="D314" s="164"/>
      <c r="E314" s="164"/>
      <c r="F314" s="164"/>
      <c r="G314" s="164"/>
      <c r="H314" s="164"/>
      <c r="I314" s="164"/>
      <c r="J314" s="164"/>
      <c r="K314" s="164"/>
      <c r="L314" s="164"/>
      <c r="M314" s="164"/>
      <c r="N314" s="164"/>
      <c r="O314" s="164"/>
      <c r="P314" s="164"/>
      <c r="Q314" s="164"/>
      <c r="R314" s="164"/>
      <c r="S314" s="164"/>
      <c r="T314" s="164"/>
      <c r="U314" s="164"/>
      <c r="V314" s="164"/>
      <c r="W314" s="164"/>
      <c r="X314" s="164"/>
      <c r="Y314" s="164"/>
      <c r="Z314" s="164"/>
    </row>
    <row r="315">
      <c r="A315" s="164"/>
      <c r="B315" s="164"/>
      <c r="C315" s="164"/>
      <c r="D315" s="164"/>
      <c r="E315" s="164"/>
      <c r="F315" s="164"/>
      <c r="G315" s="164"/>
      <c r="H315" s="164"/>
      <c r="I315" s="164"/>
      <c r="J315" s="164"/>
      <c r="K315" s="164"/>
      <c r="L315" s="164"/>
      <c r="M315" s="164"/>
      <c r="N315" s="164"/>
      <c r="O315" s="164"/>
      <c r="P315" s="164"/>
      <c r="Q315" s="164"/>
      <c r="R315" s="164"/>
      <c r="S315" s="164"/>
      <c r="T315" s="164"/>
      <c r="U315" s="164"/>
      <c r="V315" s="164"/>
      <c r="W315" s="164"/>
      <c r="X315" s="164"/>
      <c r="Y315" s="164"/>
      <c r="Z315" s="164"/>
    </row>
    <row r="316">
      <c r="A316" s="164"/>
      <c r="B316" s="164"/>
      <c r="C316" s="164"/>
      <c r="D316" s="164"/>
      <c r="E316" s="164"/>
      <c r="F316" s="164"/>
      <c r="G316" s="164"/>
      <c r="H316" s="164"/>
      <c r="I316" s="164"/>
      <c r="J316" s="164"/>
      <c r="K316" s="164"/>
      <c r="L316" s="164"/>
      <c r="M316" s="164"/>
      <c r="N316" s="164"/>
      <c r="O316" s="164"/>
      <c r="P316" s="164"/>
      <c r="Q316" s="164"/>
      <c r="R316" s="164"/>
      <c r="S316" s="164"/>
      <c r="T316" s="164"/>
      <c r="U316" s="164"/>
      <c r="V316" s="164"/>
      <c r="W316" s="164"/>
      <c r="X316" s="164"/>
      <c r="Y316" s="164"/>
      <c r="Z316" s="164"/>
    </row>
    <row r="317">
      <c r="A317" s="164"/>
      <c r="B317" s="164"/>
      <c r="C317" s="164"/>
      <c r="D317" s="164"/>
      <c r="E317" s="164"/>
      <c r="F317" s="164"/>
      <c r="G317" s="164"/>
      <c r="H317" s="164"/>
      <c r="I317" s="164"/>
      <c r="J317" s="164"/>
      <c r="K317" s="164"/>
      <c r="L317" s="164"/>
      <c r="M317" s="164"/>
      <c r="N317" s="164"/>
      <c r="O317" s="164"/>
      <c r="P317" s="164"/>
      <c r="Q317" s="164"/>
      <c r="R317" s="164"/>
      <c r="S317" s="164"/>
      <c r="T317" s="164"/>
      <c r="U317" s="164"/>
      <c r="V317" s="164"/>
      <c r="W317" s="164"/>
      <c r="X317" s="164"/>
      <c r="Y317" s="164"/>
      <c r="Z317" s="164"/>
    </row>
    <row r="318">
      <c r="A318" s="164"/>
      <c r="B318" s="164"/>
      <c r="C318" s="164"/>
      <c r="D318" s="164"/>
      <c r="E318" s="164"/>
      <c r="F318" s="164"/>
      <c r="G318" s="164"/>
      <c r="H318" s="164"/>
      <c r="I318" s="164"/>
      <c r="J318" s="164"/>
      <c r="K318" s="164"/>
      <c r="L318" s="164"/>
      <c r="M318" s="164"/>
      <c r="N318" s="164"/>
      <c r="O318" s="164"/>
      <c r="P318" s="164"/>
      <c r="Q318" s="164"/>
      <c r="R318" s="164"/>
      <c r="S318" s="164"/>
      <c r="T318" s="164"/>
      <c r="U318" s="164"/>
      <c r="V318" s="164"/>
      <c r="W318" s="164"/>
      <c r="X318" s="164"/>
      <c r="Y318" s="164"/>
      <c r="Z318" s="164"/>
    </row>
    <row r="319">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row>
    <row r="320">
      <c r="A320" s="164"/>
      <c r="B320" s="164"/>
      <c r="C320" s="164"/>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row>
    <row r="321">
      <c r="A321" s="164"/>
      <c r="B321" s="164"/>
      <c r="C321" s="164"/>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row>
    <row r="322">
      <c r="A322" s="164"/>
      <c r="B322" s="164"/>
      <c r="C322" s="164"/>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row>
    <row r="323">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row>
    <row r="324">
      <c r="A324" s="164"/>
      <c r="B324" s="164"/>
      <c r="C324" s="164"/>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row>
    <row r="325">
      <c r="A325" s="164"/>
      <c r="B325" s="164"/>
      <c r="C325" s="164"/>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row>
    <row r="326">
      <c r="A326" s="164"/>
      <c r="B326" s="164"/>
      <c r="C326" s="164"/>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row>
    <row r="327">
      <c r="A327" s="164"/>
      <c r="B327" s="164"/>
      <c r="C327" s="164"/>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row>
    <row r="328">
      <c r="A328" s="164"/>
      <c r="B328" s="164"/>
      <c r="C328" s="164"/>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row>
    <row r="329">
      <c r="A329" s="164"/>
      <c r="B329" s="164"/>
      <c r="C329" s="164"/>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row>
    <row r="330">
      <c r="A330" s="164"/>
      <c r="B330" s="164"/>
      <c r="C330" s="164"/>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row>
    <row r="331">
      <c r="A331" s="164"/>
      <c r="B331" s="164"/>
      <c r="C331" s="164"/>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row>
    <row r="332">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row>
    <row r="333">
      <c r="A333" s="164"/>
      <c r="B333" s="164"/>
      <c r="C333" s="164"/>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row>
    <row r="334">
      <c r="A334" s="164"/>
      <c r="B334" s="164"/>
      <c r="C334" s="164"/>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row>
    <row r="335">
      <c r="A335" s="164"/>
      <c r="B335" s="164"/>
      <c r="C335" s="164"/>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row>
    <row r="336">
      <c r="A336" s="164"/>
      <c r="B336" s="164"/>
      <c r="C336" s="164"/>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row>
    <row r="337">
      <c r="A337" s="164"/>
      <c r="B337" s="164"/>
      <c r="C337" s="164"/>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row>
    <row r="338">
      <c r="A338" s="164"/>
      <c r="B338" s="164"/>
      <c r="C338" s="164"/>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row>
    <row r="339">
      <c r="A339" s="164"/>
      <c r="B339" s="164"/>
      <c r="C339" s="164"/>
      <c r="D339" s="164"/>
      <c r="E339" s="164"/>
      <c r="F339" s="164"/>
      <c r="G339" s="164"/>
      <c r="H339" s="164"/>
      <c r="I339" s="164"/>
      <c r="J339" s="164"/>
      <c r="K339" s="164"/>
      <c r="L339" s="164"/>
      <c r="M339" s="164"/>
      <c r="N339" s="164"/>
      <c r="O339" s="164"/>
      <c r="P339" s="164"/>
      <c r="Q339" s="164"/>
      <c r="R339" s="164"/>
      <c r="S339" s="164"/>
      <c r="T339" s="164"/>
      <c r="U339" s="164"/>
      <c r="V339" s="164"/>
      <c r="W339" s="164"/>
      <c r="X339" s="164"/>
      <c r="Y339" s="164"/>
      <c r="Z339" s="164"/>
    </row>
    <row r="340">
      <c r="A340" s="164"/>
      <c r="B340" s="164"/>
      <c r="C340" s="164"/>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row>
    <row r="341">
      <c r="A341" s="164"/>
      <c r="B341" s="164"/>
      <c r="C341" s="164"/>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row>
    <row r="342">
      <c r="A342" s="164"/>
      <c r="B342" s="164"/>
      <c r="C342" s="164"/>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row>
    <row r="343">
      <c r="A343" s="164"/>
      <c r="B343" s="164"/>
      <c r="C343" s="164"/>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row>
    <row r="344">
      <c r="A344" s="164"/>
      <c r="B344" s="164"/>
      <c r="C344" s="164"/>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row>
    <row r="345">
      <c r="A345" s="164"/>
      <c r="B345" s="164"/>
      <c r="C345" s="164"/>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row>
    <row r="346">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row>
    <row r="347">
      <c r="A347" s="164"/>
      <c r="B347" s="164"/>
      <c r="C347" s="164"/>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row>
    <row r="348">
      <c r="A348" s="164"/>
      <c r="B348" s="164"/>
      <c r="C348" s="164"/>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row>
    <row r="349">
      <c r="A349" s="164"/>
      <c r="B349" s="164"/>
      <c r="C349" s="164"/>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row>
    <row r="350">
      <c r="A350" s="164"/>
      <c r="B350" s="164"/>
      <c r="C350" s="164"/>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row>
    <row r="351">
      <c r="A351" s="164"/>
      <c r="B351" s="164"/>
      <c r="C351" s="164"/>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row>
    <row r="352">
      <c r="A352" s="164"/>
      <c r="B352" s="164"/>
      <c r="C352" s="164"/>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row>
    <row r="353">
      <c r="A353" s="164"/>
      <c r="B353" s="164"/>
      <c r="C353" s="164"/>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row>
    <row r="354">
      <c r="A354" s="164"/>
      <c r="B354" s="164"/>
      <c r="C354" s="164"/>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row>
    <row r="355">
      <c r="A355" s="164"/>
      <c r="B355" s="164"/>
      <c r="C355" s="164"/>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row>
    <row r="356">
      <c r="A356" s="164"/>
      <c r="B356" s="164"/>
      <c r="C356" s="164"/>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row>
    <row r="357">
      <c r="A357" s="164"/>
      <c r="B357" s="164"/>
      <c r="C357" s="164"/>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row>
    <row r="358">
      <c r="A358" s="164"/>
      <c r="B358" s="164"/>
      <c r="C358" s="164"/>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row>
    <row r="359">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row>
    <row r="360">
      <c r="A360" s="164"/>
      <c r="B360" s="164"/>
      <c r="C360" s="164"/>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row>
    <row r="361">
      <c r="A361" s="164"/>
      <c r="B361" s="164"/>
      <c r="C361" s="164"/>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row>
    <row r="362">
      <c r="A362" s="164"/>
      <c r="B362" s="164"/>
      <c r="C362" s="164"/>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row>
    <row r="363">
      <c r="A363" s="164"/>
      <c r="B363" s="164"/>
      <c r="C363" s="164"/>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row>
    <row r="364">
      <c r="A364" s="164"/>
      <c r="B364" s="164"/>
      <c r="C364" s="164"/>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row>
    <row r="365">
      <c r="A365" s="164"/>
      <c r="B365" s="164"/>
      <c r="C365" s="164"/>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row>
    <row r="366">
      <c r="A366" s="164"/>
      <c r="B366" s="164"/>
      <c r="C366" s="164"/>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row>
    <row r="367">
      <c r="A367" s="164"/>
      <c r="B367" s="164"/>
      <c r="C367" s="164"/>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row>
    <row r="368">
      <c r="A368" s="164"/>
      <c r="B368" s="164"/>
      <c r="C368" s="164"/>
      <c r="D368" s="164"/>
      <c r="E368" s="164"/>
      <c r="F368" s="164"/>
      <c r="G368" s="164"/>
      <c r="H368" s="164"/>
      <c r="I368" s="164"/>
      <c r="J368" s="164"/>
      <c r="K368" s="164"/>
      <c r="L368" s="164"/>
      <c r="M368" s="164"/>
      <c r="N368" s="164"/>
      <c r="O368" s="164"/>
      <c r="P368" s="164"/>
      <c r="Q368" s="164"/>
      <c r="R368" s="164"/>
      <c r="S368" s="164"/>
      <c r="T368" s="164"/>
      <c r="U368" s="164"/>
      <c r="V368" s="164"/>
      <c r="W368" s="164"/>
      <c r="X368" s="164"/>
      <c r="Y368" s="164"/>
      <c r="Z368" s="164"/>
    </row>
    <row r="369">
      <c r="A369" s="164"/>
      <c r="B369" s="164"/>
      <c r="C369" s="164"/>
      <c r="D369" s="164"/>
      <c r="E369" s="164"/>
      <c r="F369" s="164"/>
      <c r="G369" s="164"/>
      <c r="H369" s="164"/>
      <c r="I369" s="164"/>
      <c r="J369" s="164"/>
      <c r="K369" s="164"/>
      <c r="L369" s="164"/>
      <c r="M369" s="164"/>
      <c r="N369" s="164"/>
      <c r="O369" s="164"/>
      <c r="P369" s="164"/>
      <c r="Q369" s="164"/>
      <c r="R369" s="164"/>
      <c r="S369" s="164"/>
      <c r="T369" s="164"/>
      <c r="U369" s="164"/>
      <c r="V369" s="164"/>
      <c r="W369" s="164"/>
      <c r="X369" s="164"/>
      <c r="Y369" s="164"/>
      <c r="Z369" s="164"/>
    </row>
    <row r="370">
      <c r="A370" s="164"/>
      <c r="B370" s="164"/>
      <c r="C370" s="164"/>
      <c r="D370" s="164"/>
      <c r="E370" s="164"/>
      <c r="F370" s="164"/>
      <c r="G370" s="164"/>
      <c r="H370" s="164"/>
      <c r="I370" s="164"/>
      <c r="J370" s="164"/>
      <c r="K370" s="164"/>
      <c r="L370" s="164"/>
      <c r="M370" s="164"/>
      <c r="N370" s="164"/>
      <c r="O370" s="164"/>
      <c r="P370" s="164"/>
      <c r="Q370" s="164"/>
      <c r="R370" s="164"/>
      <c r="S370" s="164"/>
      <c r="T370" s="164"/>
      <c r="U370" s="164"/>
      <c r="V370" s="164"/>
      <c r="W370" s="164"/>
      <c r="X370" s="164"/>
      <c r="Y370" s="164"/>
      <c r="Z370" s="164"/>
    </row>
    <row r="371">
      <c r="A371" s="164"/>
      <c r="B371" s="164"/>
      <c r="C371" s="164"/>
      <c r="D371" s="164"/>
      <c r="E371" s="164"/>
      <c r="F371" s="164"/>
      <c r="G371" s="164"/>
      <c r="H371" s="164"/>
      <c r="I371" s="164"/>
      <c r="J371" s="164"/>
      <c r="K371" s="164"/>
      <c r="L371" s="164"/>
      <c r="M371" s="164"/>
      <c r="N371" s="164"/>
      <c r="O371" s="164"/>
      <c r="P371" s="164"/>
      <c r="Q371" s="164"/>
      <c r="R371" s="164"/>
      <c r="S371" s="164"/>
      <c r="T371" s="164"/>
      <c r="U371" s="164"/>
      <c r="V371" s="164"/>
      <c r="W371" s="164"/>
      <c r="X371" s="164"/>
      <c r="Y371" s="164"/>
      <c r="Z371" s="164"/>
    </row>
    <row r="372">
      <c r="A372" s="164"/>
      <c r="B372" s="164"/>
      <c r="C372" s="164"/>
      <c r="D372" s="164"/>
      <c r="E372" s="164"/>
      <c r="F372" s="164"/>
      <c r="G372" s="164"/>
      <c r="H372" s="164"/>
      <c r="I372" s="164"/>
      <c r="J372" s="164"/>
      <c r="K372" s="164"/>
      <c r="L372" s="164"/>
      <c r="M372" s="164"/>
      <c r="N372" s="164"/>
      <c r="O372" s="164"/>
      <c r="P372" s="164"/>
      <c r="Q372" s="164"/>
      <c r="R372" s="164"/>
      <c r="S372" s="164"/>
      <c r="T372" s="164"/>
      <c r="U372" s="164"/>
      <c r="V372" s="164"/>
      <c r="W372" s="164"/>
      <c r="X372" s="164"/>
      <c r="Y372" s="164"/>
      <c r="Z372" s="164"/>
    </row>
    <row r="373">
      <c r="A373" s="164"/>
      <c r="B373" s="164"/>
      <c r="C373" s="164"/>
      <c r="D373" s="164"/>
      <c r="E373" s="164"/>
      <c r="F373" s="164"/>
      <c r="G373" s="164"/>
      <c r="H373" s="164"/>
      <c r="I373" s="164"/>
      <c r="J373" s="164"/>
      <c r="K373" s="164"/>
      <c r="L373" s="164"/>
      <c r="M373" s="164"/>
      <c r="N373" s="164"/>
      <c r="O373" s="164"/>
      <c r="P373" s="164"/>
      <c r="Q373" s="164"/>
      <c r="R373" s="164"/>
      <c r="S373" s="164"/>
      <c r="T373" s="164"/>
      <c r="U373" s="164"/>
      <c r="V373" s="164"/>
      <c r="W373" s="164"/>
      <c r="X373" s="164"/>
      <c r="Y373" s="164"/>
      <c r="Z373" s="164"/>
    </row>
    <row r="374">
      <c r="A374" s="164"/>
      <c r="B374" s="164"/>
      <c r="C374" s="164"/>
      <c r="D374" s="164"/>
      <c r="E374" s="164"/>
      <c r="F374" s="164"/>
      <c r="G374" s="164"/>
      <c r="H374" s="164"/>
      <c r="I374" s="164"/>
      <c r="J374" s="164"/>
      <c r="K374" s="164"/>
      <c r="L374" s="164"/>
      <c r="M374" s="164"/>
      <c r="N374" s="164"/>
      <c r="O374" s="164"/>
      <c r="P374" s="164"/>
      <c r="Q374" s="164"/>
      <c r="R374" s="164"/>
      <c r="S374" s="164"/>
      <c r="T374" s="164"/>
      <c r="U374" s="164"/>
      <c r="V374" s="164"/>
      <c r="W374" s="164"/>
      <c r="X374" s="164"/>
      <c r="Y374" s="164"/>
      <c r="Z374" s="164"/>
    </row>
    <row r="375">
      <c r="A375" s="164"/>
      <c r="B375" s="164"/>
      <c r="C375" s="164"/>
      <c r="D375" s="164"/>
      <c r="E375" s="164"/>
      <c r="F375" s="164"/>
      <c r="G375" s="164"/>
      <c r="H375" s="164"/>
      <c r="I375" s="164"/>
      <c r="J375" s="164"/>
      <c r="K375" s="164"/>
      <c r="L375" s="164"/>
      <c r="M375" s="164"/>
      <c r="N375" s="164"/>
      <c r="O375" s="164"/>
      <c r="P375" s="164"/>
      <c r="Q375" s="164"/>
      <c r="R375" s="164"/>
      <c r="S375" s="164"/>
      <c r="T375" s="164"/>
      <c r="U375" s="164"/>
      <c r="V375" s="164"/>
      <c r="W375" s="164"/>
      <c r="X375" s="164"/>
      <c r="Y375" s="164"/>
      <c r="Z375" s="164"/>
    </row>
    <row r="376">
      <c r="A376" s="164"/>
      <c r="B376" s="164"/>
      <c r="C376" s="164"/>
      <c r="D376" s="164"/>
      <c r="E376" s="164"/>
      <c r="F376" s="164"/>
      <c r="G376" s="164"/>
      <c r="H376" s="164"/>
      <c r="I376" s="164"/>
      <c r="J376" s="164"/>
      <c r="K376" s="164"/>
      <c r="L376" s="164"/>
      <c r="M376" s="164"/>
      <c r="N376" s="164"/>
      <c r="O376" s="164"/>
      <c r="P376" s="164"/>
      <c r="Q376" s="164"/>
      <c r="R376" s="164"/>
      <c r="S376" s="164"/>
      <c r="T376" s="164"/>
      <c r="U376" s="164"/>
      <c r="V376" s="164"/>
      <c r="W376" s="164"/>
      <c r="X376" s="164"/>
      <c r="Y376" s="164"/>
      <c r="Z376" s="164"/>
    </row>
    <row r="377">
      <c r="A377" s="164"/>
      <c r="B377" s="164"/>
      <c r="C377" s="164"/>
      <c r="D377" s="164"/>
      <c r="E377" s="164"/>
      <c r="F377" s="164"/>
      <c r="G377" s="164"/>
      <c r="H377" s="164"/>
      <c r="I377" s="164"/>
      <c r="J377" s="164"/>
      <c r="K377" s="164"/>
      <c r="L377" s="164"/>
      <c r="M377" s="164"/>
      <c r="N377" s="164"/>
      <c r="O377" s="164"/>
      <c r="P377" s="164"/>
      <c r="Q377" s="164"/>
      <c r="R377" s="164"/>
      <c r="S377" s="164"/>
      <c r="T377" s="164"/>
      <c r="U377" s="164"/>
      <c r="V377" s="164"/>
      <c r="W377" s="164"/>
      <c r="X377" s="164"/>
      <c r="Y377" s="164"/>
      <c r="Z377" s="164"/>
    </row>
    <row r="378">
      <c r="A378" s="164"/>
      <c r="B378" s="164"/>
      <c r="C378" s="164"/>
      <c r="D378" s="164"/>
      <c r="E378" s="164"/>
      <c r="F378" s="164"/>
      <c r="G378" s="164"/>
      <c r="H378" s="164"/>
      <c r="I378" s="164"/>
      <c r="J378" s="164"/>
      <c r="K378" s="164"/>
      <c r="L378" s="164"/>
      <c r="M378" s="164"/>
      <c r="N378" s="164"/>
      <c r="O378" s="164"/>
      <c r="P378" s="164"/>
      <c r="Q378" s="164"/>
      <c r="R378" s="164"/>
      <c r="S378" s="164"/>
      <c r="T378" s="164"/>
      <c r="U378" s="164"/>
      <c r="V378" s="164"/>
      <c r="W378" s="164"/>
      <c r="X378" s="164"/>
      <c r="Y378" s="164"/>
      <c r="Z378" s="164"/>
    </row>
    <row r="379">
      <c r="A379" s="164"/>
      <c r="B379" s="164"/>
      <c r="C379" s="164"/>
      <c r="D379" s="164"/>
      <c r="E379" s="164"/>
      <c r="F379" s="164"/>
      <c r="G379" s="164"/>
      <c r="H379" s="164"/>
      <c r="I379" s="164"/>
      <c r="J379" s="164"/>
      <c r="K379" s="164"/>
      <c r="L379" s="164"/>
      <c r="M379" s="164"/>
      <c r="N379" s="164"/>
      <c r="O379" s="164"/>
      <c r="P379" s="164"/>
      <c r="Q379" s="164"/>
      <c r="R379" s="164"/>
      <c r="S379" s="164"/>
      <c r="T379" s="164"/>
      <c r="U379" s="164"/>
      <c r="V379" s="164"/>
      <c r="W379" s="164"/>
      <c r="X379" s="164"/>
      <c r="Y379" s="164"/>
      <c r="Z379" s="164"/>
    </row>
    <row r="380">
      <c r="A380" s="164"/>
      <c r="B380" s="164"/>
      <c r="C380" s="164"/>
      <c r="D380" s="164"/>
      <c r="E380" s="164"/>
      <c r="F380" s="164"/>
      <c r="G380" s="164"/>
      <c r="H380" s="164"/>
      <c r="I380" s="164"/>
      <c r="J380" s="164"/>
      <c r="K380" s="164"/>
      <c r="L380" s="164"/>
      <c r="M380" s="164"/>
      <c r="N380" s="164"/>
      <c r="O380" s="164"/>
      <c r="P380" s="164"/>
      <c r="Q380" s="164"/>
      <c r="R380" s="164"/>
      <c r="S380" s="164"/>
      <c r="T380" s="164"/>
      <c r="U380" s="164"/>
      <c r="V380" s="164"/>
      <c r="W380" s="164"/>
      <c r="X380" s="164"/>
      <c r="Y380" s="164"/>
      <c r="Z380" s="164"/>
    </row>
    <row r="381">
      <c r="A381" s="164"/>
      <c r="B381" s="164"/>
      <c r="C381" s="164"/>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row>
    <row r="382">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row>
    <row r="383">
      <c r="A383" s="164"/>
      <c r="B383" s="164"/>
      <c r="C383" s="164"/>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row>
    <row r="384">
      <c r="A384" s="164"/>
      <c r="B384" s="164"/>
      <c r="C384" s="164"/>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row>
    <row r="385">
      <c r="A385" s="164"/>
      <c r="B385" s="164"/>
      <c r="C385" s="164"/>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row>
    <row r="386">
      <c r="A386" s="164"/>
      <c r="B386" s="164"/>
      <c r="C386" s="164"/>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row>
    <row r="387">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row>
    <row r="388">
      <c r="A388" s="164"/>
      <c r="B388" s="164"/>
      <c r="C388" s="164"/>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row>
    <row r="389">
      <c r="A389" s="164"/>
      <c r="B389" s="164"/>
      <c r="C389" s="164"/>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row>
    <row r="390">
      <c r="A390" s="164"/>
      <c r="B390" s="164"/>
      <c r="C390" s="164"/>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row>
    <row r="391">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row>
    <row r="392">
      <c r="A392" s="164"/>
      <c r="B392" s="164"/>
      <c r="C392" s="164"/>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row>
    <row r="393">
      <c r="A393" s="164"/>
      <c r="B393" s="164"/>
      <c r="C393" s="164"/>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row>
    <row r="394">
      <c r="A394" s="164"/>
      <c r="B394" s="164"/>
      <c r="C394" s="164"/>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row>
    <row r="395">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row>
    <row r="396">
      <c r="A396" s="164"/>
      <c r="B396" s="164"/>
      <c r="C396" s="164"/>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row>
    <row r="397">
      <c r="A397" s="164"/>
      <c r="B397" s="164"/>
      <c r="C397" s="164"/>
      <c r="D397" s="164"/>
      <c r="E397" s="164"/>
      <c r="F397" s="164"/>
      <c r="G397" s="164"/>
      <c r="H397" s="164"/>
      <c r="I397" s="164"/>
      <c r="J397" s="164"/>
      <c r="K397" s="164"/>
      <c r="L397" s="164"/>
      <c r="M397" s="164"/>
      <c r="N397" s="164"/>
      <c r="O397" s="164"/>
      <c r="P397" s="164"/>
      <c r="Q397" s="164"/>
      <c r="R397" s="164"/>
      <c r="S397" s="164"/>
      <c r="T397" s="164"/>
      <c r="U397" s="164"/>
      <c r="V397" s="164"/>
      <c r="W397" s="164"/>
      <c r="X397" s="164"/>
      <c r="Y397" s="164"/>
      <c r="Z397" s="164"/>
    </row>
    <row r="398">
      <c r="A398" s="164"/>
      <c r="B398" s="164"/>
      <c r="C398" s="164"/>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row>
    <row r="399">
      <c r="A399" s="164"/>
      <c r="B399" s="164"/>
      <c r="C399" s="164"/>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row>
    <row r="400">
      <c r="A400" s="164"/>
      <c r="B400" s="164"/>
      <c r="C400" s="164"/>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row>
    <row r="401">
      <c r="A401" s="164"/>
      <c r="B401" s="164"/>
      <c r="C401" s="164"/>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row>
    <row r="402">
      <c r="A402" s="164"/>
      <c r="B402" s="164"/>
      <c r="C402" s="164"/>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row>
    <row r="403">
      <c r="A403" s="164"/>
      <c r="B403" s="164"/>
      <c r="C403" s="164"/>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row>
    <row r="404">
      <c r="A404" s="164"/>
      <c r="B404" s="164"/>
      <c r="C404" s="164"/>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row>
    <row r="405">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row>
    <row r="406">
      <c r="A406" s="164"/>
      <c r="B406" s="164"/>
      <c r="C406" s="164"/>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row>
    <row r="407">
      <c r="A407" s="164"/>
      <c r="B407" s="164"/>
      <c r="C407" s="164"/>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row>
    <row r="408">
      <c r="A408" s="164"/>
      <c r="B408" s="164"/>
      <c r="C408" s="164"/>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row>
    <row r="409">
      <c r="A409" s="164"/>
      <c r="B409" s="164"/>
      <c r="C409" s="164"/>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row>
    <row r="410">
      <c r="A410" s="164"/>
      <c r="B410" s="164"/>
      <c r="C410" s="164"/>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row>
    <row r="411">
      <c r="A411" s="164"/>
      <c r="B411" s="164"/>
      <c r="C411" s="164"/>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row>
    <row r="412">
      <c r="A412" s="164"/>
      <c r="B412" s="164"/>
      <c r="C412" s="164"/>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row>
    <row r="413">
      <c r="A413" s="164"/>
      <c r="B413" s="164"/>
      <c r="C413" s="164"/>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row>
    <row r="414">
      <c r="A414" s="164"/>
      <c r="B414" s="164"/>
      <c r="C414" s="164"/>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row>
    <row r="415">
      <c r="A415" s="164"/>
      <c r="B415" s="164"/>
      <c r="C415" s="164"/>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row>
    <row r="416">
      <c r="A416" s="164"/>
      <c r="B416" s="164"/>
      <c r="C416" s="164"/>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row>
    <row r="417">
      <c r="A417" s="164"/>
      <c r="B417" s="164"/>
      <c r="C417" s="164"/>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row>
    <row r="418">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row>
    <row r="419">
      <c r="A419" s="164"/>
      <c r="B419" s="164"/>
      <c r="C419" s="164"/>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row>
    <row r="420">
      <c r="A420" s="164"/>
      <c r="B420" s="164"/>
      <c r="C420" s="164"/>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row>
    <row r="421">
      <c r="A421" s="164"/>
      <c r="B421" s="164"/>
      <c r="C421" s="164"/>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row>
    <row r="422">
      <c r="A422" s="164"/>
      <c r="B422" s="164"/>
      <c r="C422" s="164"/>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row>
    <row r="423">
      <c r="A423" s="164"/>
      <c r="B423" s="164"/>
      <c r="C423" s="164"/>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row>
    <row r="424">
      <c r="A424" s="164"/>
      <c r="B424" s="164"/>
      <c r="C424" s="164"/>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row>
    <row r="425">
      <c r="A425" s="164"/>
      <c r="B425" s="164"/>
      <c r="C425" s="164"/>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row>
    <row r="426">
      <c r="A426" s="164"/>
      <c r="B426" s="164"/>
      <c r="C426" s="164"/>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row>
    <row r="427">
      <c r="A427" s="164"/>
      <c r="B427" s="164"/>
      <c r="C427" s="164"/>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row>
    <row r="428">
      <c r="A428" s="164"/>
      <c r="B428" s="164"/>
      <c r="C428" s="164"/>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row>
    <row r="429">
      <c r="A429" s="164"/>
      <c r="B429" s="164"/>
      <c r="C429" s="164"/>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row>
    <row r="430">
      <c r="A430" s="164"/>
      <c r="B430" s="164"/>
      <c r="C430" s="164"/>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row>
    <row r="431">
      <c r="A431" s="164"/>
      <c r="B431" s="164"/>
      <c r="C431" s="164"/>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row>
    <row r="432">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row>
    <row r="433">
      <c r="A433" s="164"/>
      <c r="B433" s="164"/>
      <c r="C433" s="164"/>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row>
    <row r="434">
      <c r="A434" s="164"/>
      <c r="B434" s="164"/>
      <c r="C434" s="164"/>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row>
    <row r="435">
      <c r="A435" s="164"/>
      <c r="B435" s="164"/>
      <c r="C435" s="164"/>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row>
    <row r="436">
      <c r="A436" s="164"/>
      <c r="B436" s="164"/>
      <c r="C436" s="164"/>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row>
    <row r="437">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row>
    <row r="438">
      <c r="A438" s="164"/>
      <c r="B438" s="164"/>
      <c r="C438" s="164"/>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row>
    <row r="439">
      <c r="A439" s="164"/>
      <c r="B439" s="164"/>
      <c r="C439" s="164"/>
      <c r="D439" s="164"/>
      <c r="E439" s="164"/>
      <c r="F439" s="164"/>
      <c r="G439" s="164"/>
      <c r="H439" s="164"/>
      <c r="I439" s="164"/>
      <c r="J439" s="164"/>
      <c r="K439" s="164"/>
      <c r="L439" s="164"/>
      <c r="M439" s="164"/>
      <c r="N439" s="164"/>
      <c r="O439" s="164"/>
      <c r="P439" s="164"/>
      <c r="Q439" s="164"/>
      <c r="R439" s="164"/>
      <c r="S439" s="164"/>
      <c r="T439" s="164"/>
      <c r="U439" s="164"/>
      <c r="V439" s="164"/>
      <c r="W439" s="164"/>
      <c r="X439" s="164"/>
      <c r="Y439" s="164"/>
      <c r="Z439" s="164"/>
    </row>
    <row r="440">
      <c r="A440" s="164"/>
      <c r="B440" s="164"/>
      <c r="C440" s="164"/>
      <c r="D440" s="164"/>
      <c r="E440" s="164"/>
      <c r="F440" s="164"/>
      <c r="G440" s="164"/>
      <c r="H440" s="164"/>
      <c r="I440" s="164"/>
      <c r="J440" s="164"/>
      <c r="K440" s="164"/>
      <c r="L440" s="164"/>
      <c r="M440" s="164"/>
      <c r="N440" s="164"/>
      <c r="O440" s="164"/>
      <c r="P440" s="164"/>
      <c r="Q440" s="164"/>
      <c r="R440" s="164"/>
      <c r="S440" s="164"/>
      <c r="T440" s="164"/>
      <c r="U440" s="164"/>
      <c r="V440" s="164"/>
      <c r="W440" s="164"/>
      <c r="X440" s="164"/>
      <c r="Y440" s="164"/>
      <c r="Z440" s="164"/>
    </row>
    <row r="441">
      <c r="A441" s="164"/>
      <c r="B441" s="164"/>
      <c r="C441" s="164"/>
      <c r="D441" s="164"/>
      <c r="E441" s="164"/>
      <c r="F441" s="164"/>
      <c r="G441" s="164"/>
      <c r="H441" s="164"/>
      <c r="I441" s="164"/>
      <c r="J441" s="164"/>
      <c r="K441" s="164"/>
      <c r="L441" s="164"/>
      <c r="M441" s="164"/>
      <c r="N441" s="164"/>
      <c r="O441" s="164"/>
      <c r="P441" s="164"/>
      <c r="Q441" s="164"/>
      <c r="R441" s="164"/>
      <c r="S441" s="164"/>
      <c r="T441" s="164"/>
      <c r="U441" s="164"/>
      <c r="V441" s="164"/>
      <c r="W441" s="164"/>
      <c r="X441" s="164"/>
      <c r="Y441" s="164"/>
      <c r="Z441" s="164"/>
    </row>
    <row r="442">
      <c r="A442" s="164"/>
      <c r="B442" s="164"/>
      <c r="C442" s="164"/>
      <c r="D442" s="164"/>
      <c r="E442" s="164"/>
      <c r="F442" s="164"/>
      <c r="G442" s="164"/>
      <c r="H442" s="164"/>
      <c r="I442" s="164"/>
      <c r="J442" s="164"/>
      <c r="K442" s="164"/>
      <c r="L442" s="164"/>
      <c r="M442" s="164"/>
      <c r="N442" s="164"/>
      <c r="O442" s="164"/>
      <c r="P442" s="164"/>
      <c r="Q442" s="164"/>
      <c r="R442" s="164"/>
      <c r="S442" s="164"/>
      <c r="T442" s="164"/>
      <c r="U442" s="164"/>
      <c r="V442" s="164"/>
      <c r="W442" s="164"/>
      <c r="X442" s="164"/>
      <c r="Y442" s="164"/>
      <c r="Z442" s="164"/>
    </row>
    <row r="443">
      <c r="A443" s="164"/>
      <c r="B443" s="164"/>
      <c r="C443" s="164"/>
      <c r="D443" s="164"/>
      <c r="E443" s="164"/>
      <c r="F443" s="164"/>
      <c r="G443" s="164"/>
      <c r="H443" s="164"/>
      <c r="I443" s="164"/>
      <c r="J443" s="164"/>
      <c r="K443" s="164"/>
      <c r="L443" s="164"/>
      <c r="M443" s="164"/>
      <c r="N443" s="164"/>
      <c r="O443" s="164"/>
      <c r="P443" s="164"/>
      <c r="Q443" s="164"/>
      <c r="R443" s="164"/>
      <c r="S443" s="164"/>
      <c r="T443" s="164"/>
      <c r="U443" s="164"/>
      <c r="V443" s="164"/>
      <c r="W443" s="164"/>
      <c r="X443" s="164"/>
      <c r="Y443" s="164"/>
      <c r="Z443" s="164"/>
    </row>
    <row r="444">
      <c r="A444" s="164"/>
      <c r="B444" s="164"/>
      <c r="C444" s="164"/>
      <c r="D444" s="164"/>
      <c r="E444" s="164"/>
      <c r="F444" s="164"/>
      <c r="G444" s="164"/>
      <c r="H444" s="164"/>
      <c r="I444" s="164"/>
      <c r="J444" s="164"/>
      <c r="K444" s="164"/>
      <c r="L444" s="164"/>
      <c r="M444" s="164"/>
      <c r="N444" s="164"/>
      <c r="O444" s="164"/>
      <c r="P444" s="164"/>
      <c r="Q444" s="164"/>
      <c r="R444" s="164"/>
      <c r="S444" s="164"/>
      <c r="T444" s="164"/>
      <c r="U444" s="164"/>
      <c r="V444" s="164"/>
      <c r="W444" s="164"/>
      <c r="X444" s="164"/>
      <c r="Y444" s="164"/>
      <c r="Z444" s="164"/>
    </row>
    <row r="445">
      <c r="A445" s="164"/>
      <c r="B445" s="164"/>
      <c r="C445" s="164"/>
      <c r="D445" s="164"/>
      <c r="E445" s="164"/>
      <c r="F445" s="164"/>
      <c r="G445" s="164"/>
      <c r="H445" s="164"/>
      <c r="I445" s="164"/>
      <c r="J445" s="164"/>
      <c r="K445" s="164"/>
      <c r="L445" s="164"/>
      <c r="M445" s="164"/>
      <c r="N445" s="164"/>
      <c r="O445" s="164"/>
      <c r="P445" s="164"/>
      <c r="Q445" s="164"/>
      <c r="R445" s="164"/>
      <c r="S445" s="164"/>
      <c r="T445" s="164"/>
      <c r="U445" s="164"/>
      <c r="V445" s="164"/>
      <c r="W445" s="164"/>
      <c r="X445" s="164"/>
      <c r="Y445" s="164"/>
      <c r="Z445" s="164"/>
    </row>
    <row r="446">
      <c r="A446" s="164"/>
      <c r="B446" s="164"/>
      <c r="C446" s="164"/>
      <c r="D446" s="164"/>
      <c r="E446" s="164"/>
      <c r="F446" s="164"/>
      <c r="G446" s="164"/>
      <c r="H446" s="164"/>
      <c r="I446" s="164"/>
      <c r="J446" s="164"/>
      <c r="K446" s="164"/>
      <c r="L446" s="164"/>
      <c r="M446" s="164"/>
      <c r="N446" s="164"/>
      <c r="O446" s="164"/>
      <c r="P446" s="164"/>
      <c r="Q446" s="164"/>
      <c r="R446" s="164"/>
      <c r="S446" s="164"/>
      <c r="T446" s="164"/>
      <c r="U446" s="164"/>
      <c r="V446" s="164"/>
      <c r="W446" s="164"/>
      <c r="X446" s="164"/>
      <c r="Y446" s="164"/>
      <c r="Z446" s="164"/>
    </row>
    <row r="447">
      <c r="A447" s="164"/>
      <c r="B447" s="164"/>
      <c r="C447" s="164"/>
      <c r="D447" s="164"/>
      <c r="E447" s="164"/>
      <c r="F447" s="164"/>
      <c r="G447" s="164"/>
      <c r="H447" s="164"/>
      <c r="I447" s="164"/>
      <c r="J447" s="164"/>
      <c r="K447" s="164"/>
      <c r="L447" s="164"/>
      <c r="M447" s="164"/>
      <c r="N447" s="164"/>
      <c r="O447" s="164"/>
      <c r="P447" s="164"/>
      <c r="Q447" s="164"/>
      <c r="R447" s="164"/>
      <c r="S447" s="164"/>
      <c r="T447" s="164"/>
      <c r="U447" s="164"/>
      <c r="V447" s="164"/>
      <c r="W447" s="164"/>
      <c r="X447" s="164"/>
      <c r="Y447" s="164"/>
      <c r="Z447" s="164"/>
    </row>
    <row r="448">
      <c r="A448" s="164"/>
      <c r="B448" s="164"/>
      <c r="C448" s="164"/>
      <c r="D448" s="164"/>
      <c r="E448" s="164"/>
      <c r="F448" s="164"/>
      <c r="G448" s="164"/>
      <c r="H448" s="164"/>
      <c r="I448" s="164"/>
      <c r="J448" s="164"/>
      <c r="K448" s="164"/>
      <c r="L448" s="164"/>
      <c r="M448" s="164"/>
      <c r="N448" s="164"/>
      <c r="O448" s="164"/>
      <c r="P448" s="164"/>
      <c r="Q448" s="164"/>
      <c r="R448" s="164"/>
      <c r="S448" s="164"/>
      <c r="T448" s="164"/>
      <c r="U448" s="164"/>
      <c r="V448" s="164"/>
      <c r="W448" s="164"/>
      <c r="X448" s="164"/>
      <c r="Y448" s="164"/>
      <c r="Z448" s="164"/>
    </row>
    <row r="449">
      <c r="A449" s="164"/>
      <c r="B449" s="164"/>
      <c r="C449" s="164"/>
      <c r="D449" s="164"/>
      <c r="E449" s="164"/>
      <c r="F449" s="164"/>
      <c r="G449" s="164"/>
      <c r="H449" s="164"/>
      <c r="I449" s="164"/>
      <c r="J449" s="164"/>
      <c r="K449" s="164"/>
      <c r="L449" s="164"/>
      <c r="M449" s="164"/>
      <c r="N449" s="164"/>
      <c r="O449" s="164"/>
      <c r="P449" s="164"/>
      <c r="Q449" s="164"/>
      <c r="R449" s="164"/>
      <c r="S449" s="164"/>
      <c r="T449" s="164"/>
      <c r="U449" s="164"/>
      <c r="V449" s="164"/>
      <c r="W449" s="164"/>
      <c r="X449" s="164"/>
      <c r="Y449" s="164"/>
      <c r="Z449" s="164"/>
    </row>
    <row r="450">
      <c r="A450" s="164"/>
      <c r="B450" s="164"/>
      <c r="C450" s="164"/>
      <c r="D450" s="164"/>
      <c r="E450" s="164"/>
      <c r="F450" s="164"/>
      <c r="G450" s="164"/>
      <c r="H450" s="164"/>
      <c r="I450" s="164"/>
      <c r="J450" s="164"/>
      <c r="K450" s="164"/>
      <c r="L450" s="164"/>
      <c r="M450" s="164"/>
      <c r="N450" s="164"/>
      <c r="O450" s="164"/>
      <c r="P450" s="164"/>
      <c r="Q450" s="164"/>
      <c r="R450" s="164"/>
      <c r="S450" s="164"/>
      <c r="T450" s="164"/>
      <c r="U450" s="164"/>
      <c r="V450" s="164"/>
      <c r="W450" s="164"/>
      <c r="X450" s="164"/>
      <c r="Y450" s="164"/>
      <c r="Z450" s="164"/>
    </row>
    <row r="451">
      <c r="A451" s="164"/>
      <c r="B451" s="164"/>
      <c r="C451" s="164"/>
      <c r="D451" s="164"/>
      <c r="E451" s="164"/>
      <c r="F451" s="164"/>
      <c r="G451" s="164"/>
      <c r="H451" s="164"/>
      <c r="I451" s="164"/>
      <c r="J451" s="164"/>
      <c r="K451" s="164"/>
      <c r="L451" s="164"/>
      <c r="M451" s="164"/>
      <c r="N451" s="164"/>
      <c r="O451" s="164"/>
      <c r="P451" s="164"/>
      <c r="Q451" s="164"/>
      <c r="R451" s="164"/>
      <c r="S451" s="164"/>
      <c r="T451" s="164"/>
      <c r="U451" s="164"/>
      <c r="V451" s="164"/>
      <c r="W451" s="164"/>
      <c r="X451" s="164"/>
      <c r="Y451" s="164"/>
      <c r="Z451" s="164"/>
    </row>
    <row r="452">
      <c r="A452" s="164"/>
      <c r="B452" s="164"/>
      <c r="C452" s="164"/>
      <c r="D452" s="164"/>
      <c r="E452" s="164"/>
      <c r="F452" s="164"/>
      <c r="G452" s="164"/>
      <c r="H452" s="164"/>
      <c r="I452" s="164"/>
      <c r="J452" s="164"/>
      <c r="K452" s="164"/>
      <c r="L452" s="164"/>
      <c r="M452" s="164"/>
      <c r="N452" s="164"/>
      <c r="O452" s="164"/>
      <c r="P452" s="164"/>
      <c r="Q452" s="164"/>
      <c r="R452" s="164"/>
      <c r="S452" s="164"/>
      <c r="T452" s="164"/>
      <c r="U452" s="164"/>
      <c r="V452" s="164"/>
      <c r="W452" s="164"/>
      <c r="X452" s="164"/>
      <c r="Y452" s="164"/>
      <c r="Z452" s="164"/>
    </row>
    <row r="453">
      <c r="A453" s="164"/>
      <c r="B453" s="164"/>
      <c r="C453" s="164"/>
      <c r="D453" s="164"/>
      <c r="E453" s="164"/>
      <c r="F453" s="164"/>
      <c r="G453" s="164"/>
      <c r="H453" s="164"/>
      <c r="I453" s="164"/>
      <c r="J453" s="164"/>
      <c r="K453" s="164"/>
      <c r="L453" s="164"/>
      <c r="M453" s="164"/>
      <c r="N453" s="164"/>
      <c r="O453" s="164"/>
      <c r="P453" s="164"/>
      <c r="Q453" s="164"/>
      <c r="R453" s="164"/>
      <c r="S453" s="164"/>
      <c r="T453" s="164"/>
      <c r="U453" s="164"/>
      <c r="V453" s="164"/>
      <c r="W453" s="164"/>
      <c r="X453" s="164"/>
      <c r="Y453" s="164"/>
      <c r="Z453" s="164"/>
    </row>
    <row r="454">
      <c r="A454" s="164"/>
      <c r="B454" s="164"/>
      <c r="C454" s="164"/>
      <c r="D454" s="164"/>
      <c r="E454" s="164"/>
      <c r="F454" s="164"/>
      <c r="G454" s="164"/>
      <c r="H454" s="164"/>
      <c r="I454" s="164"/>
      <c r="J454" s="164"/>
      <c r="K454" s="164"/>
      <c r="L454" s="164"/>
      <c r="M454" s="164"/>
      <c r="N454" s="164"/>
      <c r="O454" s="164"/>
      <c r="P454" s="164"/>
      <c r="Q454" s="164"/>
      <c r="R454" s="164"/>
      <c r="S454" s="164"/>
      <c r="T454" s="164"/>
      <c r="U454" s="164"/>
      <c r="V454" s="164"/>
      <c r="W454" s="164"/>
      <c r="X454" s="164"/>
      <c r="Y454" s="164"/>
      <c r="Z454" s="164"/>
    </row>
    <row r="455">
      <c r="A455" s="164"/>
      <c r="B455" s="164"/>
      <c r="C455" s="164"/>
      <c r="D455" s="164"/>
      <c r="E455" s="164"/>
      <c r="F455" s="164"/>
      <c r="G455" s="164"/>
      <c r="H455" s="164"/>
      <c r="I455" s="164"/>
      <c r="J455" s="164"/>
      <c r="K455" s="164"/>
      <c r="L455" s="164"/>
      <c r="M455" s="164"/>
      <c r="N455" s="164"/>
      <c r="O455" s="164"/>
      <c r="P455" s="164"/>
      <c r="Q455" s="164"/>
      <c r="R455" s="164"/>
      <c r="S455" s="164"/>
      <c r="T455" s="164"/>
      <c r="U455" s="164"/>
      <c r="V455" s="164"/>
      <c r="W455" s="164"/>
      <c r="X455" s="164"/>
      <c r="Y455" s="164"/>
      <c r="Z455" s="164"/>
    </row>
    <row r="456">
      <c r="A456" s="164"/>
      <c r="B456" s="164"/>
      <c r="C456" s="164"/>
      <c r="D456" s="164"/>
      <c r="E456" s="164"/>
      <c r="F456" s="164"/>
      <c r="G456" s="164"/>
      <c r="H456" s="164"/>
      <c r="I456" s="164"/>
      <c r="J456" s="164"/>
      <c r="K456" s="164"/>
      <c r="L456" s="164"/>
      <c r="M456" s="164"/>
      <c r="N456" s="164"/>
      <c r="O456" s="164"/>
      <c r="P456" s="164"/>
      <c r="Q456" s="164"/>
      <c r="R456" s="164"/>
      <c r="S456" s="164"/>
      <c r="T456" s="164"/>
      <c r="U456" s="164"/>
      <c r="V456" s="164"/>
      <c r="W456" s="164"/>
      <c r="X456" s="164"/>
      <c r="Y456" s="164"/>
      <c r="Z456" s="164"/>
    </row>
    <row r="457">
      <c r="A457" s="164"/>
      <c r="B457" s="164"/>
      <c r="C457" s="164"/>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row>
    <row r="458">
      <c r="A458" s="164"/>
      <c r="B458" s="164"/>
      <c r="C458" s="164"/>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row>
    <row r="459">
      <c r="A459" s="164"/>
      <c r="B459" s="164"/>
      <c r="C459" s="164"/>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row>
    <row r="460">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row>
    <row r="461">
      <c r="A461" s="164"/>
      <c r="B461" s="164"/>
      <c r="C461" s="164"/>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row>
    <row r="462">
      <c r="A462" s="164"/>
      <c r="B462" s="164"/>
      <c r="C462" s="164"/>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row>
    <row r="463">
      <c r="A463" s="164"/>
      <c r="B463" s="164"/>
      <c r="C463" s="164"/>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row>
    <row r="464">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row>
    <row r="465">
      <c r="A465" s="164"/>
      <c r="B465" s="164"/>
      <c r="C465" s="164"/>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row>
    <row r="466">
      <c r="A466" s="164"/>
      <c r="B466" s="164"/>
      <c r="C466" s="164"/>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row>
    <row r="467">
      <c r="A467" s="164"/>
      <c r="B467" s="164"/>
      <c r="C467" s="164"/>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row>
    <row r="468">
      <c r="A468" s="164"/>
      <c r="B468" s="164"/>
      <c r="C468" s="164"/>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row>
    <row r="469">
      <c r="A469" s="164"/>
      <c r="B469" s="164"/>
      <c r="C469" s="164"/>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row>
    <row r="470">
      <c r="A470" s="164"/>
      <c r="B470" s="164"/>
      <c r="C470" s="164"/>
      <c r="D470" s="164"/>
      <c r="E470" s="164"/>
      <c r="F470" s="164"/>
      <c r="G470" s="164"/>
      <c r="H470" s="164"/>
      <c r="I470" s="164"/>
      <c r="J470" s="164"/>
      <c r="K470" s="164"/>
      <c r="L470" s="164"/>
      <c r="M470" s="164"/>
      <c r="N470" s="164"/>
      <c r="O470" s="164"/>
      <c r="P470" s="164"/>
      <c r="Q470" s="164"/>
      <c r="R470" s="164"/>
      <c r="S470" s="164"/>
      <c r="T470" s="164"/>
      <c r="U470" s="164"/>
      <c r="V470" s="164"/>
      <c r="W470" s="164"/>
      <c r="X470" s="164"/>
      <c r="Y470" s="164"/>
      <c r="Z470" s="164"/>
    </row>
    <row r="471">
      <c r="A471" s="164"/>
      <c r="B471" s="164"/>
      <c r="C471" s="164"/>
      <c r="D471" s="164"/>
      <c r="E471" s="164"/>
      <c r="F471" s="164"/>
      <c r="G471" s="164"/>
      <c r="H471" s="164"/>
      <c r="I471" s="164"/>
      <c r="J471" s="164"/>
      <c r="K471" s="164"/>
      <c r="L471" s="164"/>
      <c r="M471" s="164"/>
      <c r="N471" s="164"/>
      <c r="O471" s="164"/>
      <c r="P471" s="164"/>
      <c r="Q471" s="164"/>
      <c r="R471" s="164"/>
      <c r="S471" s="164"/>
      <c r="T471" s="164"/>
      <c r="U471" s="164"/>
      <c r="V471" s="164"/>
      <c r="W471" s="164"/>
      <c r="X471" s="164"/>
      <c r="Y471" s="164"/>
      <c r="Z471" s="164"/>
    </row>
    <row r="472">
      <c r="A472" s="164"/>
      <c r="B472" s="164"/>
      <c r="C472" s="164"/>
      <c r="D472" s="164"/>
      <c r="E472" s="164"/>
      <c r="F472" s="164"/>
      <c r="G472" s="164"/>
      <c r="H472" s="164"/>
      <c r="I472" s="164"/>
      <c r="J472" s="164"/>
      <c r="K472" s="164"/>
      <c r="L472" s="164"/>
      <c r="M472" s="164"/>
      <c r="N472" s="164"/>
      <c r="O472" s="164"/>
      <c r="P472" s="164"/>
      <c r="Q472" s="164"/>
      <c r="R472" s="164"/>
      <c r="S472" s="164"/>
      <c r="T472" s="164"/>
      <c r="U472" s="164"/>
      <c r="V472" s="164"/>
      <c r="W472" s="164"/>
      <c r="X472" s="164"/>
      <c r="Y472" s="164"/>
      <c r="Z472" s="164"/>
    </row>
    <row r="473">
      <c r="A473" s="164"/>
      <c r="B473" s="164"/>
      <c r="C473" s="164"/>
      <c r="D473" s="164"/>
      <c r="E473" s="164"/>
      <c r="F473" s="164"/>
      <c r="G473" s="164"/>
      <c r="H473" s="164"/>
      <c r="I473" s="164"/>
      <c r="J473" s="164"/>
      <c r="K473" s="164"/>
      <c r="L473" s="164"/>
      <c r="M473" s="164"/>
      <c r="N473" s="164"/>
      <c r="O473" s="164"/>
      <c r="P473" s="164"/>
      <c r="Q473" s="164"/>
      <c r="R473" s="164"/>
      <c r="S473" s="164"/>
      <c r="T473" s="164"/>
      <c r="U473" s="164"/>
      <c r="V473" s="164"/>
      <c r="W473" s="164"/>
      <c r="X473" s="164"/>
      <c r="Y473" s="164"/>
      <c r="Z473" s="164"/>
    </row>
    <row r="474">
      <c r="A474" s="164"/>
      <c r="B474" s="164"/>
      <c r="C474" s="164"/>
      <c r="D474" s="164"/>
      <c r="E474" s="164"/>
      <c r="F474" s="164"/>
      <c r="G474" s="164"/>
      <c r="H474" s="164"/>
      <c r="I474" s="164"/>
      <c r="J474" s="164"/>
      <c r="K474" s="164"/>
      <c r="L474" s="164"/>
      <c r="M474" s="164"/>
      <c r="N474" s="164"/>
      <c r="O474" s="164"/>
      <c r="P474" s="164"/>
      <c r="Q474" s="164"/>
      <c r="R474" s="164"/>
      <c r="S474" s="164"/>
      <c r="T474" s="164"/>
      <c r="U474" s="164"/>
      <c r="V474" s="164"/>
      <c r="W474" s="164"/>
      <c r="X474" s="164"/>
      <c r="Y474" s="164"/>
      <c r="Z474" s="164"/>
    </row>
    <row r="475">
      <c r="A475" s="164"/>
      <c r="B475" s="164"/>
      <c r="C475" s="164"/>
      <c r="D475" s="164"/>
      <c r="E475" s="164"/>
      <c r="F475" s="164"/>
      <c r="G475" s="164"/>
      <c r="H475" s="164"/>
      <c r="I475" s="164"/>
      <c r="J475" s="164"/>
      <c r="K475" s="164"/>
      <c r="L475" s="164"/>
      <c r="M475" s="164"/>
      <c r="N475" s="164"/>
      <c r="O475" s="164"/>
      <c r="P475" s="164"/>
      <c r="Q475" s="164"/>
      <c r="R475" s="164"/>
      <c r="S475" s="164"/>
      <c r="T475" s="164"/>
      <c r="U475" s="164"/>
      <c r="V475" s="164"/>
      <c r="W475" s="164"/>
      <c r="X475" s="164"/>
      <c r="Y475" s="164"/>
      <c r="Z475" s="164"/>
    </row>
    <row r="476">
      <c r="A476" s="164"/>
      <c r="B476" s="164"/>
      <c r="C476" s="164"/>
      <c r="D476" s="164"/>
      <c r="E476" s="164"/>
      <c r="F476" s="164"/>
      <c r="G476" s="164"/>
      <c r="H476" s="164"/>
      <c r="I476" s="164"/>
      <c r="J476" s="164"/>
      <c r="K476" s="164"/>
      <c r="L476" s="164"/>
      <c r="M476" s="164"/>
      <c r="N476" s="164"/>
      <c r="O476" s="164"/>
      <c r="P476" s="164"/>
      <c r="Q476" s="164"/>
      <c r="R476" s="164"/>
      <c r="S476" s="164"/>
      <c r="T476" s="164"/>
      <c r="U476" s="164"/>
      <c r="V476" s="164"/>
      <c r="W476" s="164"/>
      <c r="X476" s="164"/>
      <c r="Y476" s="164"/>
      <c r="Z476" s="164"/>
    </row>
    <row r="477">
      <c r="A477" s="164"/>
      <c r="B477" s="164"/>
      <c r="C477" s="164"/>
      <c r="D477" s="164"/>
      <c r="E477" s="164"/>
      <c r="F477" s="164"/>
      <c r="G477" s="164"/>
      <c r="H477" s="164"/>
      <c r="I477" s="164"/>
      <c r="J477" s="164"/>
      <c r="K477" s="164"/>
      <c r="L477" s="164"/>
      <c r="M477" s="164"/>
      <c r="N477" s="164"/>
      <c r="O477" s="164"/>
      <c r="P477" s="164"/>
      <c r="Q477" s="164"/>
      <c r="R477" s="164"/>
      <c r="S477" s="164"/>
      <c r="T477" s="164"/>
      <c r="U477" s="164"/>
      <c r="V477" s="164"/>
      <c r="W477" s="164"/>
      <c r="X477" s="164"/>
      <c r="Y477" s="164"/>
      <c r="Z477" s="164"/>
    </row>
    <row r="478">
      <c r="A478" s="164"/>
      <c r="B478" s="164"/>
      <c r="C478" s="164"/>
      <c r="D478" s="164"/>
      <c r="E478" s="164"/>
      <c r="F478" s="164"/>
      <c r="G478" s="164"/>
      <c r="H478" s="164"/>
      <c r="I478" s="164"/>
      <c r="J478" s="164"/>
      <c r="K478" s="164"/>
      <c r="L478" s="164"/>
      <c r="M478" s="164"/>
      <c r="N478" s="164"/>
      <c r="O478" s="164"/>
      <c r="P478" s="164"/>
      <c r="Q478" s="164"/>
      <c r="R478" s="164"/>
      <c r="S478" s="164"/>
      <c r="T478" s="164"/>
      <c r="U478" s="164"/>
      <c r="V478" s="164"/>
      <c r="W478" s="164"/>
      <c r="X478" s="164"/>
      <c r="Y478" s="164"/>
      <c r="Z478" s="164"/>
    </row>
    <row r="479">
      <c r="A479" s="164"/>
      <c r="B479" s="164"/>
      <c r="C479" s="164"/>
      <c r="D479" s="164"/>
      <c r="E479" s="164"/>
      <c r="F479" s="164"/>
      <c r="G479" s="164"/>
      <c r="H479" s="164"/>
      <c r="I479" s="164"/>
      <c r="J479" s="164"/>
      <c r="K479" s="164"/>
      <c r="L479" s="164"/>
      <c r="M479" s="164"/>
      <c r="N479" s="164"/>
      <c r="O479" s="164"/>
      <c r="P479" s="164"/>
      <c r="Q479" s="164"/>
      <c r="R479" s="164"/>
      <c r="S479" s="164"/>
      <c r="T479" s="164"/>
      <c r="U479" s="164"/>
      <c r="V479" s="164"/>
      <c r="W479" s="164"/>
      <c r="X479" s="164"/>
      <c r="Y479" s="164"/>
      <c r="Z479" s="164"/>
    </row>
    <row r="480">
      <c r="A480" s="164"/>
      <c r="B480" s="164"/>
      <c r="C480" s="164"/>
      <c r="D480" s="164"/>
      <c r="E480" s="164"/>
      <c r="F480" s="164"/>
      <c r="G480" s="164"/>
      <c r="H480" s="164"/>
      <c r="I480" s="164"/>
      <c r="J480" s="164"/>
      <c r="K480" s="164"/>
      <c r="L480" s="164"/>
      <c r="M480" s="164"/>
      <c r="N480" s="164"/>
      <c r="O480" s="164"/>
      <c r="P480" s="164"/>
      <c r="Q480" s="164"/>
      <c r="R480" s="164"/>
      <c r="S480" s="164"/>
      <c r="T480" s="164"/>
      <c r="U480" s="164"/>
      <c r="V480" s="164"/>
      <c r="W480" s="164"/>
      <c r="X480" s="164"/>
      <c r="Y480" s="164"/>
      <c r="Z480" s="164"/>
    </row>
    <row r="481">
      <c r="A481" s="164"/>
      <c r="B481" s="164"/>
      <c r="C481" s="164"/>
      <c r="D481" s="164"/>
      <c r="E481" s="164"/>
      <c r="F481" s="164"/>
      <c r="G481" s="164"/>
      <c r="H481" s="164"/>
      <c r="I481" s="164"/>
      <c r="J481" s="164"/>
      <c r="K481" s="164"/>
      <c r="L481" s="164"/>
      <c r="M481" s="164"/>
      <c r="N481" s="164"/>
      <c r="O481" s="164"/>
      <c r="P481" s="164"/>
      <c r="Q481" s="164"/>
      <c r="R481" s="164"/>
      <c r="S481" s="164"/>
      <c r="T481" s="164"/>
      <c r="U481" s="164"/>
      <c r="V481" s="164"/>
      <c r="W481" s="164"/>
      <c r="X481" s="164"/>
      <c r="Y481" s="164"/>
      <c r="Z481" s="164"/>
    </row>
    <row r="482">
      <c r="A482" s="164"/>
      <c r="B482" s="164"/>
      <c r="C482" s="164"/>
      <c r="D482" s="164"/>
      <c r="E482" s="164"/>
      <c r="F482" s="164"/>
      <c r="G482" s="164"/>
      <c r="H482" s="164"/>
      <c r="I482" s="164"/>
      <c r="J482" s="164"/>
      <c r="K482" s="164"/>
      <c r="L482" s="164"/>
      <c r="M482" s="164"/>
      <c r="N482" s="164"/>
      <c r="O482" s="164"/>
      <c r="P482" s="164"/>
      <c r="Q482" s="164"/>
      <c r="R482" s="164"/>
      <c r="S482" s="164"/>
      <c r="T482" s="164"/>
      <c r="U482" s="164"/>
      <c r="V482" s="164"/>
      <c r="W482" s="164"/>
      <c r="X482" s="164"/>
      <c r="Y482" s="164"/>
      <c r="Z482" s="164"/>
    </row>
    <row r="483">
      <c r="A483" s="164"/>
      <c r="B483" s="164"/>
      <c r="C483" s="164"/>
      <c r="D483" s="164"/>
      <c r="E483" s="164"/>
      <c r="F483" s="164"/>
      <c r="G483" s="164"/>
      <c r="H483" s="164"/>
      <c r="I483" s="164"/>
      <c r="J483" s="164"/>
      <c r="K483" s="164"/>
      <c r="L483" s="164"/>
      <c r="M483" s="164"/>
      <c r="N483" s="164"/>
      <c r="O483" s="164"/>
      <c r="P483" s="164"/>
      <c r="Q483" s="164"/>
      <c r="R483" s="164"/>
      <c r="S483" s="164"/>
      <c r="T483" s="164"/>
      <c r="U483" s="164"/>
      <c r="V483" s="164"/>
      <c r="W483" s="164"/>
      <c r="X483" s="164"/>
      <c r="Y483" s="164"/>
      <c r="Z483" s="164"/>
    </row>
    <row r="484">
      <c r="A484" s="164"/>
      <c r="B484" s="164"/>
      <c r="C484" s="164"/>
      <c r="D484" s="164"/>
      <c r="E484" s="164"/>
      <c r="F484" s="164"/>
      <c r="G484" s="164"/>
      <c r="H484" s="164"/>
      <c r="I484" s="164"/>
      <c r="J484" s="164"/>
      <c r="K484" s="164"/>
      <c r="L484" s="164"/>
      <c r="M484" s="164"/>
      <c r="N484" s="164"/>
      <c r="O484" s="164"/>
      <c r="P484" s="164"/>
      <c r="Q484" s="164"/>
      <c r="R484" s="164"/>
      <c r="S484" s="164"/>
      <c r="T484" s="164"/>
      <c r="U484" s="164"/>
      <c r="V484" s="164"/>
      <c r="W484" s="164"/>
      <c r="X484" s="164"/>
      <c r="Y484" s="164"/>
      <c r="Z484" s="164"/>
    </row>
    <row r="485">
      <c r="A485" s="164"/>
      <c r="B485" s="164"/>
      <c r="C485" s="164"/>
      <c r="D485" s="164"/>
      <c r="E485" s="164"/>
      <c r="F485" s="164"/>
      <c r="G485" s="164"/>
      <c r="H485" s="164"/>
      <c r="I485" s="164"/>
      <c r="J485" s="164"/>
      <c r="K485" s="164"/>
      <c r="L485" s="164"/>
      <c r="M485" s="164"/>
      <c r="N485" s="164"/>
      <c r="O485" s="164"/>
      <c r="P485" s="164"/>
      <c r="Q485" s="164"/>
      <c r="R485" s="164"/>
      <c r="S485" s="164"/>
      <c r="T485" s="164"/>
      <c r="U485" s="164"/>
      <c r="V485" s="164"/>
      <c r="W485" s="164"/>
      <c r="X485" s="164"/>
      <c r="Y485" s="164"/>
      <c r="Z485" s="164"/>
    </row>
    <row r="486">
      <c r="A486" s="164"/>
      <c r="B486" s="164"/>
      <c r="C486" s="164"/>
      <c r="D486" s="164"/>
      <c r="E486" s="164"/>
      <c r="F486" s="164"/>
      <c r="G486" s="164"/>
      <c r="H486" s="164"/>
      <c r="I486" s="164"/>
      <c r="J486" s="164"/>
      <c r="K486" s="164"/>
      <c r="L486" s="164"/>
      <c r="M486" s="164"/>
      <c r="N486" s="164"/>
      <c r="O486" s="164"/>
      <c r="P486" s="164"/>
      <c r="Q486" s="164"/>
      <c r="R486" s="164"/>
      <c r="S486" s="164"/>
      <c r="T486" s="164"/>
      <c r="U486" s="164"/>
      <c r="V486" s="164"/>
      <c r="W486" s="164"/>
      <c r="X486" s="164"/>
      <c r="Y486" s="164"/>
      <c r="Z486" s="164"/>
    </row>
    <row r="487">
      <c r="A487" s="164"/>
      <c r="B487" s="164"/>
      <c r="C487" s="164"/>
      <c r="D487" s="164"/>
      <c r="E487" s="164"/>
      <c r="F487" s="164"/>
      <c r="G487" s="164"/>
      <c r="H487" s="164"/>
      <c r="I487" s="164"/>
      <c r="J487" s="164"/>
      <c r="K487" s="164"/>
      <c r="L487" s="164"/>
      <c r="M487" s="164"/>
      <c r="N487" s="164"/>
      <c r="O487" s="164"/>
      <c r="P487" s="164"/>
      <c r="Q487" s="164"/>
      <c r="R487" s="164"/>
      <c r="S487" s="164"/>
      <c r="T487" s="164"/>
      <c r="U487" s="164"/>
      <c r="V487" s="164"/>
      <c r="W487" s="164"/>
      <c r="X487" s="164"/>
      <c r="Y487" s="164"/>
      <c r="Z487" s="164"/>
    </row>
    <row r="488">
      <c r="A488" s="164"/>
      <c r="B488" s="164"/>
      <c r="C488" s="164"/>
      <c r="D488" s="164"/>
      <c r="E488" s="164"/>
      <c r="F488" s="164"/>
      <c r="G488" s="164"/>
      <c r="H488" s="164"/>
      <c r="I488" s="164"/>
      <c r="J488" s="164"/>
      <c r="K488" s="164"/>
      <c r="L488" s="164"/>
      <c r="M488" s="164"/>
      <c r="N488" s="164"/>
      <c r="O488" s="164"/>
      <c r="P488" s="164"/>
      <c r="Q488" s="164"/>
      <c r="R488" s="164"/>
      <c r="S488" s="164"/>
      <c r="T488" s="164"/>
      <c r="U488" s="164"/>
      <c r="V488" s="164"/>
      <c r="W488" s="164"/>
      <c r="X488" s="164"/>
      <c r="Y488" s="164"/>
      <c r="Z488" s="164"/>
    </row>
    <row r="489">
      <c r="A489" s="164"/>
      <c r="B489" s="164"/>
      <c r="C489" s="164"/>
      <c r="D489" s="164"/>
      <c r="E489" s="164"/>
      <c r="F489" s="164"/>
      <c r="G489" s="164"/>
      <c r="H489" s="164"/>
      <c r="I489" s="164"/>
      <c r="J489" s="164"/>
      <c r="K489" s="164"/>
      <c r="L489" s="164"/>
      <c r="M489" s="164"/>
      <c r="N489" s="164"/>
      <c r="O489" s="164"/>
      <c r="P489" s="164"/>
      <c r="Q489" s="164"/>
      <c r="R489" s="164"/>
      <c r="S489" s="164"/>
      <c r="T489" s="164"/>
      <c r="U489" s="164"/>
      <c r="V489" s="164"/>
      <c r="W489" s="164"/>
      <c r="X489" s="164"/>
      <c r="Y489" s="164"/>
      <c r="Z489" s="164"/>
    </row>
    <row r="490">
      <c r="A490" s="164"/>
      <c r="B490" s="164"/>
      <c r="C490" s="164"/>
      <c r="D490" s="164"/>
      <c r="E490" s="164"/>
      <c r="F490" s="164"/>
      <c r="G490" s="164"/>
      <c r="H490" s="164"/>
      <c r="I490" s="164"/>
      <c r="J490" s="164"/>
      <c r="K490" s="164"/>
      <c r="L490" s="164"/>
      <c r="M490" s="164"/>
      <c r="N490" s="164"/>
      <c r="O490" s="164"/>
      <c r="P490" s="164"/>
      <c r="Q490" s="164"/>
      <c r="R490" s="164"/>
      <c r="S490" s="164"/>
      <c r="T490" s="164"/>
      <c r="U490" s="164"/>
      <c r="V490" s="164"/>
      <c r="W490" s="164"/>
      <c r="X490" s="164"/>
      <c r="Y490" s="164"/>
      <c r="Z490" s="164"/>
    </row>
    <row r="491">
      <c r="A491" s="164"/>
      <c r="B491" s="164"/>
      <c r="C491" s="164"/>
      <c r="D491" s="164"/>
      <c r="E491" s="164"/>
      <c r="F491" s="164"/>
      <c r="G491" s="164"/>
      <c r="H491" s="164"/>
      <c r="I491" s="164"/>
      <c r="J491" s="164"/>
      <c r="K491" s="164"/>
      <c r="L491" s="164"/>
      <c r="M491" s="164"/>
      <c r="N491" s="164"/>
      <c r="O491" s="164"/>
      <c r="P491" s="164"/>
      <c r="Q491" s="164"/>
      <c r="R491" s="164"/>
      <c r="S491" s="164"/>
      <c r="T491" s="164"/>
      <c r="U491" s="164"/>
      <c r="V491" s="164"/>
      <c r="W491" s="164"/>
      <c r="X491" s="164"/>
      <c r="Y491" s="164"/>
      <c r="Z491" s="164"/>
    </row>
    <row r="492">
      <c r="A492" s="164"/>
      <c r="B492" s="164"/>
      <c r="C492" s="164"/>
      <c r="D492" s="164"/>
      <c r="E492" s="164"/>
      <c r="F492" s="164"/>
      <c r="G492" s="164"/>
      <c r="H492" s="164"/>
      <c r="I492" s="164"/>
      <c r="J492" s="164"/>
      <c r="K492" s="164"/>
      <c r="L492" s="164"/>
      <c r="M492" s="164"/>
      <c r="N492" s="164"/>
      <c r="O492" s="164"/>
      <c r="P492" s="164"/>
      <c r="Q492" s="164"/>
      <c r="R492" s="164"/>
      <c r="S492" s="164"/>
      <c r="T492" s="164"/>
      <c r="U492" s="164"/>
      <c r="V492" s="164"/>
      <c r="W492" s="164"/>
      <c r="X492" s="164"/>
      <c r="Y492" s="164"/>
      <c r="Z492" s="164"/>
    </row>
    <row r="493">
      <c r="A493" s="164"/>
      <c r="B493" s="164"/>
      <c r="C493" s="164"/>
      <c r="D493" s="164"/>
      <c r="E493" s="164"/>
      <c r="F493" s="164"/>
      <c r="G493" s="164"/>
      <c r="H493" s="164"/>
      <c r="I493" s="164"/>
      <c r="J493" s="164"/>
      <c r="K493" s="164"/>
      <c r="L493" s="164"/>
      <c r="M493" s="164"/>
      <c r="N493" s="164"/>
      <c r="O493" s="164"/>
      <c r="P493" s="164"/>
      <c r="Q493" s="164"/>
      <c r="R493" s="164"/>
      <c r="S493" s="164"/>
      <c r="T493" s="164"/>
      <c r="U493" s="164"/>
      <c r="V493" s="164"/>
      <c r="W493" s="164"/>
      <c r="X493" s="164"/>
      <c r="Y493" s="164"/>
      <c r="Z493" s="164"/>
    </row>
    <row r="494">
      <c r="A494" s="164"/>
      <c r="B494" s="164"/>
      <c r="C494" s="164"/>
      <c r="D494" s="164"/>
      <c r="E494" s="164"/>
      <c r="F494" s="164"/>
      <c r="G494" s="164"/>
      <c r="H494" s="164"/>
      <c r="I494" s="164"/>
      <c r="J494" s="164"/>
      <c r="K494" s="164"/>
      <c r="L494" s="164"/>
      <c r="M494" s="164"/>
      <c r="N494" s="164"/>
      <c r="O494" s="164"/>
      <c r="P494" s="164"/>
      <c r="Q494" s="164"/>
      <c r="R494" s="164"/>
      <c r="S494" s="164"/>
      <c r="T494" s="164"/>
      <c r="U494" s="164"/>
      <c r="V494" s="164"/>
      <c r="W494" s="164"/>
      <c r="X494" s="164"/>
      <c r="Y494" s="164"/>
      <c r="Z494" s="164"/>
    </row>
    <row r="495">
      <c r="A495" s="164"/>
      <c r="B495" s="164"/>
      <c r="C495" s="164"/>
      <c r="D495" s="164"/>
      <c r="E495" s="164"/>
      <c r="F495" s="164"/>
      <c r="G495" s="164"/>
      <c r="H495" s="164"/>
      <c r="I495" s="164"/>
      <c r="J495" s="164"/>
      <c r="K495" s="164"/>
      <c r="L495" s="164"/>
      <c r="M495" s="164"/>
      <c r="N495" s="164"/>
      <c r="O495" s="164"/>
      <c r="P495" s="164"/>
      <c r="Q495" s="164"/>
      <c r="R495" s="164"/>
      <c r="S495" s="164"/>
      <c r="T495" s="164"/>
      <c r="U495" s="164"/>
      <c r="V495" s="164"/>
      <c r="W495" s="164"/>
      <c r="X495" s="164"/>
      <c r="Y495" s="164"/>
      <c r="Z495" s="164"/>
    </row>
    <row r="496">
      <c r="A496" s="164"/>
      <c r="B496" s="164"/>
      <c r="C496" s="164"/>
      <c r="D496" s="164"/>
      <c r="E496" s="164"/>
      <c r="F496" s="164"/>
      <c r="G496" s="164"/>
      <c r="H496" s="164"/>
      <c r="I496" s="164"/>
      <c r="J496" s="164"/>
      <c r="K496" s="164"/>
      <c r="L496" s="164"/>
      <c r="M496" s="164"/>
      <c r="N496" s="164"/>
      <c r="O496" s="164"/>
      <c r="P496" s="164"/>
      <c r="Q496" s="164"/>
      <c r="R496" s="164"/>
      <c r="S496" s="164"/>
      <c r="T496" s="164"/>
      <c r="U496" s="164"/>
      <c r="V496" s="164"/>
      <c r="W496" s="164"/>
      <c r="X496" s="164"/>
      <c r="Y496" s="164"/>
      <c r="Z496" s="164"/>
    </row>
    <row r="497">
      <c r="A497" s="164"/>
      <c r="B497" s="164"/>
      <c r="C497" s="164"/>
      <c r="D497" s="164"/>
      <c r="E497" s="164"/>
      <c r="F497" s="164"/>
      <c r="G497" s="164"/>
      <c r="H497" s="164"/>
      <c r="I497" s="164"/>
      <c r="J497" s="164"/>
      <c r="K497" s="164"/>
      <c r="L497" s="164"/>
      <c r="M497" s="164"/>
      <c r="N497" s="164"/>
      <c r="O497" s="164"/>
      <c r="P497" s="164"/>
      <c r="Q497" s="164"/>
      <c r="R497" s="164"/>
      <c r="S497" s="164"/>
      <c r="T497" s="164"/>
      <c r="U497" s="164"/>
      <c r="V497" s="164"/>
      <c r="W497" s="164"/>
      <c r="X497" s="164"/>
      <c r="Y497" s="164"/>
      <c r="Z497" s="164"/>
    </row>
    <row r="498">
      <c r="A498" s="164"/>
      <c r="B498" s="164"/>
      <c r="C498" s="164"/>
      <c r="D498" s="164"/>
      <c r="E498" s="164"/>
      <c r="F498" s="164"/>
      <c r="G498" s="164"/>
      <c r="H498" s="164"/>
      <c r="I498" s="164"/>
      <c r="J498" s="164"/>
      <c r="K498" s="164"/>
      <c r="L498" s="164"/>
      <c r="M498" s="164"/>
      <c r="N498" s="164"/>
      <c r="O498" s="164"/>
      <c r="P498" s="164"/>
      <c r="Q498" s="164"/>
      <c r="R498" s="164"/>
      <c r="S498" s="164"/>
      <c r="T498" s="164"/>
      <c r="U498" s="164"/>
      <c r="V498" s="164"/>
      <c r="W498" s="164"/>
      <c r="X498" s="164"/>
      <c r="Y498" s="164"/>
      <c r="Z498" s="164"/>
    </row>
    <row r="499">
      <c r="A499" s="164"/>
      <c r="B499" s="164"/>
      <c r="C499" s="164"/>
      <c r="D499" s="164"/>
      <c r="E499" s="164"/>
      <c r="F499" s="164"/>
      <c r="G499" s="164"/>
      <c r="H499" s="164"/>
      <c r="I499" s="164"/>
      <c r="J499" s="164"/>
      <c r="K499" s="164"/>
      <c r="L499" s="164"/>
      <c r="M499" s="164"/>
      <c r="N499" s="164"/>
      <c r="O499" s="164"/>
      <c r="P499" s="164"/>
      <c r="Q499" s="164"/>
      <c r="R499" s="164"/>
      <c r="S499" s="164"/>
      <c r="T499" s="164"/>
      <c r="U499" s="164"/>
      <c r="V499" s="164"/>
      <c r="W499" s="164"/>
      <c r="X499" s="164"/>
      <c r="Y499" s="164"/>
      <c r="Z499" s="164"/>
    </row>
    <row r="500">
      <c r="A500" s="164"/>
      <c r="B500" s="164"/>
      <c r="C500" s="164"/>
      <c r="D500" s="164"/>
      <c r="E500" s="164"/>
      <c r="F500" s="164"/>
      <c r="G500" s="164"/>
      <c r="H500" s="164"/>
      <c r="I500" s="164"/>
      <c r="J500" s="164"/>
      <c r="K500" s="164"/>
      <c r="L500" s="164"/>
      <c r="M500" s="164"/>
      <c r="N500" s="164"/>
      <c r="O500" s="164"/>
      <c r="P500" s="164"/>
      <c r="Q500" s="164"/>
      <c r="R500" s="164"/>
      <c r="S500" s="164"/>
      <c r="T500" s="164"/>
      <c r="U500" s="164"/>
      <c r="V500" s="164"/>
      <c r="W500" s="164"/>
      <c r="X500" s="164"/>
      <c r="Y500" s="164"/>
      <c r="Z500" s="164"/>
    </row>
    <row r="501">
      <c r="A501" s="164"/>
      <c r="B501" s="164"/>
      <c r="C501" s="164"/>
      <c r="D501" s="164"/>
      <c r="E501" s="164"/>
      <c r="F501" s="164"/>
      <c r="G501" s="164"/>
      <c r="H501" s="164"/>
      <c r="I501" s="164"/>
      <c r="J501" s="164"/>
      <c r="K501" s="164"/>
      <c r="L501" s="164"/>
      <c r="M501" s="164"/>
      <c r="N501" s="164"/>
      <c r="O501" s="164"/>
      <c r="P501" s="164"/>
      <c r="Q501" s="164"/>
      <c r="R501" s="164"/>
      <c r="S501" s="164"/>
      <c r="T501" s="164"/>
      <c r="U501" s="164"/>
      <c r="V501" s="164"/>
      <c r="W501" s="164"/>
      <c r="X501" s="164"/>
      <c r="Y501" s="164"/>
      <c r="Z501" s="164"/>
    </row>
    <row r="502">
      <c r="A502" s="164"/>
      <c r="B502" s="164"/>
      <c r="C502" s="164"/>
      <c r="D502" s="164"/>
      <c r="E502" s="164"/>
      <c r="F502" s="164"/>
      <c r="G502" s="164"/>
      <c r="H502" s="164"/>
      <c r="I502" s="164"/>
      <c r="J502" s="164"/>
      <c r="K502" s="164"/>
      <c r="L502" s="164"/>
      <c r="M502" s="164"/>
      <c r="N502" s="164"/>
      <c r="O502" s="164"/>
      <c r="P502" s="164"/>
      <c r="Q502" s="164"/>
      <c r="R502" s="164"/>
      <c r="S502" s="164"/>
      <c r="T502" s="164"/>
      <c r="U502" s="164"/>
      <c r="V502" s="164"/>
      <c r="W502" s="164"/>
      <c r="X502" s="164"/>
      <c r="Y502" s="164"/>
      <c r="Z502" s="164"/>
    </row>
    <row r="503">
      <c r="A503" s="164"/>
      <c r="B503" s="164"/>
      <c r="C503" s="164"/>
      <c r="D503" s="164"/>
      <c r="E503" s="164"/>
      <c r="F503" s="164"/>
      <c r="G503" s="164"/>
      <c r="H503" s="164"/>
      <c r="I503" s="164"/>
      <c r="J503" s="164"/>
      <c r="K503" s="164"/>
      <c r="L503" s="164"/>
      <c r="M503" s="164"/>
      <c r="N503" s="164"/>
      <c r="O503" s="164"/>
      <c r="P503" s="164"/>
      <c r="Q503" s="164"/>
      <c r="R503" s="164"/>
      <c r="S503" s="164"/>
      <c r="T503" s="164"/>
      <c r="U503" s="164"/>
      <c r="V503" s="164"/>
      <c r="W503" s="164"/>
      <c r="X503" s="164"/>
      <c r="Y503" s="164"/>
      <c r="Z503" s="164"/>
    </row>
    <row r="504">
      <c r="A504" s="164"/>
      <c r="B504" s="164"/>
      <c r="C504" s="164"/>
      <c r="D504" s="164"/>
      <c r="E504" s="164"/>
      <c r="F504" s="164"/>
      <c r="G504" s="164"/>
      <c r="H504" s="164"/>
      <c r="I504" s="164"/>
      <c r="J504" s="164"/>
      <c r="K504" s="164"/>
      <c r="L504" s="164"/>
      <c r="M504" s="164"/>
      <c r="N504" s="164"/>
      <c r="O504" s="164"/>
      <c r="P504" s="164"/>
      <c r="Q504" s="164"/>
      <c r="R504" s="164"/>
      <c r="S504" s="164"/>
      <c r="T504" s="164"/>
      <c r="U504" s="164"/>
      <c r="V504" s="164"/>
      <c r="W504" s="164"/>
      <c r="X504" s="164"/>
      <c r="Y504" s="164"/>
      <c r="Z504" s="164"/>
    </row>
    <row r="505">
      <c r="A505" s="164"/>
      <c r="B505" s="164"/>
      <c r="C505" s="164"/>
      <c r="D505" s="164"/>
      <c r="E505" s="164"/>
      <c r="F505" s="164"/>
      <c r="G505" s="164"/>
      <c r="H505" s="164"/>
      <c r="I505" s="164"/>
      <c r="J505" s="164"/>
      <c r="K505" s="164"/>
      <c r="L505" s="164"/>
      <c r="M505" s="164"/>
      <c r="N505" s="164"/>
      <c r="O505" s="164"/>
      <c r="P505" s="164"/>
      <c r="Q505" s="164"/>
      <c r="R505" s="164"/>
      <c r="S505" s="164"/>
      <c r="T505" s="164"/>
      <c r="U505" s="164"/>
      <c r="V505" s="164"/>
      <c r="W505" s="164"/>
      <c r="X505" s="164"/>
      <c r="Y505" s="164"/>
      <c r="Z505" s="164"/>
    </row>
    <row r="506">
      <c r="A506" s="164"/>
      <c r="B506" s="164"/>
      <c r="C506" s="164"/>
      <c r="D506" s="164"/>
      <c r="E506" s="164"/>
      <c r="F506" s="164"/>
      <c r="G506" s="164"/>
      <c r="H506" s="164"/>
      <c r="I506" s="164"/>
      <c r="J506" s="164"/>
      <c r="K506" s="164"/>
      <c r="L506" s="164"/>
      <c r="M506" s="164"/>
      <c r="N506" s="164"/>
      <c r="O506" s="164"/>
      <c r="P506" s="164"/>
      <c r="Q506" s="164"/>
      <c r="R506" s="164"/>
      <c r="S506" s="164"/>
      <c r="T506" s="164"/>
      <c r="U506" s="164"/>
      <c r="V506" s="164"/>
      <c r="W506" s="164"/>
      <c r="X506" s="164"/>
      <c r="Y506" s="164"/>
      <c r="Z506" s="164"/>
    </row>
    <row r="507">
      <c r="A507" s="164"/>
      <c r="B507" s="164"/>
      <c r="C507" s="164"/>
      <c r="D507" s="164"/>
      <c r="E507" s="164"/>
      <c r="F507" s="164"/>
      <c r="G507" s="164"/>
      <c r="H507" s="164"/>
      <c r="I507" s="164"/>
      <c r="J507" s="164"/>
      <c r="K507" s="164"/>
      <c r="L507" s="164"/>
      <c r="M507" s="164"/>
      <c r="N507" s="164"/>
      <c r="O507" s="164"/>
      <c r="P507" s="164"/>
      <c r="Q507" s="164"/>
      <c r="R507" s="164"/>
      <c r="S507" s="164"/>
      <c r="T507" s="164"/>
      <c r="U507" s="164"/>
      <c r="V507" s="164"/>
      <c r="W507" s="164"/>
      <c r="X507" s="164"/>
      <c r="Y507" s="164"/>
      <c r="Z507" s="164"/>
    </row>
    <row r="508">
      <c r="A508" s="164"/>
      <c r="B508" s="164"/>
      <c r="C508" s="164"/>
      <c r="D508" s="164"/>
      <c r="E508" s="164"/>
      <c r="F508" s="164"/>
      <c r="G508" s="164"/>
      <c r="H508" s="164"/>
      <c r="I508" s="164"/>
      <c r="J508" s="164"/>
      <c r="K508" s="164"/>
      <c r="L508" s="164"/>
      <c r="M508" s="164"/>
      <c r="N508" s="164"/>
      <c r="O508" s="164"/>
      <c r="P508" s="164"/>
      <c r="Q508" s="164"/>
      <c r="R508" s="164"/>
      <c r="S508" s="164"/>
      <c r="T508" s="164"/>
      <c r="U508" s="164"/>
      <c r="V508" s="164"/>
      <c r="W508" s="164"/>
      <c r="X508" s="164"/>
      <c r="Y508" s="164"/>
      <c r="Z508" s="164"/>
    </row>
    <row r="509">
      <c r="A509" s="164"/>
      <c r="B509" s="164"/>
      <c r="C509" s="164"/>
      <c r="D509" s="164"/>
      <c r="E509" s="164"/>
      <c r="F509" s="164"/>
      <c r="G509" s="164"/>
      <c r="H509" s="164"/>
      <c r="I509" s="164"/>
      <c r="J509" s="164"/>
      <c r="K509" s="164"/>
      <c r="L509" s="164"/>
      <c r="M509" s="164"/>
      <c r="N509" s="164"/>
      <c r="O509" s="164"/>
      <c r="P509" s="164"/>
      <c r="Q509" s="164"/>
      <c r="R509" s="164"/>
      <c r="S509" s="164"/>
      <c r="T509" s="164"/>
      <c r="U509" s="164"/>
      <c r="V509" s="164"/>
      <c r="W509" s="164"/>
      <c r="X509" s="164"/>
      <c r="Y509" s="164"/>
      <c r="Z509" s="164"/>
    </row>
    <row r="510">
      <c r="A510" s="164"/>
      <c r="B510" s="164"/>
      <c r="C510" s="164"/>
      <c r="D510" s="164"/>
      <c r="E510" s="164"/>
      <c r="F510" s="164"/>
      <c r="G510" s="164"/>
      <c r="H510" s="164"/>
      <c r="I510" s="164"/>
      <c r="J510" s="164"/>
      <c r="K510" s="164"/>
      <c r="L510" s="164"/>
      <c r="M510" s="164"/>
      <c r="N510" s="164"/>
      <c r="O510" s="164"/>
      <c r="P510" s="164"/>
      <c r="Q510" s="164"/>
      <c r="R510" s="164"/>
      <c r="S510" s="164"/>
      <c r="T510" s="164"/>
      <c r="U510" s="164"/>
      <c r="V510" s="164"/>
      <c r="W510" s="164"/>
      <c r="X510" s="164"/>
      <c r="Y510" s="164"/>
      <c r="Z510" s="164"/>
    </row>
    <row r="511">
      <c r="A511" s="164"/>
      <c r="B511" s="164"/>
      <c r="C511" s="164"/>
      <c r="D511" s="164"/>
      <c r="E511" s="164"/>
      <c r="F511" s="164"/>
      <c r="G511" s="164"/>
      <c r="H511" s="164"/>
      <c r="I511" s="164"/>
      <c r="J511" s="164"/>
      <c r="K511" s="164"/>
      <c r="L511" s="164"/>
      <c r="M511" s="164"/>
      <c r="N511" s="164"/>
      <c r="O511" s="164"/>
      <c r="P511" s="164"/>
      <c r="Q511" s="164"/>
      <c r="R511" s="164"/>
      <c r="S511" s="164"/>
      <c r="T511" s="164"/>
      <c r="U511" s="164"/>
      <c r="V511" s="164"/>
      <c r="W511" s="164"/>
      <c r="X511" s="164"/>
      <c r="Y511" s="164"/>
      <c r="Z511" s="164"/>
    </row>
    <row r="512">
      <c r="A512" s="164"/>
      <c r="B512" s="164"/>
      <c r="C512" s="164"/>
      <c r="D512" s="164"/>
      <c r="E512" s="164"/>
      <c r="F512" s="164"/>
      <c r="G512" s="164"/>
      <c r="H512" s="164"/>
      <c r="I512" s="164"/>
      <c r="J512" s="164"/>
      <c r="K512" s="164"/>
      <c r="L512" s="164"/>
      <c r="M512" s="164"/>
      <c r="N512" s="164"/>
      <c r="O512" s="164"/>
      <c r="P512" s="164"/>
      <c r="Q512" s="164"/>
      <c r="R512" s="164"/>
      <c r="S512" s="164"/>
      <c r="T512" s="164"/>
      <c r="U512" s="164"/>
      <c r="V512" s="164"/>
      <c r="W512" s="164"/>
      <c r="X512" s="164"/>
      <c r="Y512" s="164"/>
      <c r="Z512" s="164"/>
    </row>
    <row r="513">
      <c r="A513" s="164"/>
      <c r="B513" s="164"/>
      <c r="C513" s="164"/>
      <c r="D513" s="164"/>
      <c r="E513" s="164"/>
      <c r="F513" s="164"/>
      <c r="G513" s="164"/>
      <c r="H513" s="164"/>
      <c r="I513" s="164"/>
      <c r="J513" s="164"/>
      <c r="K513" s="164"/>
      <c r="L513" s="164"/>
      <c r="M513" s="164"/>
      <c r="N513" s="164"/>
      <c r="O513" s="164"/>
      <c r="P513" s="164"/>
      <c r="Q513" s="164"/>
      <c r="R513" s="164"/>
      <c r="S513" s="164"/>
      <c r="T513" s="164"/>
      <c r="U513" s="164"/>
      <c r="V513" s="164"/>
      <c r="W513" s="164"/>
      <c r="X513" s="164"/>
      <c r="Y513" s="164"/>
      <c r="Z513" s="164"/>
    </row>
    <row r="514">
      <c r="A514" s="164"/>
      <c r="B514" s="164"/>
      <c r="C514" s="164"/>
      <c r="D514" s="164"/>
      <c r="E514" s="164"/>
      <c r="F514" s="164"/>
      <c r="G514" s="164"/>
      <c r="H514" s="164"/>
      <c r="I514" s="164"/>
      <c r="J514" s="164"/>
      <c r="K514" s="164"/>
      <c r="L514" s="164"/>
      <c r="M514" s="164"/>
      <c r="N514" s="164"/>
      <c r="O514" s="164"/>
      <c r="P514" s="164"/>
      <c r="Q514" s="164"/>
      <c r="R514" s="164"/>
      <c r="S514" s="164"/>
      <c r="T514" s="164"/>
      <c r="U514" s="164"/>
      <c r="V514" s="164"/>
      <c r="W514" s="164"/>
      <c r="X514" s="164"/>
      <c r="Y514" s="164"/>
      <c r="Z514" s="164"/>
    </row>
    <row r="515">
      <c r="A515" s="164"/>
      <c r="B515" s="164"/>
      <c r="C515" s="164"/>
      <c r="D515" s="164"/>
      <c r="E515" s="164"/>
      <c r="F515" s="164"/>
      <c r="G515" s="164"/>
      <c r="H515" s="164"/>
      <c r="I515" s="164"/>
      <c r="J515" s="164"/>
      <c r="K515" s="164"/>
      <c r="L515" s="164"/>
      <c r="M515" s="164"/>
      <c r="N515" s="164"/>
      <c r="O515" s="164"/>
      <c r="P515" s="164"/>
      <c r="Q515" s="164"/>
      <c r="R515" s="164"/>
      <c r="S515" s="164"/>
      <c r="T515" s="164"/>
      <c r="U515" s="164"/>
      <c r="V515" s="164"/>
      <c r="W515" s="164"/>
      <c r="X515" s="164"/>
      <c r="Y515" s="164"/>
      <c r="Z515" s="164"/>
    </row>
    <row r="516">
      <c r="A516" s="164"/>
      <c r="B516" s="164"/>
      <c r="C516" s="164"/>
      <c r="D516" s="164"/>
      <c r="E516" s="164"/>
      <c r="F516" s="164"/>
      <c r="G516" s="164"/>
      <c r="H516" s="164"/>
      <c r="I516" s="164"/>
      <c r="J516" s="164"/>
      <c r="K516" s="164"/>
      <c r="L516" s="164"/>
      <c r="M516" s="164"/>
      <c r="N516" s="164"/>
      <c r="O516" s="164"/>
      <c r="P516" s="164"/>
      <c r="Q516" s="164"/>
      <c r="R516" s="164"/>
      <c r="S516" s="164"/>
      <c r="T516" s="164"/>
      <c r="U516" s="164"/>
      <c r="V516" s="164"/>
      <c r="W516" s="164"/>
      <c r="X516" s="164"/>
      <c r="Y516" s="164"/>
      <c r="Z516" s="164"/>
    </row>
    <row r="517">
      <c r="A517" s="164"/>
      <c r="B517" s="164"/>
      <c r="C517" s="164"/>
      <c r="D517" s="164"/>
      <c r="E517" s="164"/>
      <c r="F517" s="164"/>
      <c r="G517" s="164"/>
      <c r="H517" s="164"/>
      <c r="I517" s="164"/>
      <c r="J517" s="164"/>
      <c r="K517" s="164"/>
      <c r="L517" s="164"/>
      <c r="M517" s="164"/>
      <c r="N517" s="164"/>
      <c r="O517" s="164"/>
      <c r="P517" s="164"/>
      <c r="Q517" s="164"/>
      <c r="R517" s="164"/>
      <c r="S517" s="164"/>
      <c r="T517" s="164"/>
      <c r="U517" s="164"/>
      <c r="V517" s="164"/>
      <c r="W517" s="164"/>
      <c r="X517" s="164"/>
      <c r="Y517" s="164"/>
      <c r="Z517" s="164"/>
    </row>
    <row r="518">
      <c r="A518" s="164"/>
      <c r="B518" s="164"/>
      <c r="C518" s="164"/>
      <c r="D518" s="164"/>
      <c r="E518" s="164"/>
      <c r="F518" s="164"/>
      <c r="G518" s="164"/>
      <c r="H518" s="164"/>
      <c r="I518" s="164"/>
      <c r="J518" s="164"/>
      <c r="K518" s="164"/>
      <c r="L518" s="164"/>
      <c r="M518" s="164"/>
      <c r="N518" s="164"/>
      <c r="O518" s="164"/>
      <c r="P518" s="164"/>
      <c r="Q518" s="164"/>
      <c r="R518" s="164"/>
      <c r="S518" s="164"/>
      <c r="T518" s="164"/>
      <c r="U518" s="164"/>
      <c r="V518" s="164"/>
      <c r="W518" s="164"/>
      <c r="X518" s="164"/>
      <c r="Y518" s="164"/>
      <c r="Z518" s="164"/>
    </row>
    <row r="519">
      <c r="A519" s="164"/>
      <c r="B519" s="164"/>
      <c r="C519" s="164"/>
      <c r="D519" s="164"/>
      <c r="E519" s="164"/>
      <c r="F519" s="164"/>
      <c r="G519" s="164"/>
      <c r="H519" s="164"/>
      <c r="I519" s="164"/>
      <c r="J519" s="164"/>
      <c r="K519" s="164"/>
      <c r="L519" s="164"/>
      <c r="M519" s="164"/>
      <c r="N519" s="164"/>
      <c r="O519" s="164"/>
      <c r="P519" s="164"/>
      <c r="Q519" s="164"/>
      <c r="R519" s="164"/>
      <c r="S519" s="164"/>
      <c r="T519" s="164"/>
      <c r="U519" s="164"/>
      <c r="V519" s="164"/>
      <c r="W519" s="164"/>
      <c r="X519" s="164"/>
      <c r="Y519" s="164"/>
      <c r="Z519" s="164"/>
    </row>
    <row r="520">
      <c r="A520" s="164"/>
      <c r="B520" s="164"/>
      <c r="C520" s="164"/>
      <c r="D520" s="164"/>
      <c r="E520" s="164"/>
      <c r="F520" s="164"/>
      <c r="G520" s="164"/>
      <c r="H520" s="164"/>
      <c r="I520" s="164"/>
      <c r="J520" s="164"/>
      <c r="K520" s="164"/>
      <c r="L520" s="164"/>
      <c r="M520" s="164"/>
      <c r="N520" s="164"/>
      <c r="O520" s="164"/>
      <c r="P520" s="164"/>
      <c r="Q520" s="164"/>
      <c r="R520" s="164"/>
      <c r="S520" s="164"/>
      <c r="T520" s="164"/>
      <c r="U520" s="164"/>
      <c r="V520" s="164"/>
      <c r="W520" s="164"/>
      <c r="X520" s="164"/>
      <c r="Y520" s="164"/>
      <c r="Z520" s="164"/>
    </row>
    <row r="521">
      <c r="A521" s="164"/>
      <c r="B521" s="164"/>
      <c r="C521" s="164"/>
      <c r="D521" s="164"/>
      <c r="E521" s="164"/>
      <c r="F521" s="164"/>
      <c r="G521" s="164"/>
      <c r="H521" s="164"/>
      <c r="I521" s="164"/>
      <c r="J521" s="164"/>
      <c r="K521" s="164"/>
      <c r="L521" s="164"/>
      <c r="M521" s="164"/>
      <c r="N521" s="164"/>
      <c r="O521" s="164"/>
      <c r="P521" s="164"/>
      <c r="Q521" s="164"/>
      <c r="R521" s="164"/>
      <c r="S521" s="164"/>
      <c r="T521" s="164"/>
      <c r="U521" s="164"/>
      <c r="V521" s="164"/>
      <c r="W521" s="164"/>
      <c r="X521" s="164"/>
      <c r="Y521" s="164"/>
      <c r="Z521" s="164"/>
    </row>
    <row r="522">
      <c r="A522" s="164"/>
      <c r="B522" s="164"/>
      <c r="C522" s="164"/>
      <c r="D522" s="164"/>
      <c r="E522" s="164"/>
      <c r="F522" s="164"/>
      <c r="G522" s="164"/>
      <c r="H522" s="164"/>
      <c r="I522" s="164"/>
      <c r="J522" s="164"/>
      <c r="K522" s="164"/>
      <c r="L522" s="164"/>
      <c r="M522" s="164"/>
      <c r="N522" s="164"/>
      <c r="O522" s="164"/>
      <c r="P522" s="164"/>
      <c r="Q522" s="164"/>
      <c r="R522" s="164"/>
      <c r="S522" s="164"/>
      <c r="T522" s="164"/>
      <c r="U522" s="164"/>
      <c r="V522" s="164"/>
      <c r="W522" s="164"/>
      <c r="X522" s="164"/>
      <c r="Y522" s="164"/>
      <c r="Z522" s="164"/>
    </row>
    <row r="523">
      <c r="A523" s="164"/>
      <c r="B523" s="164"/>
      <c r="C523" s="164"/>
      <c r="D523" s="164"/>
      <c r="E523" s="164"/>
      <c r="F523" s="164"/>
      <c r="G523" s="164"/>
      <c r="H523" s="164"/>
      <c r="I523" s="164"/>
      <c r="J523" s="164"/>
      <c r="K523" s="164"/>
      <c r="L523" s="164"/>
      <c r="M523" s="164"/>
      <c r="N523" s="164"/>
      <c r="O523" s="164"/>
      <c r="P523" s="164"/>
      <c r="Q523" s="164"/>
      <c r="R523" s="164"/>
      <c r="S523" s="164"/>
      <c r="T523" s="164"/>
      <c r="U523" s="164"/>
      <c r="V523" s="164"/>
      <c r="W523" s="164"/>
      <c r="X523" s="164"/>
      <c r="Y523" s="164"/>
      <c r="Z523" s="164"/>
    </row>
    <row r="524">
      <c r="A524" s="164"/>
      <c r="B524" s="164"/>
      <c r="C524" s="164"/>
      <c r="D524" s="164"/>
      <c r="E524" s="164"/>
      <c r="F524" s="164"/>
      <c r="G524" s="164"/>
      <c r="H524" s="164"/>
      <c r="I524" s="164"/>
      <c r="J524" s="164"/>
      <c r="K524" s="164"/>
      <c r="L524" s="164"/>
      <c r="M524" s="164"/>
      <c r="N524" s="164"/>
      <c r="O524" s="164"/>
      <c r="P524" s="164"/>
      <c r="Q524" s="164"/>
      <c r="R524" s="164"/>
      <c r="S524" s="164"/>
      <c r="T524" s="164"/>
      <c r="U524" s="164"/>
      <c r="V524" s="164"/>
      <c r="W524" s="164"/>
      <c r="X524" s="164"/>
      <c r="Y524" s="164"/>
      <c r="Z524" s="164"/>
    </row>
    <row r="525">
      <c r="A525" s="164"/>
      <c r="B525" s="164"/>
      <c r="C525" s="164"/>
      <c r="D525" s="164"/>
      <c r="E525" s="164"/>
      <c r="F525" s="164"/>
      <c r="G525" s="164"/>
      <c r="H525" s="164"/>
      <c r="I525" s="164"/>
      <c r="J525" s="164"/>
      <c r="K525" s="164"/>
      <c r="L525" s="164"/>
      <c r="M525" s="164"/>
      <c r="N525" s="164"/>
      <c r="O525" s="164"/>
      <c r="P525" s="164"/>
      <c r="Q525" s="164"/>
      <c r="R525" s="164"/>
      <c r="S525" s="164"/>
      <c r="T525" s="164"/>
      <c r="U525" s="164"/>
      <c r="V525" s="164"/>
      <c r="W525" s="164"/>
      <c r="X525" s="164"/>
      <c r="Y525" s="164"/>
      <c r="Z525" s="164"/>
    </row>
    <row r="526">
      <c r="A526" s="164"/>
      <c r="B526" s="164"/>
      <c r="C526" s="164"/>
      <c r="D526" s="164"/>
      <c r="E526" s="164"/>
      <c r="F526" s="164"/>
      <c r="G526" s="164"/>
      <c r="H526" s="164"/>
      <c r="I526" s="164"/>
      <c r="J526" s="164"/>
      <c r="K526" s="164"/>
      <c r="L526" s="164"/>
      <c r="M526" s="164"/>
      <c r="N526" s="164"/>
      <c r="O526" s="164"/>
      <c r="P526" s="164"/>
      <c r="Q526" s="164"/>
      <c r="R526" s="164"/>
      <c r="S526" s="164"/>
      <c r="T526" s="164"/>
      <c r="U526" s="164"/>
      <c r="V526" s="164"/>
      <c r="W526" s="164"/>
      <c r="X526" s="164"/>
      <c r="Y526" s="164"/>
      <c r="Z526" s="164"/>
    </row>
    <row r="527">
      <c r="A527" s="164"/>
      <c r="B527" s="164"/>
      <c r="C527" s="164"/>
      <c r="D527" s="164"/>
      <c r="E527" s="164"/>
      <c r="F527" s="164"/>
      <c r="G527" s="164"/>
      <c r="H527" s="164"/>
      <c r="I527" s="164"/>
      <c r="J527" s="164"/>
      <c r="K527" s="164"/>
      <c r="L527" s="164"/>
      <c r="M527" s="164"/>
      <c r="N527" s="164"/>
      <c r="O527" s="164"/>
      <c r="P527" s="164"/>
      <c r="Q527" s="164"/>
      <c r="R527" s="164"/>
      <c r="S527" s="164"/>
      <c r="T527" s="164"/>
      <c r="U527" s="164"/>
      <c r="V527" s="164"/>
      <c r="W527" s="164"/>
      <c r="X527" s="164"/>
      <c r="Y527" s="164"/>
      <c r="Z527" s="164"/>
    </row>
    <row r="528">
      <c r="A528" s="164"/>
      <c r="B528" s="164"/>
      <c r="C528" s="164"/>
      <c r="D528" s="164"/>
      <c r="E528" s="164"/>
      <c r="F528" s="164"/>
      <c r="G528" s="164"/>
      <c r="H528" s="164"/>
      <c r="I528" s="164"/>
      <c r="J528" s="164"/>
      <c r="K528" s="164"/>
      <c r="L528" s="164"/>
      <c r="M528" s="164"/>
      <c r="N528" s="164"/>
      <c r="O528" s="164"/>
      <c r="P528" s="164"/>
      <c r="Q528" s="164"/>
      <c r="R528" s="164"/>
      <c r="S528" s="164"/>
      <c r="T528" s="164"/>
      <c r="U528" s="164"/>
      <c r="V528" s="164"/>
      <c r="W528" s="164"/>
      <c r="X528" s="164"/>
      <c r="Y528" s="164"/>
      <c r="Z528" s="164"/>
    </row>
    <row r="529">
      <c r="A529" s="164"/>
      <c r="B529" s="164"/>
      <c r="C529" s="164"/>
      <c r="D529" s="164"/>
      <c r="E529" s="164"/>
      <c r="F529" s="164"/>
      <c r="G529" s="164"/>
      <c r="H529" s="164"/>
      <c r="I529" s="164"/>
      <c r="J529" s="164"/>
      <c r="K529" s="164"/>
      <c r="L529" s="164"/>
      <c r="M529" s="164"/>
      <c r="N529" s="164"/>
      <c r="O529" s="164"/>
      <c r="P529" s="164"/>
      <c r="Q529" s="164"/>
      <c r="R529" s="164"/>
      <c r="S529" s="164"/>
      <c r="T529" s="164"/>
      <c r="U529" s="164"/>
      <c r="V529" s="164"/>
      <c r="W529" s="164"/>
      <c r="X529" s="164"/>
      <c r="Y529" s="164"/>
      <c r="Z529" s="164"/>
    </row>
    <row r="530">
      <c r="A530" s="164"/>
      <c r="B530" s="164"/>
      <c r="C530" s="164"/>
      <c r="D530" s="164"/>
      <c r="E530" s="164"/>
      <c r="F530" s="164"/>
      <c r="G530" s="164"/>
      <c r="H530" s="164"/>
      <c r="I530" s="164"/>
      <c r="J530" s="164"/>
      <c r="K530" s="164"/>
      <c r="L530" s="164"/>
      <c r="M530" s="164"/>
      <c r="N530" s="164"/>
      <c r="O530" s="164"/>
      <c r="P530" s="164"/>
      <c r="Q530" s="164"/>
      <c r="R530" s="164"/>
      <c r="S530" s="164"/>
      <c r="T530" s="164"/>
      <c r="U530" s="164"/>
      <c r="V530" s="164"/>
      <c r="W530" s="164"/>
      <c r="X530" s="164"/>
      <c r="Y530" s="164"/>
      <c r="Z530" s="164"/>
    </row>
    <row r="531">
      <c r="A531" s="164"/>
      <c r="B531" s="164"/>
      <c r="C531" s="164"/>
      <c r="D531" s="164"/>
      <c r="E531" s="164"/>
      <c r="F531" s="164"/>
      <c r="G531" s="164"/>
      <c r="H531" s="164"/>
      <c r="I531" s="164"/>
      <c r="J531" s="164"/>
      <c r="K531" s="164"/>
      <c r="L531" s="164"/>
      <c r="M531" s="164"/>
      <c r="N531" s="164"/>
      <c r="O531" s="164"/>
      <c r="P531" s="164"/>
      <c r="Q531" s="164"/>
      <c r="R531" s="164"/>
      <c r="S531" s="164"/>
      <c r="T531" s="164"/>
      <c r="U531" s="164"/>
      <c r="V531" s="164"/>
      <c r="W531" s="164"/>
      <c r="X531" s="164"/>
      <c r="Y531" s="164"/>
      <c r="Z531" s="164"/>
    </row>
    <row r="532">
      <c r="A532" s="164"/>
      <c r="B532" s="164"/>
      <c r="C532" s="164"/>
      <c r="D532" s="164"/>
      <c r="E532" s="164"/>
      <c r="F532" s="164"/>
      <c r="G532" s="164"/>
      <c r="H532" s="164"/>
      <c r="I532" s="164"/>
      <c r="J532" s="164"/>
      <c r="K532" s="164"/>
      <c r="L532" s="164"/>
      <c r="M532" s="164"/>
      <c r="N532" s="164"/>
      <c r="O532" s="164"/>
      <c r="P532" s="164"/>
      <c r="Q532" s="164"/>
      <c r="R532" s="164"/>
      <c r="S532" s="164"/>
      <c r="T532" s="164"/>
      <c r="U532" s="164"/>
      <c r="V532" s="164"/>
      <c r="W532" s="164"/>
      <c r="X532" s="164"/>
      <c r="Y532" s="164"/>
      <c r="Z532" s="164"/>
    </row>
    <row r="533">
      <c r="A533" s="164"/>
      <c r="B533" s="164"/>
      <c r="C533" s="164"/>
      <c r="D533" s="164"/>
      <c r="E533" s="164"/>
      <c r="F533" s="164"/>
      <c r="G533" s="164"/>
      <c r="H533" s="164"/>
      <c r="I533" s="164"/>
      <c r="J533" s="164"/>
      <c r="K533" s="164"/>
      <c r="L533" s="164"/>
      <c r="M533" s="164"/>
      <c r="N533" s="164"/>
      <c r="O533" s="164"/>
      <c r="P533" s="164"/>
      <c r="Q533" s="164"/>
      <c r="R533" s="164"/>
      <c r="S533" s="164"/>
      <c r="T533" s="164"/>
      <c r="U533" s="164"/>
      <c r="V533" s="164"/>
      <c r="W533" s="164"/>
      <c r="X533" s="164"/>
      <c r="Y533" s="164"/>
      <c r="Z533" s="164"/>
    </row>
    <row r="534">
      <c r="A534" s="164"/>
      <c r="B534" s="164"/>
      <c r="C534" s="164"/>
      <c r="D534" s="164"/>
      <c r="E534" s="164"/>
      <c r="F534" s="164"/>
      <c r="G534" s="164"/>
      <c r="H534" s="164"/>
      <c r="I534" s="164"/>
      <c r="J534" s="164"/>
      <c r="K534" s="164"/>
      <c r="L534" s="164"/>
      <c r="M534" s="164"/>
      <c r="N534" s="164"/>
      <c r="O534" s="164"/>
      <c r="P534" s="164"/>
      <c r="Q534" s="164"/>
      <c r="R534" s="164"/>
      <c r="S534" s="164"/>
      <c r="T534" s="164"/>
      <c r="U534" s="164"/>
      <c r="V534" s="164"/>
      <c r="W534" s="164"/>
      <c r="X534" s="164"/>
      <c r="Y534" s="164"/>
      <c r="Z534" s="164"/>
    </row>
    <row r="535">
      <c r="A535" s="164"/>
      <c r="B535" s="164"/>
      <c r="C535" s="164"/>
      <c r="D535" s="164"/>
      <c r="E535" s="164"/>
      <c r="F535" s="164"/>
      <c r="G535" s="164"/>
      <c r="H535" s="164"/>
      <c r="I535" s="164"/>
      <c r="J535" s="164"/>
      <c r="K535" s="164"/>
      <c r="L535" s="164"/>
      <c r="M535" s="164"/>
      <c r="N535" s="164"/>
      <c r="O535" s="164"/>
      <c r="P535" s="164"/>
      <c r="Q535" s="164"/>
      <c r="R535" s="164"/>
      <c r="S535" s="164"/>
      <c r="T535" s="164"/>
      <c r="U535" s="164"/>
      <c r="V535" s="164"/>
      <c r="W535" s="164"/>
      <c r="X535" s="164"/>
      <c r="Y535" s="164"/>
      <c r="Z535" s="164"/>
    </row>
    <row r="536">
      <c r="A536" s="164"/>
      <c r="B536" s="164"/>
      <c r="C536" s="164"/>
      <c r="D536" s="164"/>
      <c r="E536" s="164"/>
      <c r="F536" s="164"/>
      <c r="G536" s="164"/>
      <c r="H536" s="164"/>
      <c r="I536" s="164"/>
      <c r="J536" s="164"/>
      <c r="K536" s="164"/>
      <c r="L536" s="164"/>
      <c r="M536" s="164"/>
      <c r="N536" s="164"/>
      <c r="O536" s="164"/>
      <c r="P536" s="164"/>
      <c r="Q536" s="164"/>
      <c r="R536" s="164"/>
      <c r="S536" s="164"/>
      <c r="T536" s="164"/>
      <c r="U536" s="164"/>
      <c r="V536" s="164"/>
      <c r="W536" s="164"/>
      <c r="X536" s="164"/>
      <c r="Y536" s="164"/>
      <c r="Z536" s="164"/>
    </row>
    <row r="537">
      <c r="A537" s="164"/>
      <c r="B537" s="164"/>
      <c r="C537" s="164"/>
      <c r="D537" s="164"/>
      <c r="E537" s="164"/>
      <c r="F537" s="164"/>
      <c r="G537" s="164"/>
      <c r="H537" s="164"/>
      <c r="I537" s="164"/>
      <c r="J537" s="164"/>
      <c r="K537" s="164"/>
      <c r="L537" s="164"/>
      <c r="M537" s="164"/>
      <c r="N537" s="164"/>
      <c r="O537" s="164"/>
      <c r="P537" s="164"/>
      <c r="Q537" s="164"/>
      <c r="R537" s="164"/>
      <c r="S537" s="164"/>
      <c r="T537" s="164"/>
      <c r="U537" s="164"/>
      <c r="V537" s="164"/>
      <c r="W537" s="164"/>
      <c r="X537" s="164"/>
      <c r="Y537" s="164"/>
      <c r="Z537" s="164"/>
    </row>
    <row r="538">
      <c r="A538" s="164"/>
      <c r="B538" s="164"/>
      <c r="C538" s="164"/>
      <c r="D538" s="164"/>
      <c r="E538" s="164"/>
      <c r="F538" s="164"/>
      <c r="G538" s="164"/>
      <c r="H538" s="164"/>
      <c r="I538" s="164"/>
      <c r="J538" s="164"/>
      <c r="K538" s="164"/>
      <c r="L538" s="164"/>
      <c r="M538" s="164"/>
      <c r="N538" s="164"/>
      <c r="O538" s="164"/>
      <c r="P538" s="164"/>
      <c r="Q538" s="164"/>
      <c r="R538" s="164"/>
      <c r="S538" s="164"/>
      <c r="T538" s="164"/>
      <c r="U538" s="164"/>
      <c r="V538" s="164"/>
      <c r="W538" s="164"/>
      <c r="X538" s="164"/>
      <c r="Y538" s="164"/>
      <c r="Z538" s="164"/>
    </row>
    <row r="539">
      <c r="A539" s="164"/>
      <c r="B539" s="164"/>
      <c r="C539" s="164"/>
      <c r="D539" s="164"/>
      <c r="E539" s="164"/>
      <c r="F539" s="164"/>
      <c r="G539" s="164"/>
      <c r="H539" s="164"/>
      <c r="I539" s="164"/>
      <c r="J539" s="164"/>
      <c r="K539" s="164"/>
      <c r="L539" s="164"/>
      <c r="M539" s="164"/>
      <c r="N539" s="164"/>
      <c r="O539" s="164"/>
      <c r="P539" s="164"/>
      <c r="Q539" s="164"/>
      <c r="R539" s="164"/>
      <c r="S539" s="164"/>
      <c r="T539" s="164"/>
      <c r="U539" s="164"/>
      <c r="V539" s="164"/>
      <c r="W539" s="164"/>
      <c r="X539" s="164"/>
      <c r="Y539" s="164"/>
      <c r="Z539" s="164"/>
    </row>
    <row r="540">
      <c r="A540" s="164"/>
      <c r="B540" s="164"/>
      <c r="C540" s="164"/>
      <c r="D540" s="164"/>
      <c r="E540" s="164"/>
      <c r="F540" s="164"/>
      <c r="G540" s="164"/>
      <c r="H540" s="164"/>
      <c r="I540" s="164"/>
      <c r="J540" s="164"/>
      <c r="K540" s="164"/>
      <c r="L540" s="164"/>
      <c r="M540" s="164"/>
      <c r="N540" s="164"/>
      <c r="O540" s="164"/>
      <c r="P540" s="164"/>
      <c r="Q540" s="164"/>
      <c r="R540" s="164"/>
      <c r="S540" s="164"/>
      <c r="T540" s="164"/>
      <c r="U540" s="164"/>
      <c r="V540" s="164"/>
      <c r="W540" s="164"/>
      <c r="X540" s="164"/>
      <c r="Y540" s="164"/>
      <c r="Z540" s="164"/>
    </row>
    <row r="541">
      <c r="A541" s="164"/>
      <c r="B541" s="164"/>
      <c r="C541" s="164"/>
      <c r="D541" s="164"/>
      <c r="E541" s="164"/>
      <c r="F541" s="164"/>
      <c r="G541" s="164"/>
      <c r="H541" s="164"/>
      <c r="I541" s="164"/>
      <c r="J541" s="164"/>
      <c r="K541" s="164"/>
      <c r="L541" s="164"/>
      <c r="M541" s="164"/>
      <c r="N541" s="164"/>
      <c r="O541" s="164"/>
      <c r="P541" s="164"/>
      <c r="Q541" s="164"/>
      <c r="R541" s="164"/>
      <c r="S541" s="164"/>
      <c r="T541" s="164"/>
      <c r="U541" s="164"/>
      <c r="V541" s="164"/>
      <c r="W541" s="164"/>
      <c r="X541" s="164"/>
      <c r="Y541" s="164"/>
      <c r="Z541" s="164"/>
    </row>
    <row r="542">
      <c r="A542" s="164"/>
      <c r="B542" s="164"/>
      <c r="C542" s="164"/>
      <c r="D542" s="164"/>
      <c r="E542" s="164"/>
      <c r="F542" s="164"/>
      <c r="G542" s="164"/>
      <c r="H542" s="164"/>
      <c r="I542" s="164"/>
      <c r="J542" s="164"/>
      <c r="K542" s="164"/>
      <c r="L542" s="164"/>
      <c r="M542" s="164"/>
      <c r="N542" s="164"/>
      <c r="O542" s="164"/>
      <c r="P542" s="164"/>
      <c r="Q542" s="164"/>
      <c r="R542" s="164"/>
      <c r="S542" s="164"/>
      <c r="T542" s="164"/>
      <c r="U542" s="164"/>
      <c r="V542" s="164"/>
      <c r="W542" s="164"/>
      <c r="X542" s="164"/>
      <c r="Y542" s="164"/>
      <c r="Z542" s="164"/>
    </row>
    <row r="543">
      <c r="A543" s="164"/>
      <c r="B543" s="164"/>
      <c r="C543" s="164"/>
      <c r="D543" s="164"/>
      <c r="E543" s="164"/>
      <c r="F543" s="164"/>
      <c r="G543" s="164"/>
      <c r="H543" s="164"/>
      <c r="I543" s="164"/>
      <c r="J543" s="164"/>
      <c r="K543" s="164"/>
      <c r="L543" s="164"/>
      <c r="M543" s="164"/>
      <c r="N543" s="164"/>
      <c r="O543" s="164"/>
      <c r="P543" s="164"/>
      <c r="Q543" s="164"/>
      <c r="R543" s="164"/>
      <c r="S543" s="164"/>
      <c r="T543" s="164"/>
      <c r="U543" s="164"/>
      <c r="V543" s="164"/>
      <c r="W543" s="164"/>
      <c r="X543" s="164"/>
      <c r="Y543" s="164"/>
      <c r="Z543" s="164"/>
    </row>
    <row r="544">
      <c r="A544" s="164"/>
      <c r="B544" s="164"/>
      <c r="C544" s="164"/>
      <c r="D544" s="164"/>
      <c r="E544" s="164"/>
      <c r="F544" s="164"/>
      <c r="G544" s="164"/>
      <c r="H544" s="164"/>
      <c r="I544" s="164"/>
      <c r="J544" s="164"/>
      <c r="K544" s="164"/>
      <c r="L544" s="164"/>
      <c r="M544" s="164"/>
      <c r="N544" s="164"/>
      <c r="O544" s="164"/>
      <c r="P544" s="164"/>
      <c r="Q544" s="164"/>
      <c r="R544" s="164"/>
      <c r="S544" s="164"/>
      <c r="T544" s="164"/>
      <c r="U544" s="164"/>
      <c r="V544" s="164"/>
      <c r="W544" s="164"/>
      <c r="X544" s="164"/>
      <c r="Y544" s="164"/>
      <c r="Z544" s="164"/>
    </row>
    <row r="545">
      <c r="A545" s="164"/>
      <c r="B545" s="164"/>
      <c r="C545" s="164"/>
      <c r="D545" s="164"/>
      <c r="E545" s="164"/>
      <c r="F545" s="164"/>
      <c r="G545" s="164"/>
      <c r="H545" s="164"/>
      <c r="I545" s="164"/>
      <c r="J545" s="164"/>
      <c r="K545" s="164"/>
      <c r="L545" s="164"/>
      <c r="M545" s="164"/>
      <c r="N545" s="164"/>
      <c r="O545" s="164"/>
      <c r="P545" s="164"/>
      <c r="Q545" s="164"/>
      <c r="R545" s="164"/>
      <c r="S545" s="164"/>
      <c r="T545" s="164"/>
      <c r="U545" s="164"/>
      <c r="V545" s="164"/>
      <c r="W545" s="164"/>
      <c r="X545" s="164"/>
      <c r="Y545" s="164"/>
      <c r="Z545" s="164"/>
    </row>
    <row r="546">
      <c r="A546" s="164"/>
      <c r="B546" s="164"/>
      <c r="C546" s="164"/>
      <c r="D546" s="164"/>
      <c r="E546" s="164"/>
      <c r="F546" s="164"/>
      <c r="G546" s="164"/>
      <c r="H546" s="164"/>
      <c r="I546" s="164"/>
      <c r="J546" s="164"/>
      <c r="K546" s="164"/>
      <c r="L546" s="164"/>
      <c r="M546" s="164"/>
      <c r="N546" s="164"/>
      <c r="O546" s="164"/>
      <c r="P546" s="164"/>
      <c r="Q546" s="164"/>
      <c r="R546" s="164"/>
      <c r="S546" s="164"/>
      <c r="T546" s="164"/>
      <c r="U546" s="164"/>
      <c r="V546" s="164"/>
      <c r="W546" s="164"/>
      <c r="X546" s="164"/>
      <c r="Y546" s="164"/>
      <c r="Z546" s="164"/>
    </row>
    <row r="547">
      <c r="A547" s="164"/>
      <c r="B547" s="164"/>
      <c r="C547" s="164"/>
      <c r="D547" s="164"/>
      <c r="E547" s="164"/>
      <c r="F547" s="164"/>
      <c r="G547" s="164"/>
      <c r="H547" s="164"/>
      <c r="I547" s="164"/>
      <c r="J547" s="164"/>
      <c r="K547" s="164"/>
      <c r="L547" s="164"/>
      <c r="M547" s="164"/>
      <c r="N547" s="164"/>
      <c r="O547" s="164"/>
      <c r="P547" s="164"/>
      <c r="Q547" s="164"/>
      <c r="R547" s="164"/>
      <c r="S547" s="164"/>
      <c r="T547" s="164"/>
      <c r="U547" s="164"/>
      <c r="V547" s="164"/>
      <c r="W547" s="164"/>
      <c r="X547" s="164"/>
      <c r="Y547" s="164"/>
      <c r="Z547" s="164"/>
    </row>
    <row r="548">
      <c r="A548" s="164"/>
      <c r="B548" s="164"/>
      <c r="C548" s="164"/>
      <c r="D548" s="164"/>
      <c r="E548" s="164"/>
      <c r="F548" s="164"/>
      <c r="G548" s="164"/>
      <c r="H548" s="164"/>
      <c r="I548" s="164"/>
      <c r="J548" s="164"/>
      <c r="K548" s="164"/>
      <c r="L548" s="164"/>
      <c r="M548" s="164"/>
      <c r="N548" s="164"/>
      <c r="O548" s="164"/>
      <c r="P548" s="164"/>
      <c r="Q548" s="164"/>
      <c r="R548" s="164"/>
      <c r="S548" s="164"/>
      <c r="T548" s="164"/>
      <c r="U548" s="164"/>
      <c r="V548" s="164"/>
      <c r="W548" s="164"/>
      <c r="X548" s="164"/>
      <c r="Y548" s="164"/>
      <c r="Z548" s="164"/>
    </row>
    <row r="549">
      <c r="A549" s="164"/>
      <c r="B549" s="164"/>
      <c r="C549" s="164"/>
      <c r="D549" s="164"/>
      <c r="E549" s="164"/>
      <c r="F549" s="164"/>
      <c r="G549" s="164"/>
      <c r="H549" s="164"/>
      <c r="I549" s="164"/>
      <c r="J549" s="164"/>
      <c r="K549" s="164"/>
      <c r="L549" s="164"/>
      <c r="M549" s="164"/>
      <c r="N549" s="164"/>
      <c r="O549" s="164"/>
      <c r="P549" s="164"/>
      <c r="Q549" s="164"/>
      <c r="R549" s="164"/>
      <c r="S549" s="164"/>
      <c r="T549" s="164"/>
      <c r="U549" s="164"/>
      <c r="V549" s="164"/>
      <c r="W549" s="164"/>
      <c r="X549" s="164"/>
      <c r="Y549" s="164"/>
      <c r="Z549" s="164"/>
    </row>
    <row r="550">
      <c r="A550" s="164"/>
      <c r="B550" s="164"/>
      <c r="C550" s="164"/>
      <c r="D550" s="164"/>
      <c r="E550" s="164"/>
      <c r="F550" s="164"/>
      <c r="G550" s="164"/>
      <c r="H550" s="164"/>
      <c r="I550" s="164"/>
      <c r="J550" s="164"/>
      <c r="K550" s="164"/>
      <c r="L550" s="164"/>
      <c r="M550" s="164"/>
      <c r="N550" s="164"/>
      <c r="O550" s="164"/>
      <c r="P550" s="164"/>
      <c r="Q550" s="164"/>
      <c r="R550" s="164"/>
      <c r="S550" s="164"/>
      <c r="T550" s="164"/>
      <c r="U550" s="164"/>
      <c r="V550" s="164"/>
      <c r="W550" s="164"/>
      <c r="X550" s="164"/>
      <c r="Y550" s="164"/>
      <c r="Z550" s="164"/>
    </row>
    <row r="551">
      <c r="A551" s="164"/>
      <c r="B551" s="164"/>
      <c r="C551" s="164"/>
      <c r="D551" s="164"/>
      <c r="E551" s="164"/>
      <c r="F551" s="164"/>
      <c r="G551" s="164"/>
      <c r="H551" s="164"/>
      <c r="I551" s="164"/>
      <c r="J551" s="164"/>
      <c r="K551" s="164"/>
      <c r="L551" s="164"/>
      <c r="M551" s="164"/>
      <c r="N551" s="164"/>
      <c r="O551" s="164"/>
      <c r="P551" s="164"/>
      <c r="Q551" s="164"/>
      <c r="R551" s="164"/>
      <c r="S551" s="164"/>
      <c r="T551" s="164"/>
      <c r="U551" s="164"/>
      <c r="V551" s="164"/>
      <c r="W551" s="164"/>
      <c r="X551" s="164"/>
      <c r="Y551" s="164"/>
      <c r="Z551" s="164"/>
    </row>
    <row r="552">
      <c r="A552" s="164"/>
      <c r="B552" s="164"/>
      <c r="C552" s="164"/>
      <c r="D552" s="164"/>
      <c r="E552" s="164"/>
      <c r="F552" s="164"/>
      <c r="G552" s="164"/>
      <c r="H552" s="164"/>
      <c r="I552" s="164"/>
      <c r="J552" s="164"/>
      <c r="K552" s="164"/>
      <c r="L552" s="164"/>
      <c r="M552" s="164"/>
      <c r="N552" s="164"/>
      <c r="O552" s="164"/>
      <c r="P552" s="164"/>
      <c r="Q552" s="164"/>
      <c r="R552" s="164"/>
      <c r="S552" s="164"/>
      <c r="T552" s="164"/>
      <c r="U552" s="164"/>
      <c r="V552" s="164"/>
      <c r="W552" s="164"/>
      <c r="X552" s="164"/>
      <c r="Y552" s="164"/>
      <c r="Z552" s="164"/>
    </row>
    <row r="553">
      <c r="A553" s="164"/>
      <c r="B553" s="164"/>
      <c r="C553" s="164"/>
      <c r="D553" s="164"/>
      <c r="E553" s="164"/>
      <c r="F553" s="164"/>
      <c r="G553" s="164"/>
      <c r="H553" s="164"/>
      <c r="I553" s="164"/>
      <c r="J553" s="164"/>
      <c r="K553" s="164"/>
      <c r="L553" s="164"/>
      <c r="M553" s="164"/>
      <c r="N553" s="164"/>
      <c r="O553" s="164"/>
      <c r="P553" s="164"/>
      <c r="Q553" s="164"/>
      <c r="R553" s="164"/>
      <c r="S553" s="164"/>
      <c r="T553" s="164"/>
      <c r="U553" s="164"/>
      <c r="V553" s="164"/>
      <c r="W553" s="164"/>
      <c r="X553" s="164"/>
      <c r="Y553" s="164"/>
      <c r="Z553" s="164"/>
    </row>
    <row r="554">
      <c r="A554" s="164"/>
      <c r="B554" s="164"/>
      <c r="C554" s="164"/>
      <c r="D554" s="164"/>
      <c r="E554" s="164"/>
      <c r="F554" s="164"/>
      <c r="G554" s="164"/>
      <c r="H554" s="164"/>
      <c r="I554" s="164"/>
      <c r="J554" s="164"/>
      <c r="K554" s="164"/>
      <c r="L554" s="164"/>
      <c r="M554" s="164"/>
      <c r="N554" s="164"/>
      <c r="O554" s="164"/>
      <c r="P554" s="164"/>
      <c r="Q554" s="164"/>
      <c r="R554" s="164"/>
      <c r="S554" s="164"/>
      <c r="T554" s="164"/>
      <c r="U554" s="164"/>
      <c r="V554" s="164"/>
      <c r="W554" s="164"/>
      <c r="X554" s="164"/>
      <c r="Y554" s="164"/>
      <c r="Z554" s="164"/>
    </row>
    <row r="555">
      <c r="A555" s="164"/>
      <c r="B555" s="164"/>
      <c r="C555" s="164"/>
      <c r="D555" s="164"/>
      <c r="E555" s="164"/>
      <c r="F555" s="164"/>
      <c r="G555" s="164"/>
      <c r="H555" s="164"/>
      <c r="I555" s="164"/>
      <c r="J555" s="164"/>
      <c r="K555" s="164"/>
      <c r="L555" s="164"/>
      <c r="M555" s="164"/>
      <c r="N555" s="164"/>
      <c r="O555" s="164"/>
      <c r="P555" s="164"/>
      <c r="Q555" s="164"/>
      <c r="R555" s="164"/>
      <c r="S555" s="164"/>
      <c r="T555" s="164"/>
      <c r="U555" s="164"/>
      <c r="V555" s="164"/>
      <c r="W555" s="164"/>
      <c r="X555" s="164"/>
      <c r="Y555" s="164"/>
      <c r="Z555" s="164"/>
    </row>
    <row r="556">
      <c r="A556" s="164"/>
      <c r="B556" s="164"/>
      <c r="C556" s="164"/>
      <c r="D556" s="164"/>
      <c r="E556" s="164"/>
      <c r="F556" s="164"/>
      <c r="G556" s="164"/>
      <c r="H556" s="164"/>
      <c r="I556" s="164"/>
      <c r="J556" s="164"/>
      <c r="K556" s="164"/>
      <c r="L556" s="164"/>
      <c r="M556" s="164"/>
      <c r="N556" s="164"/>
      <c r="O556" s="164"/>
      <c r="P556" s="164"/>
      <c r="Q556" s="164"/>
      <c r="R556" s="164"/>
      <c r="S556" s="164"/>
      <c r="T556" s="164"/>
      <c r="U556" s="164"/>
      <c r="V556" s="164"/>
      <c r="W556" s="164"/>
      <c r="X556" s="164"/>
      <c r="Y556" s="164"/>
      <c r="Z556" s="164"/>
    </row>
    <row r="557">
      <c r="A557" s="164"/>
      <c r="B557" s="164"/>
      <c r="C557" s="164"/>
      <c r="D557" s="164"/>
      <c r="E557" s="164"/>
      <c r="F557" s="164"/>
      <c r="G557" s="164"/>
      <c r="H557" s="164"/>
      <c r="I557" s="164"/>
      <c r="J557" s="164"/>
      <c r="K557" s="164"/>
      <c r="L557" s="164"/>
      <c r="M557" s="164"/>
      <c r="N557" s="164"/>
      <c r="O557" s="164"/>
      <c r="P557" s="164"/>
      <c r="Q557" s="164"/>
      <c r="R557" s="164"/>
      <c r="S557" s="164"/>
      <c r="T557" s="164"/>
      <c r="U557" s="164"/>
      <c r="V557" s="164"/>
      <c r="W557" s="164"/>
      <c r="X557" s="164"/>
      <c r="Y557" s="164"/>
      <c r="Z557" s="164"/>
    </row>
    <row r="558">
      <c r="A558" s="164"/>
      <c r="B558" s="164"/>
      <c r="C558" s="164"/>
      <c r="D558" s="164"/>
      <c r="E558" s="164"/>
      <c r="F558" s="164"/>
      <c r="G558" s="164"/>
      <c r="H558" s="164"/>
      <c r="I558" s="164"/>
      <c r="J558" s="164"/>
      <c r="K558" s="164"/>
      <c r="L558" s="164"/>
      <c r="M558" s="164"/>
      <c r="N558" s="164"/>
      <c r="O558" s="164"/>
      <c r="P558" s="164"/>
      <c r="Q558" s="164"/>
      <c r="R558" s="164"/>
      <c r="S558" s="164"/>
      <c r="T558" s="164"/>
      <c r="U558" s="164"/>
      <c r="V558" s="164"/>
      <c r="W558" s="164"/>
      <c r="X558" s="164"/>
      <c r="Y558" s="164"/>
      <c r="Z558" s="164"/>
    </row>
    <row r="559">
      <c r="A559" s="164"/>
      <c r="B559" s="164"/>
      <c r="C559" s="164"/>
      <c r="D559" s="164"/>
      <c r="E559" s="164"/>
      <c r="F559" s="164"/>
      <c r="G559" s="164"/>
      <c r="H559" s="164"/>
      <c r="I559" s="164"/>
      <c r="J559" s="164"/>
      <c r="K559" s="164"/>
      <c r="L559" s="164"/>
      <c r="M559" s="164"/>
      <c r="N559" s="164"/>
      <c r="O559" s="164"/>
      <c r="P559" s="164"/>
      <c r="Q559" s="164"/>
      <c r="R559" s="164"/>
      <c r="S559" s="164"/>
      <c r="T559" s="164"/>
      <c r="U559" s="164"/>
      <c r="V559" s="164"/>
      <c r="W559" s="164"/>
      <c r="X559" s="164"/>
      <c r="Y559" s="164"/>
      <c r="Z559" s="164"/>
    </row>
    <row r="560">
      <c r="A560" s="164"/>
      <c r="B560" s="164"/>
      <c r="C560" s="164"/>
      <c r="D560" s="164"/>
      <c r="E560" s="164"/>
      <c r="F560" s="164"/>
      <c r="G560" s="164"/>
      <c r="H560" s="164"/>
      <c r="I560" s="164"/>
      <c r="J560" s="164"/>
      <c r="K560" s="164"/>
      <c r="L560" s="164"/>
      <c r="M560" s="164"/>
      <c r="N560" s="164"/>
      <c r="O560" s="164"/>
      <c r="P560" s="164"/>
      <c r="Q560" s="164"/>
      <c r="R560" s="164"/>
      <c r="S560" s="164"/>
      <c r="T560" s="164"/>
      <c r="U560" s="164"/>
      <c r="V560" s="164"/>
      <c r="W560" s="164"/>
      <c r="X560" s="164"/>
      <c r="Y560" s="164"/>
      <c r="Z560" s="164"/>
    </row>
    <row r="561">
      <c r="A561" s="164"/>
      <c r="B561" s="164"/>
      <c r="C561" s="164"/>
      <c r="D561" s="164"/>
      <c r="E561" s="164"/>
      <c r="F561" s="164"/>
      <c r="G561" s="164"/>
      <c r="H561" s="164"/>
      <c r="I561" s="164"/>
      <c r="J561" s="164"/>
      <c r="K561" s="164"/>
      <c r="L561" s="164"/>
      <c r="M561" s="164"/>
      <c r="N561" s="164"/>
      <c r="O561" s="164"/>
      <c r="P561" s="164"/>
      <c r="Q561" s="164"/>
      <c r="R561" s="164"/>
      <c r="S561" s="164"/>
      <c r="T561" s="164"/>
      <c r="U561" s="164"/>
      <c r="V561" s="164"/>
      <c r="W561" s="164"/>
      <c r="X561" s="164"/>
      <c r="Y561" s="164"/>
      <c r="Z561" s="164"/>
    </row>
    <row r="562">
      <c r="A562" s="164"/>
      <c r="B562" s="164"/>
      <c r="C562" s="164"/>
      <c r="D562" s="164"/>
      <c r="E562" s="164"/>
      <c r="F562" s="164"/>
      <c r="G562" s="164"/>
      <c r="H562" s="164"/>
      <c r="I562" s="164"/>
      <c r="J562" s="164"/>
      <c r="K562" s="164"/>
      <c r="L562" s="164"/>
      <c r="M562" s="164"/>
      <c r="N562" s="164"/>
      <c r="O562" s="164"/>
      <c r="P562" s="164"/>
      <c r="Q562" s="164"/>
      <c r="R562" s="164"/>
      <c r="S562" s="164"/>
      <c r="T562" s="164"/>
      <c r="U562" s="164"/>
      <c r="V562" s="164"/>
      <c r="W562" s="164"/>
      <c r="X562" s="164"/>
      <c r="Y562" s="164"/>
      <c r="Z562" s="164"/>
    </row>
    <row r="563">
      <c r="A563" s="164"/>
      <c r="B563" s="164"/>
      <c r="C563" s="164"/>
      <c r="D563" s="164"/>
      <c r="E563" s="164"/>
      <c r="F563" s="164"/>
      <c r="G563" s="164"/>
      <c r="H563" s="164"/>
      <c r="I563" s="164"/>
      <c r="J563" s="164"/>
      <c r="K563" s="164"/>
      <c r="L563" s="164"/>
      <c r="M563" s="164"/>
      <c r="N563" s="164"/>
      <c r="O563" s="164"/>
      <c r="P563" s="164"/>
      <c r="Q563" s="164"/>
      <c r="R563" s="164"/>
      <c r="S563" s="164"/>
      <c r="T563" s="164"/>
      <c r="U563" s="164"/>
      <c r="V563" s="164"/>
      <c r="W563" s="164"/>
      <c r="X563" s="164"/>
      <c r="Y563" s="164"/>
      <c r="Z563" s="164"/>
    </row>
    <row r="564">
      <c r="A564" s="164"/>
      <c r="B564" s="164"/>
      <c r="C564" s="164"/>
      <c r="D564" s="164"/>
      <c r="E564" s="164"/>
      <c r="F564" s="164"/>
      <c r="G564" s="164"/>
      <c r="H564" s="164"/>
      <c r="I564" s="164"/>
      <c r="J564" s="164"/>
      <c r="K564" s="164"/>
      <c r="L564" s="164"/>
      <c r="M564" s="164"/>
      <c r="N564" s="164"/>
      <c r="O564" s="164"/>
      <c r="P564" s="164"/>
      <c r="Q564" s="164"/>
      <c r="R564" s="164"/>
      <c r="S564" s="164"/>
      <c r="T564" s="164"/>
      <c r="U564" s="164"/>
      <c r="V564" s="164"/>
      <c r="W564" s="164"/>
      <c r="X564" s="164"/>
      <c r="Y564" s="164"/>
      <c r="Z564" s="164"/>
    </row>
    <row r="565">
      <c r="A565" s="164"/>
      <c r="B565" s="164"/>
      <c r="C565" s="164"/>
      <c r="D565" s="164"/>
      <c r="E565" s="164"/>
      <c r="F565" s="164"/>
      <c r="G565" s="164"/>
      <c r="H565" s="164"/>
      <c r="I565" s="164"/>
      <c r="J565" s="164"/>
      <c r="K565" s="164"/>
      <c r="L565" s="164"/>
      <c r="M565" s="164"/>
      <c r="N565" s="164"/>
      <c r="O565" s="164"/>
      <c r="P565" s="164"/>
      <c r="Q565" s="164"/>
      <c r="R565" s="164"/>
      <c r="S565" s="164"/>
      <c r="T565" s="164"/>
      <c r="U565" s="164"/>
      <c r="V565" s="164"/>
      <c r="W565" s="164"/>
      <c r="X565" s="164"/>
      <c r="Y565" s="164"/>
      <c r="Z565" s="164"/>
    </row>
    <row r="566">
      <c r="A566" s="164"/>
      <c r="B566" s="164"/>
      <c r="C566" s="164"/>
      <c r="D566" s="164"/>
      <c r="E566" s="164"/>
      <c r="F566" s="164"/>
      <c r="G566" s="164"/>
      <c r="H566" s="164"/>
      <c r="I566" s="164"/>
      <c r="J566" s="164"/>
      <c r="K566" s="164"/>
      <c r="L566" s="164"/>
      <c r="M566" s="164"/>
      <c r="N566" s="164"/>
      <c r="O566" s="164"/>
      <c r="P566" s="164"/>
      <c r="Q566" s="164"/>
      <c r="R566" s="164"/>
      <c r="S566" s="164"/>
      <c r="T566" s="164"/>
      <c r="U566" s="164"/>
      <c r="V566" s="164"/>
      <c r="W566" s="164"/>
      <c r="X566" s="164"/>
      <c r="Y566" s="164"/>
      <c r="Z566" s="164"/>
    </row>
    <row r="567">
      <c r="A567" s="164"/>
      <c r="B567" s="164"/>
      <c r="C567" s="164"/>
      <c r="D567" s="164"/>
      <c r="E567" s="164"/>
      <c r="F567" s="164"/>
      <c r="G567" s="164"/>
      <c r="H567" s="164"/>
      <c r="I567" s="164"/>
      <c r="J567" s="164"/>
      <c r="K567" s="164"/>
      <c r="L567" s="164"/>
      <c r="M567" s="164"/>
      <c r="N567" s="164"/>
      <c r="O567" s="164"/>
      <c r="P567" s="164"/>
      <c r="Q567" s="164"/>
      <c r="R567" s="164"/>
      <c r="S567" s="164"/>
      <c r="T567" s="164"/>
      <c r="U567" s="164"/>
      <c r="V567" s="164"/>
      <c r="W567" s="164"/>
      <c r="X567" s="164"/>
      <c r="Y567" s="164"/>
      <c r="Z567" s="164"/>
    </row>
    <row r="568">
      <c r="A568" s="164"/>
      <c r="B568" s="164"/>
      <c r="C568" s="164"/>
      <c r="D568" s="164"/>
      <c r="E568" s="164"/>
      <c r="F568" s="164"/>
      <c r="G568" s="164"/>
      <c r="H568" s="164"/>
      <c r="I568" s="164"/>
      <c r="J568" s="164"/>
      <c r="K568" s="164"/>
      <c r="L568" s="164"/>
      <c r="M568" s="164"/>
      <c r="N568" s="164"/>
      <c r="O568" s="164"/>
      <c r="P568" s="164"/>
      <c r="Q568" s="164"/>
      <c r="R568" s="164"/>
      <c r="S568" s="164"/>
      <c r="T568" s="164"/>
      <c r="U568" s="164"/>
      <c r="V568" s="164"/>
      <c r="W568" s="164"/>
      <c r="X568" s="164"/>
      <c r="Y568" s="164"/>
      <c r="Z568" s="164"/>
    </row>
    <row r="569">
      <c r="A569" s="164"/>
      <c r="B569" s="164"/>
      <c r="C569" s="164"/>
      <c r="D569" s="164"/>
      <c r="E569" s="164"/>
      <c r="F569" s="164"/>
      <c r="G569" s="164"/>
      <c r="H569" s="164"/>
      <c r="I569" s="164"/>
      <c r="J569" s="164"/>
      <c r="K569" s="164"/>
      <c r="L569" s="164"/>
      <c r="M569" s="164"/>
      <c r="N569" s="164"/>
      <c r="O569" s="164"/>
      <c r="P569" s="164"/>
      <c r="Q569" s="164"/>
      <c r="R569" s="164"/>
      <c r="S569" s="164"/>
      <c r="T569" s="164"/>
      <c r="U569" s="164"/>
      <c r="V569" s="164"/>
      <c r="W569" s="164"/>
      <c r="X569" s="164"/>
      <c r="Y569" s="164"/>
      <c r="Z569" s="164"/>
    </row>
    <row r="570">
      <c r="A570" s="164"/>
      <c r="B570" s="164"/>
      <c r="C570" s="164"/>
      <c r="D570" s="164"/>
      <c r="E570" s="164"/>
      <c r="F570" s="164"/>
      <c r="G570" s="164"/>
      <c r="H570" s="164"/>
      <c r="I570" s="164"/>
      <c r="J570" s="164"/>
      <c r="K570" s="164"/>
      <c r="L570" s="164"/>
      <c r="M570" s="164"/>
      <c r="N570" s="164"/>
      <c r="O570" s="164"/>
      <c r="P570" s="164"/>
      <c r="Q570" s="164"/>
      <c r="R570" s="164"/>
      <c r="S570" s="164"/>
      <c r="T570" s="164"/>
      <c r="U570" s="164"/>
      <c r="V570" s="164"/>
      <c r="W570" s="164"/>
      <c r="X570" s="164"/>
      <c r="Y570" s="164"/>
      <c r="Z570" s="164"/>
    </row>
    <row r="571">
      <c r="A571" s="164"/>
      <c r="B571" s="164"/>
      <c r="C571" s="164"/>
      <c r="D571" s="164"/>
      <c r="E571" s="164"/>
      <c r="F571" s="164"/>
      <c r="G571" s="164"/>
      <c r="H571" s="164"/>
      <c r="I571" s="164"/>
      <c r="J571" s="164"/>
      <c r="K571" s="164"/>
      <c r="L571" s="164"/>
      <c r="M571" s="164"/>
      <c r="N571" s="164"/>
      <c r="O571" s="164"/>
      <c r="P571" s="164"/>
      <c r="Q571" s="164"/>
      <c r="R571" s="164"/>
      <c r="S571" s="164"/>
      <c r="T571" s="164"/>
      <c r="U571" s="164"/>
      <c r="V571" s="164"/>
      <c r="W571" s="164"/>
      <c r="X571" s="164"/>
      <c r="Y571" s="164"/>
      <c r="Z571" s="164"/>
    </row>
    <row r="572">
      <c r="A572" s="164"/>
      <c r="B572" s="164"/>
      <c r="C572" s="164"/>
      <c r="D572" s="164"/>
      <c r="E572" s="164"/>
      <c r="F572" s="164"/>
      <c r="G572" s="164"/>
      <c r="H572" s="164"/>
      <c r="I572" s="164"/>
      <c r="J572" s="164"/>
      <c r="K572" s="164"/>
      <c r="L572" s="164"/>
      <c r="M572" s="164"/>
      <c r="N572" s="164"/>
      <c r="O572" s="164"/>
      <c r="P572" s="164"/>
      <c r="Q572" s="164"/>
      <c r="R572" s="164"/>
      <c r="S572" s="164"/>
      <c r="T572" s="164"/>
      <c r="U572" s="164"/>
      <c r="V572" s="164"/>
      <c r="W572" s="164"/>
      <c r="X572" s="164"/>
      <c r="Y572" s="164"/>
      <c r="Z572" s="164"/>
    </row>
    <row r="573">
      <c r="A573" s="164"/>
      <c r="B573" s="164"/>
      <c r="C573" s="164"/>
      <c r="D573" s="164"/>
      <c r="E573" s="164"/>
      <c r="F573" s="164"/>
      <c r="G573" s="164"/>
      <c r="H573" s="164"/>
      <c r="I573" s="164"/>
      <c r="J573" s="164"/>
      <c r="K573" s="164"/>
      <c r="L573" s="164"/>
      <c r="M573" s="164"/>
      <c r="N573" s="164"/>
      <c r="O573" s="164"/>
      <c r="P573" s="164"/>
      <c r="Q573" s="164"/>
      <c r="R573" s="164"/>
      <c r="S573" s="164"/>
      <c r="T573" s="164"/>
      <c r="U573" s="164"/>
      <c r="V573" s="164"/>
      <c r="W573" s="164"/>
      <c r="X573" s="164"/>
      <c r="Y573" s="164"/>
      <c r="Z573" s="164"/>
    </row>
    <row r="574">
      <c r="A574" s="164"/>
      <c r="B574" s="164"/>
      <c r="C574" s="164"/>
      <c r="D574" s="164"/>
      <c r="E574" s="164"/>
      <c r="F574" s="164"/>
      <c r="G574" s="164"/>
      <c r="H574" s="164"/>
      <c r="I574" s="164"/>
      <c r="J574" s="164"/>
      <c r="K574" s="164"/>
      <c r="L574" s="164"/>
      <c r="M574" s="164"/>
      <c r="N574" s="164"/>
      <c r="O574" s="164"/>
      <c r="P574" s="164"/>
      <c r="Q574" s="164"/>
      <c r="R574" s="164"/>
      <c r="S574" s="164"/>
      <c r="T574" s="164"/>
      <c r="U574" s="164"/>
      <c r="V574" s="164"/>
      <c r="W574" s="164"/>
      <c r="X574" s="164"/>
      <c r="Y574" s="164"/>
      <c r="Z574" s="164"/>
    </row>
    <row r="575">
      <c r="A575" s="164"/>
      <c r="B575" s="164"/>
      <c r="C575" s="164"/>
      <c r="D575" s="164"/>
      <c r="E575" s="164"/>
      <c r="F575" s="164"/>
      <c r="G575" s="164"/>
      <c r="H575" s="164"/>
      <c r="I575" s="164"/>
      <c r="J575" s="164"/>
      <c r="K575" s="164"/>
      <c r="L575" s="164"/>
      <c r="M575" s="164"/>
      <c r="N575" s="164"/>
      <c r="O575" s="164"/>
      <c r="P575" s="164"/>
      <c r="Q575" s="164"/>
      <c r="R575" s="164"/>
      <c r="S575" s="164"/>
      <c r="T575" s="164"/>
      <c r="U575" s="164"/>
      <c r="V575" s="164"/>
      <c r="W575" s="164"/>
      <c r="X575" s="164"/>
      <c r="Y575" s="164"/>
      <c r="Z575" s="164"/>
    </row>
    <row r="576">
      <c r="A576" s="164"/>
      <c r="B576" s="164"/>
      <c r="C576" s="164"/>
      <c r="D576" s="164"/>
      <c r="E576" s="164"/>
      <c r="F576" s="164"/>
      <c r="G576" s="164"/>
      <c r="H576" s="164"/>
      <c r="I576" s="164"/>
      <c r="J576" s="164"/>
      <c r="K576" s="164"/>
      <c r="L576" s="164"/>
      <c r="M576" s="164"/>
      <c r="N576" s="164"/>
      <c r="O576" s="164"/>
      <c r="P576" s="164"/>
      <c r="Q576" s="164"/>
      <c r="R576" s="164"/>
      <c r="S576" s="164"/>
      <c r="T576" s="164"/>
      <c r="U576" s="164"/>
      <c r="V576" s="164"/>
      <c r="W576" s="164"/>
      <c r="X576" s="164"/>
      <c r="Y576" s="164"/>
      <c r="Z576" s="164"/>
    </row>
    <row r="577">
      <c r="A577" s="164"/>
      <c r="B577" s="164"/>
      <c r="C577" s="164"/>
      <c r="D577" s="164"/>
      <c r="E577" s="164"/>
      <c r="F577" s="164"/>
      <c r="G577" s="164"/>
      <c r="H577" s="164"/>
      <c r="I577" s="164"/>
      <c r="J577" s="164"/>
      <c r="K577" s="164"/>
      <c r="L577" s="164"/>
      <c r="M577" s="164"/>
      <c r="N577" s="164"/>
      <c r="O577" s="164"/>
      <c r="P577" s="164"/>
      <c r="Q577" s="164"/>
      <c r="R577" s="164"/>
      <c r="S577" s="164"/>
      <c r="T577" s="164"/>
      <c r="U577" s="164"/>
      <c r="V577" s="164"/>
      <c r="W577" s="164"/>
      <c r="X577" s="164"/>
      <c r="Y577" s="164"/>
      <c r="Z577" s="164"/>
    </row>
    <row r="578">
      <c r="A578" s="164"/>
      <c r="B578" s="164"/>
      <c r="C578" s="164"/>
      <c r="D578" s="164"/>
      <c r="E578" s="164"/>
      <c r="F578" s="164"/>
      <c r="G578" s="164"/>
      <c r="H578" s="164"/>
      <c r="I578" s="164"/>
      <c r="J578" s="164"/>
      <c r="K578" s="164"/>
      <c r="L578" s="164"/>
      <c r="M578" s="164"/>
      <c r="N578" s="164"/>
      <c r="O578" s="164"/>
      <c r="P578" s="164"/>
      <c r="Q578" s="164"/>
      <c r="R578" s="164"/>
      <c r="S578" s="164"/>
      <c r="T578" s="164"/>
      <c r="U578" s="164"/>
      <c r="V578" s="164"/>
      <c r="W578" s="164"/>
      <c r="X578" s="164"/>
      <c r="Y578" s="164"/>
      <c r="Z578" s="164"/>
    </row>
    <row r="579">
      <c r="A579" s="164"/>
      <c r="B579" s="164"/>
      <c r="C579" s="164"/>
      <c r="D579" s="164"/>
      <c r="E579" s="164"/>
      <c r="F579" s="164"/>
      <c r="G579" s="164"/>
      <c r="H579" s="164"/>
      <c r="I579" s="164"/>
      <c r="J579" s="164"/>
      <c r="K579" s="164"/>
      <c r="L579" s="164"/>
      <c r="M579" s="164"/>
      <c r="N579" s="164"/>
      <c r="O579" s="164"/>
      <c r="P579" s="164"/>
      <c r="Q579" s="164"/>
      <c r="R579" s="164"/>
      <c r="S579" s="164"/>
      <c r="T579" s="164"/>
      <c r="U579" s="164"/>
      <c r="V579" s="164"/>
      <c r="W579" s="164"/>
      <c r="X579" s="164"/>
      <c r="Y579" s="164"/>
      <c r="Z579" s="164"/>
    </row>
    <row r="580">
      <c r="A580" s="164"/>
      <c r="B580" s="164"/>
      <c r="C580" s="164"/>
      <c r="D580" s="164"/>
      <c r="E580" s="164"/>
      <c r="F580" s="164"/>
      <c r="G580" s="164"/>
      <c r="H580" s="164"/>
      <c r="I580" s="164"/>
      <c r="J580" s="164"/>
      <c r="K580" s="164"/>
      <c r="L580" s="164"/>
      <c r="M580" s="164"/>
      <c r="N580" s="164"/>
      <c r="O580" s="164"/>
      <c r="P580" s="164"/>
      <c r="Q580" s="164"/>
      <c r="R580" s="164"/>
      <c r="S580" s="164"/>
      <c r="T580" s="164"/>
      <c r="U580" s="164"/>
      <c r="V580" s="164"/>
      <c r="W580" s="164"/>
      <c r="X580" s="164"/>
      <c r="Y580" s="164"/>
      <c r="Z580" s="164"/>
    </row>
    <row r="581">
      <c r="A581" s="164"/>
      <c r="B581" s="164"/>
      <c r="C581" s="164"/>
      <c r="D581" s="164"/>
      <c r="E581" s="164"/>
      <c r="F581" s="164"/>
      <c r="G581" s="164"/>
      <c r="H581" s="164"/>
      <c r="I581" s="164"/>
      <c r="J581" s="164"/>
      <c r="K581" s="164"/>
      <c r="L581" s="164"/>
      <c r="M581" s="164"/>
      <c r="N581" s="164"/>
      <c r="O581" s="164"/>
      <c r="P581" s="164"/>
      <c r="Q581" s="164"/>
      <c r="R581" s="164"/>
      <c r="S581" s="164"/>
      <c r="T581" s="164"/>
      <c r="U581" s="164"/>
      <c r="V581" s="164"/>
      <c r="W581" s="164"/>
      <c r="X581" s="164"/>
      <c r="Y581" s="164"/>
      <c r="Z581" s="164"/>
    </row>
    <row r="582">
      <c r="A582" s="164"/>
      <c r="B582" s="164"/>
      <c r="C582" s="164"/>
      <c r="D582" s="164"/>
      <c r="E582" s="164"/>
      <c r="F582" s="164"/>
      <c r="G582" s="164"/>
      <c r="H582" s="164"/>
      <c r="I582" s="164"/>
      <c r="J582" s="164"/>
      <c r="K582" s="164"/>
      <c r="L582" s="164"/>
      <c r="M582" s="164"/>
      <c r="N582" s="164"/>
      <c r="O582" s="164"/>
      <c r="P582" s="164"/>
      <c r="Q582" s="164"/>
      <c r="R582" s="164"/>
      <c r="S582" s="164"/>
      <c r="T582" s="164"/>
      <c r="U582" s="164"/>
      <c r="V582" s="164"/>
      <c r="W582" s="164"/>
      <c r="X582" s="164"/>
      <c r="Y582" s="164"/>
      <c r="Z582" s="164"/>
    </row>
    <row r="583">
      <c r="A583" s="164"/>
      <c r="B583" s="164"/>
      <c r="C583" s="164"/>
      <c r="D583" s="164"/>
      <c r="E583" s="164"/>
      <c r="F583" s="164"/>
      <c r="G583" s="164"/>
      <c r="H583" s="164"/>
      <c r="I583" s="164"/>
      <c r="J583" s="164"/>
      <c r="K583" s="164"/>
      <c r="L583" s="164"/>
      <c r="M583" s="164"/>
      <c r="N583" s="164"/>
      <c r="O583" s="164"/>
      <c r="P583" s="164"/>
      <c r="Q583" s="164"/>
      <c r="R583" s="164"/>
      <c r="S583" s="164"/>
      <c r="T583" s="164"/>
      <c r="U583" s="164"/>
      <c r="V583" s="164"/>
      <c r="W583" s="164"/>
      <c r="X583" s="164"/>
      <c r="Y583" s="164"/>
      <c r="Z583" s="164"/>
    </row>
    <row r="584">
      <c r="A584" s="164"/>
      <c r="B584" s="164"/>
      <c r="C584" s="164"/>
      <c r="D584" s="164"/>
      <c r="E584" s="164"/>
      <c r="F584" s="164"/>
      <c r="G584" s="164"/>
      <c r="H584" s="164"/>
      <c r="I584" s="164"/>
      <c r="J584" s="164"/>
      <c r="K584" s="164"/>
      <c r="L584" s="164"/>
      <c r="M584" s="164"/>
      <c r="N584" s="164"/>
      <c r="O584" s="164"/>
      <c r="P584" s="164"/>
      <c r="Q584" s="164"/>
      <c r="R584" s="164"/>
      <c r="S584" s="164"/>
      <c r="T584" s="164"/>
      <c r="U584" s="164"/>
      <c r="V584" s="164"/>
      <c r="W584" s="164"/>
      <c r="X584" s="164"/>
      <c r="Y584" s="164"/>
      <c r="Z584" s="164"/>
    </row>
    <row r="585">
      <c r="A585" s="164"/>
      <c r="B585" s="164"/>
      <c r="C585" s="164"/>
      <c r="D585" s="164"/>
      <c r="E585" s="164"/>
      <c r="F585" s="164"/>
      <c r="G585" s="164"/>
      <c r="H585" s="164"/>
      <c r="I585" s="164"/>
      <c r="J585" s="164"/>
      <c r="K585" s="164"/>
      <c r="L585" s="164"/>
      <c r="M585" s="164"/>
      <c r="N585" s="164"/>
      <c r="O585" s="164"/>
      <c r="P585" s="164"/>
      <c r="Q585" s="164"/>
      <c r="R585" s="164"/>
      <c r="S585" s="164"/>
      <c r="T585" s="164"/>
      <c r="U585" s="164"/>
      <c r="V585" s="164"/>
      <c r="W585" s="164"/>
      <c r="X585" s="164"/>
      <c r="Y585" s="164"/>
      <c r="Z585" s="164"/>
    </row>
    <row r="586">
      <c r="A586" s="164"/>
      <c r="B586" s="164"/>
      <c r="C586" s="164"/>
      <c r="D586" s="164"/>
      <c r="E586" s="164"/>
      <c r="F586" s="164"/>
      <c r="G586" s="164"/>
      <c r="H586" s="164"/>
      <c r="I586" s="164"/>
      <c r="J586" s="164"/>
      <c r="K586" s="164"/>
      <c r="L586" s="164"/>
      <c r="M586" s="164"/>
      <c r="N586" s="164"/>
      <c r="O586" s="164"/>
      <c r="P586" s="164"/>
      <c r="Q586" s="164"/>
      <c r="R586" s="164"/>
      <c r="S586" s="164"/>
      <c r="T586" s="164"/>
      <c r="U586" s="164"/>
      <c r="V586" s="164"/>
      <c r="W586" s="164"/>
      <c r="X586" s="164"/>
      <c r="Y586" s="164"/>
      <c r="Z586" s="164"/>
    </row>
    <row r="587">
      <c r="A587" s="164"/>
      <c r="B587" s="164"/>
      <c r="C587" s="164"/>
      <c r="D587" s="164"/>
      <c r="E587" s="164"/>
      <c r="F587" s="164"/>
      <c r="G587" s="164"/>
      <c r="H587" s="164"/>
      <c r="I587" s="164"/>
      <c r="J587" s="164"/>
      <c r="K587" s="164"/>
      <c r="L587" s="164"/>
      <c r="M587" s="164"/>
      <c r="N587" s="164"/>
      <c r="O587" s="164"/>
      <c r="P587" s="164"/>
      <c r="Q587" s="164"/>
      <c r="R587" s="164"/>
      <c r="S587" s="164"/>
      <c r="T587" s="164"/>
      <c r="U587" s="164"/>
      <c r="V587" s="164"/>
      <c r="W587" s="164"/>
      <c r="X587" s="164"/>
      <c r="Y587" s="164"/>
      <c r="Z587" s="164"/>
    </row>
    <row r="588">
      <c r="A588" s="164"/>
      <c r="B588" s="164"/>
      <c r="C588" s="164"/>
      <c r="D588" s="164"/>
      <c r="E588" s="164"/>
      <c r="F588" s="164"/>
      <c r="G588" s="164"/>
      <c r="H588" s="164"/>
      <c r="I588" s="164"/>
      <c r="J588" s="164"/>
      <c r="K588" s="164"/>
      <c r="L588" s="164"/>
      <c r="M588" s="164"/>
      <c r="N588" s="164"/>
      <c r="O588" s="164"/>
      <c r="P588" s="164"/>
      <c r="Q588" s="164"/>
      <c r="R588" s="164"/>
      <c r="S588" s="164"/>
      <c r="T588" s="164"/>
      <c r="U588" s="164"/>
      <c r="V588" s="164"/>
      <c r="W588" s="164"/>
      <c r="X588" s="164"/>
      <c r="Y588" s="164"/>
      <c r="Z588" s="164"/>
    </row>
    <row r="589">
      <c r="A589" s="164"/>
      <c r="B589" s="164"/>
      <c r="C589" s="164"/>
      <c r="D589" s="164"/>
      <c r="E589" s="164"/>
      <c r="F589" s="164"/>
      <c r="G589" s="164"/>
      <c r="H589" s="164"/>
      <c r="I589" s="164"/>
      <c r="J589" s="164"/>
      <c r="K589" s="164"/>
      <c r="L589" s="164"/>
      <c r="M589" s="164"/>
      <c r="N589" s="164"/>
      <c r="O589" s="164"/>
      <c r="P589" s="164"/>
      <c r="Q589" s="164"/>
      <c r="R589" s="164"/>
      <c r="S589" s="164"/>
      <c r="T589" s="164"/>
      <c r="U589" s="164"/>
      <c r="V589" s="164"/>
      <c r="W589" s="164"/>
      <c r="X589" s="164"/>
      <c r="Y589" s="164"/>
      <c r="Z589" s="164"/>
    </row>
    <row r="590">
      <c r="A590" s="164"/>
      <c r="B590" s="164"/>
      <c r="C590" s="164"/>
      <c r="D590" s="164"/>
      <c r="E590" s="164"/>
      <c r="F590" s="164"/>
      <c r="G590" s="164"/>
      <c r="H590" s="164"/>
      <c r="I590" s="164"/>
      <c r="J590" s="164"/>
      <c r="K590" s="164"/>
      <c r="L590" s="164"/>
      <c r="M590" s="164"/>
      <c r="N590" s="164"/>
      <c r="O590" s="164"/>
      <c r="P590" s="164"/>
      <c r="Q590" s="164"/>
      <c r="R590" s="164"/>
      <c r="S590" s="164"/>
      <c r="T590" s="164"/>
      <c r="U590" s="164"/>
      <c r="V590" s="164"/>
      <c r="W590" s="164"/>
      <c r="X590" s="164"/>
      <c r="Y590" s="164"/>
      <c r="Z590" s="164"/>
    </row>
    <row r="591">
      <c r="A591" s="164"/>
      <c r="B591" s="164"/>
      <c r="C591" s="164"/>
      <c r="D591" s="164"/>
      <c r="E591" s="164"/>
      <c r="F591" s="164"/>
      <c r="G591" s="164"/>
      <c r="H591" s="164"/>
      <c r="I591" s="164"/>
      <c r="J591" s="164"/>
      <c r="K591" s="164"/>
      <c r="L591" s="164"/>
      <c r="M591" s="164"/>
      <c r="N591" s="164"/>
      <c r="O591" s="164"/>
      <c r="P591" s="164"/>
      <c r="Q591" s="164"/>
      <c r="R591" s="164"/>
      <c r="S591" s="164"/>
      <c r="T591" s="164"/>
      <c r="U591" s="164"/>
      <c r="V591" s="164"/>
      <c r="W591" s="164"/>
      <c r="X591" s="164"/>
      <c r="Y591" s="164"/>
      <c r="Z591" s="164"/>
    </row>
    <row r="592">
      <c r="A592" s="164"/>
      <c r="B592" s="164"/>
      <c r="C592" s="164"/>
      <c r="D592" s="164"/>
      <c r="E592" s="164"/>
      <c r="F592" s="164"/>
      <c r="G592" s="164"/>
      <c r="H592" s="164"/>
      <c r="I592" s="164"/>
      <c r="J592" s="164"/>
      <c r="K592" s="164"/>
      <c r="L592" s="164"/>
      <c r="M592" s="164"/>
      <c r="N592" s="164"/>
      <c r="O592" s="164"/>
      <c r="P592" s="164"/>
      <c r="Q592" s="164"/>
      <c r="R592" s="164"/>
      <c r="S592" s="164"/>
      <c r="T592" s="164"/>
      <c r="U592" s="164"/>
      <c r="V592" s="164"/>
      <c r="W592" s="164"/>
      <c r="X592" s="164"/>
      <c r="Y592" s="164"/>
      <c r="Z592" s="164"/>
    </row>
    <row r="593">
      <c r="A593" s="164"/>
      <c r="B593" s="164"/>
      <c r="C593" s="164"/>
      <c r="D593" s="164"/>
      <c r="E593" s="164"/>
      <c r="F593" s="164"/>
      <c r="G593" s="164"/>
      <c r="H593" s="164"/>
      <c r="I593" s="164"/>
      <c r="J593" s="164"/>
      <c r="K593" s="164"/>
      <c r="L593" s="164"/>
      <c r="M593" s="164"/>
      <c r="N593" s="164"/>
      <c r="O593" s="164"/>
      <c r="P593" s="164"/>
      <c r="Q593" s="164"/>
      <c r="R593" s="164"/>
      <c r="S593" s="164"/>
      <c r="T593" s="164"/>
      <c r="U593" s="164"/>
      <c r="V593" s="164"/>
      <c r="W593" s="164"/>
      <c r="X593" s="164"/>
      <c r="Y593" s="164"/>
      <c r="Z593" s="164"/>
    </row>
    <row r="594">
      <c r="A594" s="164"/>
      <c r="B594" s="164"/>
      <c r="C594" s="164"/>
      <c r="D594" s="164"/>
      <c r="E594" s="164"/>
      <c r="F594" s="164"/>
      <c r="G594" s="164"/>
      <c r="H594" s="164"/>
      <c r="I594" s="164"/>
      <c r="J594" s="164"/>
      <c r="K594" s="164"/>
      <c r="L594" s="164"/>
      <c r="M594" s="164"/>
      <c r="N594" s="164"/>
      <c r="O594" s="164"/>
      <c r="P594" s="164"/>
      <c r="Q594" s="164"/>
      <c r="R594" s="164"/>
      <c r="S594" s="164"/>
      <c r="T594" s="164"/>
      <c r="U594" s="164"/>
      <c r="V594" s="164"/>
      <c r="W594" s="164"/>
      <c r="X594" s="164"/>
      <c r="Y594" s="164"/>
      <c r="Z594" s="164"/>
    </row>
    <row r="595">
      <c r="A595" s="164"/>
      <c r="B595" s="164"/>
      <c r="C595" s="164"/>
      <c r="D595" s="164"/>
      <c r="E595" s="164"/>
      <c r="F595" s="164"/>
      <c r="G595" s="164"/>
      <c r="H595" s="164"/>
      <c r="I595" s="164"/>
      <c r="J595" s="164"/>
      <c r="K595" s="164"/>
      <c r="L595" s="164"/>
      <c r="M595" s="164"/>
      <c r="N595" s="164"/>
      <c r="O595" s="164"/>
      <c r="P595" s="164"/>
      <c r="Q595" s="164"/>
      <c r="R595" s="164"/>
      <c r="S595" s="164"/>
      <c r="T595" s="164"/>
      <c r="U595" s="164"/>
      <c r="V595" s="164"/>
      <c r="W595" s="164"/>
      <c r="X595" s="164"/>
      <c r="Y595" s="164"/>
      <c r="Z595" s="164"/>
    </row>
    <row r="596">
      <c r="A596" s="164"/>
      <c r="B596" s="164"/>
      <c r="C596" s="164"/>
      <c r="D596" s="164"/>
      <c r="E596" s="164"/>
      <c r="F596" s="164"/>
      <c r="G596" s="164"/>
      <c r="H596" s="164"/>
      <c r="I596" s="164"/>
      <c r="J596" s="164"/>
      <c r="K596" s="164"/>
      <c r="L596" s="164"/>
      <c r="M596" s="164"/>
      <c r="N596" s="164"/>
      <c r="O596" s="164"/>
      <c r="P596" s="164"/>
      <c r="Q596" s="164"/>
      <c r="R596" s="164"/>
      <c r="S596" s="164"/>
      <c r="T596" s="164"/>
      <c r="U596" s="164"/>
      <c r="V596" s="164"/>
      <c r="W596" s="164"/>
      <c r="X596" s="164"/>
      <c r="Y596" s="164"/>
      <c r="Z596" s="164"/>
    </row>
    <row r="597">
      <c r="A597" s="164"/>
      <c r="B597" s="164"/>
      <c r="C597" s="164"/>
      <c r="D597" s="164"/>
      <c r="E597" s="164"/>
      <c r="F597" s="164"/>
      <c r="G597" s="164"/>
      <c r="H597" s="164"/>
      <c r="I597" s="164"/>
      <c r="J597" s="164"/>
      <c r="K597" s="164"/>
      <c r="L597" s="164"/>
      <c r="M597" s="164"/>
      <c r="N597" s="164"/>
      <c r="O597" s="164"/>
      <c r="P597" s="164"/>
      <c r="Q597" s="164"/>
      <c r="R597" s="164"/>
      <c r="S597" s="164"/>
      <c r="T597" s="164"/>
      <c r="U597" s="164"/>
      <c r="V597" s="164"/>
      <c r="W597" s="164"/>
      <c r="X597" s="164"/>
      <c r="Y597" s="164"/>
      <c r="Z597" s="164"/>
    </row>
    <row r="598">
      <c r="A598" s="164"/>
      <c r="B598" s="164"/>
      <c r="C598" s="164"/>
      <c r="D598" s="164"/>
      <c r="E598" s="164"/>
      <c r="F598" s="164"/>
      <c r="G598" s="164"/>
      <c r="H598" s="164"/>
      <c r="I598" s="164"/>
      <c r="J598" s="164"/>
      <c r="K598" s="164"/>
      <c r="L598" s="164"/>
      <c r="M598" s="164"/>
      <c r="N598" s="164"/>
      <c r="O598" s="164"/>
      <c r="P598" s="164"/>
      <c r="Q598" s="164"/>
      <c r="R598" s="164"/>
      <c r="S598" s="164"/>
      <c r="T598" s="164"/>
      <c r="U598" s="164"/>
      <c r="V598" s="164"/>
      <c r="W598" s="164"/>
      <c r="X598" s="164"/>
      <c r="Y598" s="164"/>
      <c r="Z598" s="164"/>
    </row>
    <row r="599">
      <c r="A599" s="164"/>
      <c r="B599" s="164"/>
      <c r="C599" s="164"/>
      <c r="D599" s="164"/>
      <c r="E599" s="164"/>
      <c r="F599" s="164"/>
      <c r="G599" s="164"/>
      <c r="H599" s="164"/>
      <c r="I599" s="164"/>
      <c r="J599" s="164"/>
      <c r="K599" s="164"/>
      <c r="L599" s="164"/>
      <c r="M599" s="164"/>
      <c r="N599" s="164"/>
      <c r="O599" s="164"/>
      <c r="P599" s="164"/>
      <c r="Q599" s="164"/>
      <c r="R599" s="164"/>
      <c r="S599" s="164"/>
      <c r="T599" s="164"/>
      <c r="U599" s="164"/>
      <c r="V599" s="164"/>
      <c r="W599" s="164"/>
      <c r="X599" s="164"/>
      <c r="Y599" s="164"/>
      <c r="Z599" s="164"/>
    </row>
    <row r="600">
      <c r="A600" s="164"/>
      <c r="B600" s="164"/>
      <c r="C600" s="164"/>
      <c r="D600" s="164"/>
      <c r="E600" s="164"/>
      <c r="F600" s="164"/>
      <c r="G600" s="164"/>
      <c r="H600" s="164"/>
      <c r="I600" s="164"/>
      <c r="J600" s="164"/>
      <c r="K600" s="164"/>
      <c r="L600" s="164"/>
      <c r="M600" s="164"/>
      <c r="N600" s="164"/>
      <c r="O600" s="164"/>
      <c r="P600" s="164"/>
      <c r="Q600" s="164"/>
      <c r="R600" s="164"/>
      <c r="S600" s="164"/>
      <c r="T600" s="164"/>
      <c r="U600" s="164"/>
      <c r="V600" s="164"/>
      <c r="W600" s="164"/>
      <c r="X600" s="164"/>
      <c r="Y600" s="164"/>
      <c r="Z600" s="164"/>
    </row>
    <row r="601">
      <c r="A601" s="164"/>
      <c r="B601" s="164"/>
      <c r="C601" s="164"/>
      <c r="D601" s="164"/>
      <c r="E601" s="164"/>
      <c r="F601" s="164"/>
      <c r="G601" s="164"/>
      <c r="H601" s="164"/>
      <c r="I601" s="164"/>
      <c r="J601" s="164"/>
      <c r="K601" s="164"/>
      <c r="L601" s="164"/>
      <c r="M601" s="164"/>
      <c r="N601" s="164"/>
      <c r="O601" s="164"/>
      <c r="P601" s="164"/>
      <c r="Q601" s="164"/>
      <c r="R601" s="164"/>
      <c r="S601" s="164"/>
      <c r="T601" s="164"/>
      <c r="U601" s="164"/>
      <c r="V601" s="164"/>
      <c r="W601" s="164"/>
      <c r="X601" s="164"/>
      <c r="Y601" s="164"/>
      <c r="Z601" s="164"/>
    </row>
    <row r="602">
      <c r="A602" s="164"/>
      <c r="B602" s="164"/>
      <c r="C602" s="164"/>
      <c r="D602" s="164"/>
      <c r="E602" s="164"/>
      <c r="F602" s="164"/>
      <c r="G602" s="164"/>
      <c r="H602" s="164"/>
      <c r="I602" s="164"/>
      <c r="J602" s="164"/>
      <c r="K602" s="164"/>
      <c r="L602" s="164"/>
      <c r="M602" s="164"/>
      <c r="N602" s="164"/>
      <c r="O602" s="164"/>
      <c r="P602" s="164"/>
      <c r="Q602" s="164"/>
      <c r="R602" s="164"/>
      <c r="S602" s="164"/>
      <c r="T602" s="164"/>
      <c r="U602" s="164"/>
      <c r="V602" s="164"/>
      <c r="W602" s="164"/>
      <c r="X602" s="164"/>
      <c r="Y602" s="164"/>
      <c r="Z602" s="164"/>
    </row>
    <row r="603">
      <c r="A603" s="164"/>
      <c r="B603" s="164"/>
      <c r="C603" s="164"/>
      <c r="D603" s="164"/>
      <c r="E603" s="164"/>
      <c r="F603" s="164"/>
      <c r="G603" s="164"/>
      <c r="H603" s="164"/>
      <c r="I603" s="164"/>
      <c r="J603" s="164"/>
      <c r="K603" s="164"/>
      <c r="L603" s="164"/>
      <c r="M603" s="164"/>
      <c r="N603" s="164"/>
      <c r="O603" s="164"/>
      <c r="P603" s="164"/>
      <c r="Q603" s="164"/>
      <c r="R603" s="164"/>
      <c r="S603" s="164"/>
      <c r="T603" s="164"/>
      <c r="U603" s="164"/>
      <c r="V603" s="164"/>
      <c r="W603" s="164"/>
      <c r="X603" s="164"/>
      <c r="Y603" s="164"/>
      <c r="Z603" s="164"/>
    </row>
    <row r="604">
      <c r="A604" s="164"/>
      <c r="B604" s="164"/>
      <c r="C604" s="164"/>
      <c r="D604" s="164"/>
      <c r="E604" s="164"/>
      <c r="F604" s="164"/>
      <c r="G604" s="164"/>
      <c r="H604" s="164"/>
      <c r="I604" s="164"/>
      <c r="J604" s="164"/>
      <c r="K604" s="164"/>
      <c r="L604" s="164"/>
      <c r="M604" s="164"/>
      <c r="N604" s="164"/>
      <c r="O604" s="164"/>
      <c r="P604" s="164"/>
      <c r="Q604" s="164"/>
      <c r="R604" s="164"/>
      <c r="S604" s="164"/>
      <c r="T604" s="164"/>
      <c r="U604" s="164"/>
      <c r="V604" s="164"/>
      <c r="W604" s="164"/>
      <c r="X604" s="164"/>
      <c r="Y604" s="164"/>
      <c r="Z604" s="164"/>
    </row>
    <row r="605">
      <c r="A605" s="164"/>
      <c r="B605" s="164"/>
      <c r="C605" s="164"/>
      <c r="D605" s="164"/>
      <c r="E605" s="164"/>
      <c r="F605" s="164"/>
      <c r="G605" s="164"/>
      <c r="H605" s="164"/>
      <c r="I605" s="164"/>
      <c r="J605" s="164"/>
      <c r="K605" s="164"/>
      <c r="L605" s="164"/>
      <c r="M605" s="164"/>
      <c r="N605" s="164"/>
      <c r="O605" s="164"/>
      <c r="P605" s="164"/>
      <c r="Q605" s="164"/>
      <c r="R605" s="164"/>
      <c r="S605" s="164"/>
      <c r="T605" s="164"/>
      <c r="U605" s="164"/>
      <c r="V605" s="164"/>
      <c r="W605" s="164"/>
      <c r="X605" s="164"/>
      <c r="Y605" s="164"/>
      <c r="Z605" s="164"/>
    </row>
    <row r="606">
      <c r="A606" s="164"/>
      <c r="B606" s="164"/>
      <c r="C606" s="164"/>
      <c r="D606" s="164"/>
      <c r="E606" s="164"/>
      <c r="F606" s="164"/>
      <c r="G606" s="164"/>
      <c r="H606" s="164"/>
      <c r="I606" s="164"/>
      <c r="J606" s="164"/>
      <c r="K606" s="164"/>
      <c r="L606" s="164"/>
      <c r="M606" s="164"/>
      <c r="N606" s="164"/>
      <c r="O606" s="164"/>
      <c r="P606" s="164"/>
      <c r="Q606" s="164"/>
      <c r="R606" s="164"/>
      <c r="S606" s="164"/>
      <c r="T606" s="164"/>
      <c r="U606" s="164"/>
      <c r="V606" s="164"/>
      <c r="W606" s="164"/>
      <c r="X606" s="164"/>
      <c r="Y606" s="164"/>
      <c r="Z606" s="164"/>
    </row>
    <row r="607">
      <c r="A607" s="164"/>
      <c r="B607" s="164"/>
      <c r="C607" s="164"/>
      <c r="D607" s="164"/>
      <c r="E607" s="164"/>
      <c r="F607" s="164"/>
      <c r="G607" s="164"/>
      <c r="H607" s="164"/>
      <c r="I607" s="164"/>
      <c r="J607" s="164"/>
      <c r="K607" s="164"/>
      <c r="L607" s="164"/>
      <c r="M607" s="164"/>
      <c r="N607" s="164"/>
      <c r="O607" s="164"/>
      <c r="P607" s="164"/>
      <c r="Q607" s="164"/>
      <c r="R607" s="164"/>
      <c r="S607" s="164"/>
      <c r="T607" s="164"/>
      <c r="U607" s="164"/>
      <c r="V607" s="164"/>
      <c r="W607" s="164"/>
      <c r="X607" s="164"/>
      <c r="Y607" s="164"/>
      <c r="Z607" s="164"/>
    </row>
    <row r="608">
      <c r="A608" s="164"/>
      <c r="B608" s="164"/>
      <c r="C608" s="164"/>
      <c r="D608" s="164"/>
      <c r="E608" s="164"/>
      <c r="F608" s="164"/>
      <c r="G608" s="164"/>
      <c r="H608" s="164"/>
      <c r="I608" s="164"/>
      <c r="J608" s="164"/>
      <c r="K608" s="164"/>
      <c r="L608" s="164"/>
      <c r="M608" s="164"/>
      <c r="N608" s="164"/>
      <c r="O608" s="164"/>
      <c r="P608" s="164"/>
      <c r="Q608" s="164"/>
      <c r="R608" s="164"/>
      <c r="S608" s="164"/>
      <c r="T608" s="164"/>
      <c r="U608" s="164"/>
      <c r="V608" s="164"/>
      <c r="W608" s="164"/>
      <c r="X608" s="164"/>
      <c r="Y608" s="164"/>
      <c r="Z608" s="164"/>
    </row>
    <row r="609">
      <c r="A609" s="164"/>
      <c r="B609" s="164"/>
      <c r="C609" s="164"/>
      <c r="D609" s="164"/>
      <c r="E609" s="164"/>
      <c r="F609" s="164"/>
      <c r="G609" s="164"/>
      <c r="H609" s="164"/>
      <c r="I609" s="164"/>
      <c r="J609" s="164"/>
      <c r="K609" s="164"/>
      <c r="L609" s="164"/>
      <c r="M609" s="164"/>
      <c r="N609" s="164"/>
      <c r="O609" s="164"/>
      <c r="P609" s="164"/>
      <c r="Q609" s="164"/>
      <c r="R609" s="164"/>
      <c r="S609" s="164"/>
      <c r="T609" s="164"/>
      <c r="U609" s="164"/>
      <c r="V609" s="164"/>
      <c r="W609" s="164"/>
      <c r="X609" s="164"/>
      <c r="Y609" s="164"/>
      <c r="Z609" s="164"/>
    </row>
    <row r="610">
      <c r="A610" s="164"/>
      <c r="B610" s="164"/>
      <c r="C610" s="164"/>
      <c r="D610" s="164"/>
      <c r="E610" s="164"/>
      <c r="F610" s="164"/>
      <c r="G610" s="164"/>
      <c r="H610" s="164"/>
      <c r="I610" s="164"/>
      <c r="J610" s="164"/>
      <c r="K610" s="164"/>
      <c r="L610" s="164"/>
      <c r="M610" s="164"/>
      <c r="N610" s="164"/>
      <c r="O610" s="164"/>
      <c r="P610" s="164"/>
      <c r="Q610" s="164"/>
      <c r="R610" s="164"/>
      <c r="S610" s="164"/>
      <c r="T610" s="164"/>
      <c r="U610" s="164"/>
      <c r="V610" s="164"/>
      <c r="W610" s="164"/>
      <c r="X610" s="164"/>
      <c r="Y610" s="164"/>
      <c r="Z610" s="164"/>
    </row>
    <row r="611">
      <c r="A611" s="164"/>
      <c r="B611" s="164"/>
      <c r="C611" s="164"/>
      <c r="D611" s="164"/>
      <c r="E611" s="164"/>
      <c r="F611" s="164"/>
      <c r="G611" s="164"/>
      <c r="H611" s="164"/>
      <c r="I611" s="164"/>
      <c r="J611" s="164"/>
      <c r="K611" s="164"/>
      <c r="L611" s="164"/>
      <c r="M611" s="164"/>
      <c r="N611" s="164"/>
      <c r="O611" s="164"/>
      <c r="P611" s="164"/>
      <c r="Q611" s="164"/>
      <c r="R611" s="164"/>
      <c r="S611" s="164"/>
      <c r="T611" s="164"/>
      <c r="U611" s="164"/>
      <c r="V611" s="164"/>
      <c r="W611" s="164"/>
      <c r="X611" s="164"/>
      <c r="Y611" s="164"/>
      <c r="Z611" s="164"/>
    </row>
    <row r="612">
      <c r="A612" s="164"/>
      <c r="B612" s="164"/>
      <c r="C612" s="164"/>
      <c r="D612" s="164"/>
      <c r="E612" s="164"/>
      <c r="F612" s="164"/>
      <c r="G612" s="164"/>
      <c r="H612" s="164"/>
      <c r="I612" s="164"/>
      <c r="J612" s="164"/>
      <c r="K612" s="164"/>
      <c r="L612" s="164"/>
      <c r="M612" s="164"/>
      <c r="N612" s="164"/>
      <c r="O612" s="164"/>
      <c r="P612" s="164"/>
      <c r="Q612" s="164"/>
      <c r="R612" s="164"/>
      <c r="S612" s="164"/>
      <c r="T612" s="164"/>
      <c r="U612" s="164"/>
      <c r="V612" s="164"/>
      <c r="W612" s="164"/>
      <c r="X612" s="164"/>
      <c r="Y612" s="164"/>
      <c r="Z612" s="164"/>
    </row>
    <row r="613">
      <c r="A613" s="164"/>
      <c r="B613" s="164"/>
      <c r="C613" s="164"/>
      <c r="D613" s="164"/>
      <c r="E613" s="164"/>
      <c r="F613" s="164"/>
      <c r="G613" s="164"/>
      <c r="H613" s="164"/>
      <c r="I613" s="164"/>
      <c r="J613" s="164"/>
      <c r="K613" s="164"/>
      <c r="L613" s="164"/>
      <c r="M613" s="164"/>
      <c r="N613" s="164"/>
      <c r="O613" s="164"/>
      <c r="P613" s="164"/>
      <c r="Q613" s="164"/>
      <c r="R613" s="164"/>
      <c r="S613" s="164"/>
      <c r="T613" s="164"/>
      <c r="U613" s="164"/>
      <c r="V613" s="164"/>
      <c r="W613" s="164"/>
      <c r="X613" s="164"/>
      <c r="Y613" s="164"/>
      <c r="Z613" s="164"/>
    </row>
    <row r="614">
      <c r="A614" s="164"/>
      <c r="B614" s="164"/>
      <c r="C614" s="164"/>
      <c r="D614" s="164"/>
      <c r="E614" s="164"/>
      <c r="F614" s="164"/>
      <c r="G614" s="164"/>
      <c r="H614" s="164"/>
      <c r="I614" s="164"/>
      <c r="J614" s="164"/>
      <c r="K614" s="164"/>
      <c r="L614" s="164"/>
      <c r="M614" s="164"/>
      <c r="N614" s="164"/>
      <c r="O614" s="164"/>
      <c r="P614" s="164"/>
      <c r="Q614" s="164"/>
      <c r="R614" s="164"/>
      <c r="S614" s="164"/>
      <c r="T614" s="164"/>
      <c r="U614" s="164"/>
      <c r="V614" s="164"/>
      <c r="W614" s="164"/>
      <c r="X614" s="164"/>
      <c r="Y614" s="164"/>
      <c r="Z614" s="164"/>
    </row>
    <row r="615">
      <c r="A615" s="164"/>
      <c r="B615" s="164"/>
      <c r="C615" s="164"/>
      <c r="D615" s="164"/>
      <c r="E615" s="164"/>
      <c r="F615" s="164"/>
      <c r="G615" s="164"/>
      <c r="H615" s="164"/>
      <c r="I615" s="164"/>
      <c r="J615" s="164"/>
      <c r="K615" s="164"/>
      <c r="L615" s="164"/>
      <c r="M615" s="164"/>
      <c r="N615" s="164"/>
      <c r="O615" s="164"/>
      <c r="P615" s="164"/>
      <c r="Q615" s="164"/>
      <c r="R615" s="164"/>
      <c r="S615" s="164"/>
      <c r="T615" s="164"/>
      <c r="U615" s="164"/>
      <c r="V615" s="164"/>
      <c r="W615" s="164"/>
      <c r="X615" s="164"/>
      <c r="Y615" s="164"/>
      <c r="Z615" s="164"/>
    </row>
    <row r="616">
      <c r="A616" s="164"/>
      <c r="B616" s="164"/>
      <c r="C616" s="164"/>
      <c r="D616" s="164"/>
      <c r="E616" s="164"/>
      <c r="F616" s="164"/>
      <c r="G616" s="164"/>
      <c r="H616" s="164"/>
      <c r="I616" s="164"/>
      <c r="J616" s="164"/>
      <c r="K616" s="164"/>
      <c r="L616" s="164"/>
      <c r="M616" s="164"/>
      <c r="N616" s="164"/>
      <c r="O616" s="164"/>
      <c r="P616" s="164"/>
      <c r="Q616" s="164"/>
      <c r="R616" s="164"/>
      <c r="S616" s="164"/>
      <c r="T616" s="164"/>
      <c r="U616" s="164"/>
      <c r="V616" s="164"/>
      <c r="W616" s="164"/>
      <c r="X616" s="164"/>
      <c r="Y616" s="164"/>
      <c r="Z616" s="164"/>
    </row>
    <row r="617">
      <c r="A617" s="164"/>
      <c r="B617" s="164"/>
      <c r="C617" s="164"/>
      <c r="D617" s="164"/>
      <c r="E617" s="164"/>
      <c r="F617" s="164"/>
      <c r="G617" s="164"/>
      <c r="H617" s="164"/>
      <c r="I617" s="164"/>
      <c r="J617" s="164"/>
      <c r="K617" s="164"/>
      <c r="L617" s="164"/>
      <c r="M617" s="164"/>
      <c r="N617" s="164"/>
      <c r="O617" s="164"/>
      <c r="P617" s="164"/>
      <c r="Q617" s="164"/>
      <c r="R617" s="164"/>
      <c r="S617" s="164"/>
      <c r="T617" s="164"/>
      <c r="U617" s="164"/>
      <c r="V617" s="164"/>
      <c r="W617" s="164"/>
      <c r="X617" s="164"/>
      <c r="Y617" s="164"/>
      <c r="Z617" s="164"/>
    </row>
    <row r="618">
      <c r="A618" s="164"/>
      <c r="B618" s="164"/>
      <c r="C618" s="164"/>
      <c r="D618" s="164"/>
      <c r="E618" s="164"/>
      <c r="F618" s="164"/>
      <c r="G618" s="164"/>
      <c r="H618" s="164"/>
      <c r="I618" s="164"/>
      <c r="J618" s="164"/>
      <c r="K618" s="164"/>
      <c r="L618" s="164"/>
      <c r="M618" s="164"/>
      <c r="N618" s="164"/>
      <c r="O618" s="164"/>
      <c r="P618" s="164"/>
      <c r="Q618" s="164"/>
      <c r="R618" s="164"/>
      <c r="S618" s="164"/>
      <c r="T618" s="164"/>
      <c r="U618" s="164"/>
      <c r="V618" s="164"/>
      <c r="W618" s="164"/>
      <c r="X618" s="164"/>
      <c r="Y618" s="164"/>
      <c r="Z618" s="164"/>
    </row>
    <row r="619">
      <c r="A619" s="164"/>
      <c r="B619" s="164"/>
      <c r="C619" s="164"/>
      <c r="D619" s="164"/>
      <c r="E619" s="164"/>
      <c r="F619" s="164"/>
      <c r="G619" s="164"/>
      <c r="H619" s="164"/>
      <c r="I619" s="164"/>
      <c r="J619" s="164"/>
      <c r="K619" s="164"/>
      <c r="L619" s="164"/>
      <c r="M619" s="164"/>
      <c r="N619" s="164"/>
      <c r="O619" s="164"/>
      <c r="P619" s="164"/>
      <c r="Q619" s="164"/>
      <c r="R619" s="164"/>
      <c r="S619" s="164"/>
      <c r="T619" s="164"/>
      <c r="U619" s="164"/>
      <c r="V619" s="164"/>
      <c r="W619" s="164"/>
      <c r="X619" s="164"/>
      <c r="Y619" s="164"/>
      <c r="Z619" s="164"/>
    </row>
    <row r="620">
      <c r="A620" s="164"/>
      <c r="B620" s="164"/>
      <c r="C620" s="164"/>
      <c r="D620" s="164"/>
      <c r="E620" s="164"/>
      <c r="F620" s="164"/>
      <c r="G620" s="164"/>
      <c r="H620" s="164"/>
      <c r="I620" s="164"/>
      <c r="J620" s="164"/>
      <c r="K620" s="164"/>
      <c r="L620" s="164"/>
      <c r="M620" s="164"/>
      <c r="N620" s="164"/>
      <c r="O620" s="164"/>
      <c r="P620" s="164"/>
      <c r="Q620" s="164"/>
      <c r="R620" s="164"/>
      <c r="S620" s="164"/>
      <c r="T620" s="164"/>
      <c r="U620" s="164"/>
      <c r="V620" s="164"/>
      <c r="W620" s="164"/>
      <c r="X620" s="164"/>
      <c r="Y620" s="164"/>
      <c r="Z620" s="164"/>
    </row>
    <row r="621">
      <c r="A621" s="164"/>
      <c r="B621" s="164"/>
      <c r="C621" s="164"/>
      <c r="D621" s="164"/>
      <c r="E621" s="164"/>
      <c r="F621" s="164"/>
      <c r="G621" s="164"/>
      <c r="H621" s="164"/>
      <c r="I621" s="164"/>
      <c r="J621" s="164"/>
      <c r="K621" s="164"/>
      <c r="L621" s="164"/>
      <c r="M621" s="164"/>
      <c r="N621" s="164"/>
      <c r="O621" s="164"/>
      <c r="P621" s="164"/>
      <c r="Q621" s="164"/>
      <c r="R621" s="164"/>
      <c r="S621" s="164"/>
      <c r="T621" s="164"/>
      <c r="U621" s="164"/>
      <c r="V621" s="164"/>
      <c r="W621" s="164"/>
      <c r="X621" s="164"/>
      <c r="Y621" s="164"/>
      <c r="Z621" s="164"/>
    </row>
    <row r="622">
      <c r="A622" s="164"/>
      <c r="B622" s="164"/>
      <c r="C622" s="164"/>
      <c r="D622" s="164"/>
      <c r="E622" s="164"/>
      <c r="F622" s="164"/>
      <c r="G622" s="164"/>
      <c r="H622" s="164"/>
      <c r="I622" s="164"/>
      <c r="J622" s="164"/>
      <c r="K622" s="164"/>
      <c r="L622" s="164"/>
      <c r="M622" s="164"/>
      <c r="N622" s="164"/>
      <c r="O622" s="164"/>
      <c r="P622" s="164"/>
      <c r="Q622" s="164"/>
      <c r="R622" s="164"/>
      <c r="S622" s="164"/>
      <c r="T622" s="164"/>
      <c r="U622" s="164"/>
      <c r="V622" s="164"/>
      <c r="W622" s="164"/>
      <c r="X622" s="164"/>
      <c r="Y622" s="164"/>
      <c r="Z622" s="164"/>
    </row>
    <row r="623">
      <c r="A623" s="164"/>
      <c r="B623" s="164"/>
      <c r="C623" s="164"/>
      <c r="D623" s="164"/>
      <c r="E623" s="164"/>
      <c r="F623" s="164"/>
      <c r="G623" s="164"/>
      <c r="H623" s="164"/>
      <c r="I623" s="164"/>
      <c r="J623" s="164"/>
      <c r="K623" s="164"/>
      <c r="L623" s="164"/>
      <c r="M623" s="164"/>
      <c r="N623" s="164"/>
      <c r="O623" s="164"/>
      <c r="P623" s="164"/>
      <c r="Q623" s="164"/>
      <c r="R623" s="164"/>
      <c r="S623" s="164"/>
      <c r="T623" s="164"/>
      <c r="U623" s="164"/>
      <c r="V623" s="164"/>
      <c r="W623" s="164"/>
      <c r="X623" s="164"/>
      <c r="Y623" s="164"/>
      <c r="Z623" s="164"/>
    </row>
    <row r="624">
      <c r="A624" s="164"/>
      <c r="B624" s="164"/>
      <c r="C624" s="164"/>
      <c r="D624" s="164"/>
      <c r="E624" s="164"/>
      <c r="F624" s="164"/>
      <c r="G624" s="164"/>
      <c r="H624" s="164"/>
      <c r="I624" s="164"/>
      <c r="J624" s="164"/>
      <c r="K624" s="164"/>
      <c r="L624" s="164"/>
      <c r="M624" s="164"/>
      <c r="N624" s="164"/>
      <c r="O624" s="164"/>
      <c r="P624" s="164"/>
      <c r="Q624" s="164"/>
      <c r="R624" s="164"/>
      <c r="S624" s="164"/>
      <c r="T624" s="164"/>
      <c r="U624" s="164"/>
      <c r="V624" s="164"/>
      <c r="W624" s="164"/>
      <c r="X624" s="164"/>
      <c r="Y624" s="164"/>
      <c r="Z624" s="164"/>
    </row>
    <row r="625">
      <c r="A625" s="164"/>
      <c r="B625" s="164"/>
      <c r="C625" s="164"/>
      <c r="D625" s="164"/>
      <c r="E625" s="164"/>
      <c r="F625" s="164"/>
      <c r="G625" s="164"/>
      <c r="H625" s="164"/>
      <c r="I625" s="164"/>
      <c r="J625" s="164"/>
      <c r="K625" s="164"/>
      <c r="L625" s="164"/>
      <c r="M625" s="164"/>
      <c r="N625" s="164"/>
      <c r="O625" s="164"/>
      <c r="P625" s="164"/>
      <c r="Q625" s="164"/>
      <c r="R625" s="164"/>
      <c r="S625" s="164"/>
      <c r="T625" s="164"/>
      <c r="U625" s="164"/>
      <c r="V625" s="164"/>
      <c r="W625" s="164"/>
      <c r="X625" s="164"/>
      <c r="Y625" s="164"/>
      <c r="Z625" s="164"/>
    </row>
    <row r="626">
      <c r="A626" s="164"/>
      <c r="B626" s="164"/>
      <c r="C626" s="164"/>
      <c r="D626" s="164"/>
      <c r="E626" s="164"/>
      <c r="F626" s="164"/>
      <c r="G626" s="164"/>
      <c r="H626" s="164"/>
      <c r="I626" s="164"/>
      <c r="J626" s="164"/>
      <c r="K626" s="164"/>
      <c r="L626" s="164"/>
      <c r="M626" s="164"/>
      <c r="N626" s="164"/>
      <c r="O626" s="164"/>
      <c r="P626" s="164"/>
      <c r="Q626" s="164"/>
      <c r="R626" s="164"/>
      <c r="S626" s="164"/>
      <c r="T626" s="164"/>
      <c r="U626" s="164"/>
      <c r="V626" s="164"/>
      <c r="W626" s="164"/>
      <c r="X626" s="164"/>
      <c r="Y626" s="164"/>
      <c r="Z626" s="164"/>
    </row>
    <row r="627">
      <c r="A627" s="164"/>
      <c r="B627" s="164"/>
      <c r="C627" s="164"/>
      <c r="D627" s="164"/>
      <c r="E627" s="164"/>
      <c r="F627" s="164"/>
      <c r="G627" s="164"/>
      <c r="H627" s="164"/>
      <c r="I627" s="164"/>
      <c r="J627" s="164"/>
      <c r="K627" s="164"/>
      <c r="L627" s="164"/>
      <c r="M627" s="164"/>
      <c r="N627" s="164"/>
      <c r="O627" s="164"/>
      <c r="P627" s="164"/>
      <c r="Q627" s="164"/>
      <c r="R627" s="164"/>
      <c r="S627" s="164"/>
      <c r="T627" s="164"/>
      <c r="U627" s="164"/>
      <c r="V627" s="164"/>
      <c r="W627" s="164"/>
      <c r="X627" s="164"/>
      <c r="Y627" s="164"/>
      <c r="Z627" s="164"/>
    </row>
    <row r="628">
      <c r="A628" s="164"/>
      <c r="B628" s="164"/>
      <c r="C628" s="164"/>
      <c r="D628" s="164"/>
      <c r="E628" s="164"/>
      <c r="F628" s="164"/>
      <c r="G628" s="164"/>
      <c r="H628" s="164"/>
      <c r="I628" s="164"/>
      <c r="J628" s="164"/>
      <c r="K628" s="164"/>
      <c r="L628" s="164"/>
      <c r="M628" s="164"/>
      <c r="N628" s="164"/>
      <c r="O628" s="164"/>
      <c r="P628" s="164"/>
      <c r="Q628" s="164"/>
      <c r="R628" s="164"/>
      <c r="S628" s="164"/>
      <c r="T628" s="164"/>
      <c r="U628" s="164"/>
      <c r="V628" s="164"/>
      <c r="W628" s="164"/>
      <c r="X628" s="164"/>
      <c r="Y628" s="164"/>
      <c r="Z628" s="164"/>
    </row>
    <row r="629">
      <c r="A629" s="164"/>
      <c r="B629" s="164"/>
      <c r="C629" s="164"/>
      <c r="D629" s="164"/>
      <c r="E629" s="164"/>
      <c r="F629" s="164"/>
      <c r="G629" s="164"/>
      <c r="H629" s="164"/>
      <c r="I629" s="164"/>
      <c r="J629" s="164"/>
      <c r="K629" s="164"/>
      <c r="L629" s="164"/>
      <c r="M629" s="164"/>
      <c r="N629" s="164"/>
      <c r="O629" s="164"/>
      <c r="P629" s="164"/>
      <c r="Q629" s="164"/>
      <c r="R629" s="164"/>
      <c r="S629" s="164"/>
      <c r="T629" s="164"/>
      <c r="U629" s="164"/>
      <c r="V629" s="164"/>
      <c r="W629" s="164"/>
      <c r="X629" s="164"/>
      <c r="Y629" s="164"/>
      <c r="Z629" s="164"/>
    </row>
    <row r="630">
      <c r="A630" s="164"/>
      <c r="B630" s="164"/>
      <c r="C630" s="164"/>
      <c r="D630" s="164"/>
      <c r="E630" s="164"/>
      <c r="F630" s="164"/>
      <c r="G630" s="164"/>
      <c r="H630" s="164"/>
      <c r="I630" s="164"/>
      <c r="J630" s="164"/>
      <c r="K630" s="164"/>
      <c r="L630" s="164"/>
      <c r="M630" s="164"/>
      <c r="N630" s="164"/>
      <c r="O630" s="164"/>
      <c r="P630" s="164"/>
      <c r="Q630" s="164"/>
      <c r="R630" s="164"/>
      <c r="S630" s="164"/>
      <c r="T630" s="164"/>
      <c r="U630" s="164"/>
      <c r="V630" s="164"/>
      <c r="W630" s="164"/>
      <c r="X630" s="164"/>
      <c r="Y630" s="164"/>
      <c r="Z630" s="164"/>
    </row>
    <row r="631">
      <c r="A631" s="164"/>
      <c r="B631" s="164"/>
      <c r="C631" s="164"/>
      <c r="D631" s="164"/>
      <c r="E631" s="164"/>
      <c r="F631" s="164"/>
      <c r="G631" s="164"/>
      <c r="H631" s="164"/>
      <c r="I631" s="164"/>
      <c r="J631" s="164"/>
      <c r="K631" s="164"/>
      <c r="L631" s="164"/>
      <c r="M631" s="164"/>
      <c r="N631" s="164"/>
      <c r="O631" s="164"/>
      <c r="P631" s="164"/>
      <c r="Q631" s="164"/>
      <c r="R631" s="164"/>
      <c r="S631" s="164"/>
      <c r="T631" s="164"/>
      <c r="U631" s="164"/>
      <c r="V631" s="164"/>
      <c r="W631" s="164"/>
      <c r="X631" s="164"/>
      <c r="Y631" s="164"/>
      <c r="Z631" s="164"/>
    </row>
    <row r="632">
      <c r="A632" s="164"/>
      <c r="B632" s="164"/>
      <c r="C632" s="164"/>
      <c r="D632" s="164"/>
      <c r="E632" s="164"/>
      <c r="F632" s="164"/>
      <c r="G632" s="164"/>
      <c r="H632" s="164"/>
      <c r="I632" s="164"/>
      <c r="J632" s="164"/>
      <c r="K632" s="164"/>
      <c r="L632" s="164"/>
      <c r="M632" s="164"/>
      <c r="N632" s="164"/>
      <c r="O632" s="164"/>
      <c r="P632" s="164"/>
      <c r="Q632" s="164"/>
      <c r="R632" s="164"/>
      <c r="S632" s="164"/>
      <c r="T632" s="164"/>
      <c r="U632" s="164"/>
      <c r="V632" s="164"/>
      <c r="W632" s="164"/>
      <c r="X632" s="164"/>
      <c r="Y632" s="164"/>
      <c r="Z632" s="164"/>
    </row>
    <row r="633">
      <c r="A633" s="164"/>
      <c r="B633" s="164"/>
      <c r="C633" s="164"/>
      <c r="D633" s="164"/>
      <c r="E633" s="164"/>
      <c r="F633" s="164"/>
      <c r="G633" s="164"/>
      <c r="H633" s="164"/>
      <c r="I633" s="164"/>
      <c r="J633" s="164"/>
      <c r="K633" s="164"/>
      <c r="L633" s="164"/>
      <c r="M633" s="164"/>
      <c r="N633" s="164"/>
      <c r="O633" s="164"/>
      <c r="P633" s="164"/>
      <c r="Q633" s="164"/>
      <c r="R633" s="164"/>
      <c r="S633" s="164"/>
      <c r="T633" s="164"/>
      <c r="U633" s="164"/>
      <c r="V633" s="164"/>
      <c r="W633" s="164"/>
      <c r="X633" s="164"/>
      <c r="Y633" s="164"/>
      <c r="Z633" s="164"/>
    </row>
    <row r="634">
      <c r="A634" s="164"/>
      <c r="B634" s="164"/>
      <c r="C634" s="164"/>
      <c r="D634" s="164"/>
      <c r="E634" s="164"/>
      <c r="F634" s="164"/>
      <c r="G634" s="164"/>
      <c r="H634" s="164"/>
      <c r="I634" s="164"/>
      <c r="J634" s="164"/>
      <c r="K634" s="164"/>
      <c r="L634" s="164"/>
      <c r="M634" s="164"/>
      <c r="N634" s="164"/>
      <c r="O634" s="164"/>
      <c r="P634" s="164"/>
      <c r="Q634" s="164"/>
      <c r="R634" s="164"/>
      <c r="S634" s="164"/>
      <c r="T634" s="164"/>
      <c r="U634" s="164"/>
      <c r="V634" s="164"/>
      <c r="W634" s="164"/>
      <c r="X634" s="164"/>
      <c r="Y634" s="164"/>
      <c r="Z634" s="164"/>
    </row>
    <row r="635">
      <c r="A635" s="164"/>
      <c r="B635" s="164"/>
      <c r="C635" s="164"/>
      <c r="D635" s="164"/>
      <c r="E635" s="164"/>
      <c r="F635" s="164"/>
      <c r="G635" s="164"/>
      <c r="H635" s="164"/>
      <c r="I635" s="164"/>
      <c r="J635" s="164"/>
      <c r="K635" s="164"/>
      <c r="L635" s="164"/>
      <c r="M635" s="164"/>
      <c r="N635" s="164"/>
      <c r="O635" s="164"/>
      <c r="P635" s="164"/>
      <c r="Q635" s="164"/>
      <c r="R635" s="164"/>
      <c r="S635" s="164"/>
      <c r="T635" s="164"/>
      <c r="U635" s="164"/>
      <c r="V635" s="164"/>
      <c r="W635" s="164"/>
      <c r="X635" s="164"/>
      <c r="Y635" s="164"/>
      <c r="Z635" s="164"/>
    </row>
    <row r="636">
      <c r="A636" s="164"/>
      <c r="B636" s="164"/>
      <c r="C636" s="164"/>
      <c r="D636" s="164"/>
      <c r="E636" s="164"/>
      <c r="F636" s="164"/>
      <c r="G636" s="164"/>
      <c r="H636" s="164"/>
      <c r="I636" s="164"/>
      <c r="J636" s="164"/>
      <c r="K636" s="164"/>
      <c r="L636" s="164"/>
      <c r="M636" s="164"/>
      <c r="N636" s="164"/>
      <c r="O636" s="164"/>
      <c r="P636" s="164"/>
      <c r="Q636" s="164"/>
      <c r="R636" s="164"/>
      <c r="S636" s="164"/>
      <c r="T636" s="164"/>
      <c r="U636" s="164"/>
      <c r="V636" s="164"/>
      <c r="W636" s="164"/>
      <c r="X636" s="164"/>
      <c r="Y636" s="164"/>
      <c r="Z636" s="164"/>
    </row>
    <row r="637">
      <c r="A637" s="164"/>
      <c r="B637" s="164"/>
      <c r="C637" s="164"/>
      <c r="D637" s="164"/>
      <c r="E637" s="164"/>
      <c r="F637" s="164"/>
      <c r="G637" s="164"/>
      <c r="H637" s="164"/>
      <c r="I637" s="164"/>
      <c r="J637" s="164"/>
      <c r="K637" s="164"/>
      <c r="L637" s="164"/>
      <c r="M637" s="164"/>
      <c r="N637" s="164"/>
      <c r="O637" s="164"/>
      <c r="P637" s="164"/>
      <c r="Q637" s="164"/>
      <c r="R637" s="164"/>
      <c r="S637" s="164"/>
      <c r="T637" s="164"/>
      <c r="U637" s="164"/>
      <c r="V637" s="164"/>
      <c r="W637" s="164"/>
      <c r="X637" s="164"/>
      <c r="Y637" s="164"/>
      <c r="Z637" s="164"/>
    </row>
    <row r="638">
      <c r="A638" s="164"/>
      <c r="B638" s="164"/>
      <c r="C638" s="164"/>
      <c r="D638" s="164"/>
      <c r="E638" s="164"/>
      <c r="F638" s="164"/>
      <c r="G638" s="164"/>
      <c r="H638" s="164"/>
      <c r="I638" s="164"/>
      <c r="J638" s="164"/>
      <c r="K638" s="164"/>
      <c r="L638" s="164"/>
      <c r="M638" s="164"/>
      <c r="N638" s="164"/>
      <c r="O638" s="164"/>
      <c r="P638" s="164"/>
      <c r="Q638" s="164"/>
      <c r="R638" s="164"/>
      <c r="S638" s="164"/>
      <c r="T638" s="164"/>
      <c r="U638" s="164"/>
      <c r="V638" s="164"/>
      <c r="W638" s="164"/>
      <c r="X638" s="164"/>
      <c r="Y638" s="164"/>
      <c r="Z638" s="164"/>
    </row>
    <row r="639">
      <c r="A639" s="164"/>
      <c r="B639" s="164"/>
      <c r="C639" s="164"/>
      <c r="D639" s="164"/>
      <c r="E639" s="164"/>
      <c r="F639" s="164"/>
      <c r="G639" s="164"/>
      <c r="H639" s="164"/>
      <c r="I639" s="164"/>
      <c r="J639" s="164"/>
      <c r="K639" s="164"/>
      <c r="L639" s="164"/>
      <c r="M639" s="164"/>
      <c r="N639" s="164"/>
      <c r="O639" s="164"/>
      <c r="P639" s="164"/>
      <c r="Q639" s="164"/>
      <c r="R639" s="164"/>
      <c r="S639" s="164"/>
      <c r="T639" s="164"/>
      <c r="U639" s="164"/>
      <c r="V639" s="164"/>
      <c r="W639" s="164"/>
      <c r="X639" s="164"/>
      <c r="Y639" s="164"/>
      <c r="Z639" s="164"/>
    </row>
    <row r="640">
      <c r="A640" s="164"/>
      <c r="B640" s="164"/>
      <c r="C640" s="164"/>
      <c r="D640" s="164"/>
      <c r="E640" s="164"/>
      <c r="F640" s="164"/>
      <c r="G640" s="164"/>
      <c r="H640" s="164"/>
      <c r="I640" s="164"/>
      <c r="J640" s="164"/>
      <c r="K640" s="164"/>
      <c r="L640" s="164"/>
      <c r="M640" s="164"/>
      <c r="N640" s="164"/>
      <c r="O640" s="164"/>
      <c r="P640" s="164"/>
      <c r="Q640" s="164"/>
      <c r="R640" s="164"/>
      <c r="S640" s="164"/>
      <c r="T640" s="164"/>
      <c r="U640" s="164"/>
      <c r="V640" s="164"/>
      <c r="W640" s="164"/>
      <c r="X640" s="164"/>
      <c r="Y640" s="164"/>
      <c r="Z640" s="164"/>
    </row>
    <row r="641">
      <c r="A641" s="164"/>
      <c r="B641" s="164"/>
      <c r="C641" s="164"/>
      <c r="D641" s="164"/>
      <c r="E641" s="164"/>
      <c r="F641" s="164"/>
      <c r="G641" s="164"/>
      <c r="H641" s="164"/>
      <c r="I641" s="164"/>
      <c r="J641" s="164"/>
      <c r="K641" s="164"/>
      <c r="L641" s="164"/>
      <c r="M641" s="164"/>
      <c r="N641" s="164"/>
      <c r="O641" s="164"/>
      <c r="P641" s="164"/>
      <c r="Q641" s="164"/>
      <c r="R641" s="164"/>
      <c r="S641" s="164"/>
      <c r="T641" s="164"/>
      <c r="U641" s="164"/>
      <c r="V641" s="164"/>
      <c r="W641" s="164"/>
      <c r="X641" s="164"/>
      <c r="Y641" s="164"/>
      <c r="Z641" s="164"/>
    </row>
    <row r="642">
      <c r="A642" s="164"/>
      <c r="B642" s="164"/>
      <c r="C642" s="164"/>
      <c r="D642" s="164"/>
      <c r="E642" s="164"/>
      <c r="F642" s="164"/>
      <c r="G642" s="164"/>
      <c r="H642" s="164"/>
      <c r="I642" s="164"/>
      <c r="J642" s="164"/>
      <c r="K642" s="164"/>
      <c r="L642" s="164"/>
      <c r="M642" s="164"/>
      <c r="N642" s="164"/>
      <c r="O642" s="164"/>
      <c r="P642" s="164"/>
      <c r="Q642" s="164"/>
      <c r="R642" s="164"/>
      <c r="S642" s="164"/>
      <c r="T642" s="164"/>
      <c r="U642" s="164"/>
      <c r="V642" s="164"/>
      <c r="W642" s="164"/>
      <c r="X642" s="164"/>
      <c r="Y642" s="164"/>
      <c r="Z642" s="164"/>
    </row>
    <row r="643">
      <c r="A643" s="164"/>
      <c r="B643" s="164"/>
      <c r="C643" s="164"/>
      <c r="D643" s="164"/>
      <c r="E643" s="164"/>
      <c r="F643" s="164"/>
      <c r="G643" s="164"/>
      <c r="H643" s="164"/>
      <c r="I643" s="164"/>
      <c r="J643" s="164"/>
      <c r="K643" s="164"/>
      <c r="L643" s="164"/>
      <c r="M643" s="164"/>
      <c r="N643" s="164"/>
      <c r="O643" s="164"/>
      <c r="P643" s="164"/>
      <c r="Q643" s="164"/>
      <c r="R643" s="164"/>
      <c r="S643" s="164"/>
      <c r="T643" s="164"/>
      <c r="U643" s="164"/>
      <c r="V643" s="164"/>
      <c r="W643" s="164"/>
      <c r="X643" s="164"/>
      <c r="Y643" s="164"/>
      <c r="Z643" s="164"/>
    </row>
    <row r="644">
      <c r="A644" s="164"/>
      <c r="B644" s="164"/>
      <c r="C644" s="164"/>
      <c r="D644" s="164"/>
      <c r="E644" s="164"/>
      <c r="F644" s="164"/>
      <c r="G644" s="164"/>
      <c r="H644" s="164"/>
      <c r="I644" s="164"/>
      <c r="J644" s="164"/>
      <c r="K644" s="164"/>
      <c r="L644" s="164"/>
      <c r="M644" s="164"/>
      <c r="N644" s="164"/>
      <c r="O644" s="164"/>
      <c r="P644" s="164"/>
      <c r="Q644" s="164"/>
      <c r="R644" s="164"/>
      <c r="S644" s="164"/>
      <c r="T644" s="164"/>
      <c r="U644" s="164"/>
      <c r="V644" s="164"/>
      <c r="W644" s="164"/>
      <c r="X644" s="164"/>
      <c r="Y644" s="164"/>
      <c r="Z644" s="164"/>
    </row>
    <row r="645">
      <c r="A645" s="164"/>
      <c r="B645" s="164"/>
      <c r="C645" s="164"/>
      <c r="D645" s="164"/>
      <c r="E645" s="164"/>
      <c r="F645" s="164"/>
      <c r="G645" s="164"/>
      <c r="H645" s="164"/>
      <c r="I645" s="164"/>
      <c r="J645" s="164"/>
      <c r="K645" s="164"/>
      <c r="L645" s="164"/>
      <c r="M645" s="164"/>
      <c r="N645" s="164"/>
      <c r="O645" s="164"/>
      <c r="P645" s="164"/>
      <c r="Q645" s="164"/>
      <c r="R645" s="164"/>
      <c r="S645" s="164"/>
      <c r="T645" s="164"/>
      <c r="U645" s="164"/>
      <c r="V645" s="164"/>
      <c r="W645" s="164"/>
      <c r="X645" s="164"/>
      <c r="Y645" s="164"/>
      <c r="Z645" s="164"/>
    </row>
    <row r="646">
      <c r="A646" s="164"/>
      <c r="B646" s="164"/>
      <c r="C646" s="164"/>
      <c r="D646" s="164"/>
      <c r="E646" s="164"/>
      <c r="F646" s="164"/>
      <c r="G646" s="164"/>
      <c r="H646" s="164"/>
      <c r="I646" s="164"/>
      <c r="J646" s="164"/>
      <c r="K646" s="164"/>
      <c r="L646" s="164"/>
      <c r="M646" s="164"/>
      <c r="N646" s="164"/>
      <c r="O646" s="164"/>
      <c r="P646" s="164"/>
      <c r="Q646" s="164"/>
      <c r="R646" s="164"/>
      <c r="S646" s="164"/>
      <c r="T646" s="164"/>
      <c r="U646" s="164"/>
      <c r="V646" s="164"/>
      <c r="W646" s="164"/>
      <c r="X646" s="164"/>
      <c r="Y646" s="164"/>
      <c r="Z646" s="164"/>
    </row>
    <row r="647">
      <c r="A647" s="164"/>
      <c r="B647" s="164"/>
      <c r="C647" s="164"/>
      <c r="D647" s="164"/>
      <c r="E647" s="164"/>
      <c r="F647" s="164"/>
      <c r="G647" s="164"/>
      <c r="H647" s="164"/>
      <c r="I647" s="164"/>
      <c r="J647" s="164"/>
      <c r="K647" s="164"/>
      <c r="L647" s="164"/>
      <c r="M647" s="164"/>
      <c r="N647" s="164"/>
      <c r="O647" s="164"/>
      <c r="P647" s="164"/>
      <c r="Q647" s="164"/>
      <c r="R647" s="164"/>
      <c r="S647" s="164"/>
      <c r="T647" s="164"/>
      <c r="U647" s="164"/>
      <c r="V647" s="164"/>
      <c r="W647" s="164"/>
      <c r="X647" s="164"/>
      <c r="Y647" s="164"/>
      <c r="Z647" s="164"/>
    </row>
    <row r="648">
      <c r="A648" s="164"/>
      <c r="B648" s="164"/>
      <c r="C648" s="164"/>
      <c r="D648" s="164"/>
      <c r="E648" s="164"/>
      <c r="F648" s="164"/>
      <c r="G648" s="164"/>
      <c r="H648" s="164"/>
      <c r="I648" s="164"/>
      <c r="J648" s="164"/>
      <c r="K648" s="164"/>
      <c r="L648" s="164"/>
      <c r="M648" s="164"/>
      <c r="N648" s="164"/>
      <c r="O648" s="164"/>
      <c r="P648" s="164"/>
      <c r="Q648" s="164"/>
      <c r="R648" s="164"/>
      <c r="S648" s="164"/>
      <c r="T648" s="164"/>
      <c r="U648" s="164"/>
      <c r="V648" s="164"/>
      <c r="W648" s="164"/>
      <c r="X648" s="164"/>
      <c r="Y648" s="164"/>
      <c r="Z648" s="164"/>
    </row>
    <row r="649">
      <c r="A649" s="164"/>
      <c r="B649" s="164"/>
      <c r="C649" s="164"/>
      <c r="D649" s="164"/>
      <c r="E649" s="164"/>
      <c r="F649" s="164"/>
      <c r="G649" s="164"/>
      <c r="H649" s="164"/>
      <c r="I649" s="164"/>
      <c r="J649" s="164"/>
      <c r="K649" s="164"/>
      <c r="L649" s="164"/>
      <c r="M649" s="164"/>
      <c r="N649" s="164"/>
      <c r="O649" s="164"/>
      <c r="P649" s="164"/>
      <c r="Q649" s="164"/>
      <c r="R649" s="164"/>
      <c r="S649" s="164"/>
      <c r="T649" s="164"/>
      <c r="U649" s="164"/>
      <c r="V649" s="164"/>
      <c r="W649" s="164"/>
      <c r="X649" s="164"/>
      <c r="Y649" s="164"/>
      <c r="Z649" s="164"/>
    </row>
    <row r="650">
      <c r="A650" s="164"/>
      <c r="B650" s="164"/>
      <c r="C650" s="164"/>
      <c r="D650" s="164"/>
      <c r="E650" s="164"/>
      <c r="F650" s="164"/>
      <c r="G650" s="164"/>
      <c r="H650" s="164"/>
      <c r="I650" s="164"/>
      <c r="J650" s="164"/>
      <c r="K650" s="164"/>
      <c r="L650" s="164"/>
      <c r="M650" s="164"/>
      <c r="N650" s="164"/>
      <c r="O650" s="164"/>
      <c r="P650" s="164"/>
      <c r="Q650" s="164"/>
      <c r="R650" s="164"/>
      <c r="S650" s="164"/>
      <c r="T650" s="164"/>
      <c r="U650" s="164"/>
      <c r="V650" s="164"/>
      <c r="W650" s="164"/>
      <c r="X650" s="164"/>
      <c r="Y650" s="164"/>
      <c r="Z650" s="164"/>
    </row>
    <row r="651">
      <c r="A651" s="164"/>
      <c r="B651" s="164"/>
      <c r="C651" s="164"/>
      <c r="D651" s="164"/>
      <c r="E651" s="164"/>
      <c r="F651" s="164"/>
      <c r="G651" s="164"/>
      <c r="H651" s="164"/>
      <c r="I651" s="164"/>
      <c r="J651" s="164"/>
      <c r="K651" s="164"/>
      <c r="L651" s="164"/>
      <c r="M651" s="164"/>
      <c r="N651" s="164"/>
      <c r="O651" s="164"/>
      <c r="P651" s="164"/>
      <c r="Q651" s="164"/>
      <c r="R651" s="164"/>
      <c r="S651" s="164"/>
      <c r="T651" s="164"/>
      <c r="U651" s="164"/>
      <c r="V651" s="164"/>
      <c r="W651" s="164"/>
      <c r="X651" s="164"/>
      <c r="Y651" s="164"/>
      <c r="Z651" s="164"/>
    </row>
    <row r="652">
      <c r="A652" s="164"/>
      <c r="B652" s="164"/>
      <c r="C652" s="164"/>
      <c r="D652" s="164"/>
      <c r="E652" s="164"/>
      <c r="F652" s="164"/>
      <c r="G652" s="164"/>
      <c r="H652" s="164"/>
      <c r="I652" s="164"/>
      <c r="J652" s="164"/>
      <c r="K652" s="164"/>
      <c r="L652" s="164"/>
      <c r="M652" s="164"/>
      <c r="N652" s="164"/>
      <c r="O652" s="164"/>
      <c r="P652" s="164"/>
      <c r="Q652" s="164"/>
      <c r="R652" s="164"/>
      <c r="S652" s="164"/>
      <c r="T652" s="164"/>
      <c r="U652" s="164"/>
      <c r="V652" s="164"/>
      <c r="W652" s="164"/>
      <c r="X652" s="164"/>
      <c r="Y652" s="164"/>
      <c r="Z652" s="164"/>
    </row>
    <row r="653">
      <c r="A653" s="164"/>
      <c r="B653" s="164"/>
      <c r="C653" s="164"/>
      <c r="D653" s="164"/>
      <c r="E653" s="164"/>
      <c r="F653" s="164"/>
      <c r="G653" s="164"/>
      <c r="H653" s="164"/>
      <c r="I653" s="164"/>
      <c r="J653" s="164"/>
      <c r="K653" s="164"/>
      <c r="L653" s="164"/>
      <c r="M653" s="164"/>
      <c r="N653" s="164"/>
      <c r="O653" s="164"/>
      <c r="P653" s="164"/>
      <c r="Q653" s="164"/>
      <c r="R653" s="164"/>
      <c r="S653" s="164"/>
      <c r="T653" s="164"/>
      <c r="U653" s="164"/>
      <c r="V653" s="164"/>
      <c r="W653" s="164"/>
      <c r="X653" s="164"/>
      <c r="Y653" s="164"/>
      <c r="Z653" s="164"/>
    </row>
    <row r="654">
      <c r="A654" s="164"/>
      <c r="B654" s="164"/>
      <c r="C654" s="164"/>
      <c r="D654" s="164"/>
      <c r="E654" s="164"/>
      <c r="F654" s="164"/>
      <c r="G654" s="164"/>
      <c r="H654" s="164"/>
      <c r="I654" s="164"/>
      <c r="J654" s="164"/>
      <c r="K654" s="164"/>
      <c r="L654" s="164"/>
      <c r="M654" s="164"/>
      <c r="N654" s="164"/>
      <c r="O654" s="164"/>
      <c r="P654" s="164"/>
      <c r="Q654" s="164"/>
      <c r="R654" s="164"/>
      <c r="S654" s="164"/>
      <c r="T654" s="164"/>
      <c r="U654" s="164"/>
      <c r="V654" s="164"/>
      <c r="W654" s="164"/>
      <c r="X654" s="164"/>
      <c r="Y654" s="164"/>
      <c r="Z654" s="164"/>
    </row>
    <row r="655">
      <c r="A655" s="164"/>
      <c r="B655" s="164"/>
      <c r="C655" s="164"/>
      <c r="D655" s="164"/>
      <c r="E655" s="164"/>
      <c r="F655" s="164"/>
      <c r="G655" s="164"/>
      <c r="H655" s="164"/>
      <c r="I655" s="164"/>
      <c r="J655" s="164"/>
      <c r="K655" s="164"/>
      <c r="L655" s="164"/>
      <c r="M655" s="164"/>
      <c r="N655" s="164"/>
      <c r="O655" s="164"/>
      <c r="P655" s="164"/>
      <c r="Q655" s="164"/>
      <c r="R655" s="164"/>
      <c r="S655" s="164"/>
      <c r="T655" s="164"/>
      <c r="U655" s="164"/>
      <c r="V655" s="164"/>
      <c r="W655" s="164"/>
      <c r="X655" s="164"/>
      <c r="Y655" s="164"/>
      <c r="Z655" s="164"/>
    </row>
    <row r="656">
      <c r="A656" s="164"/>
      <c r="B656" s="164"/>
      <c r="C656" s="164"/>
      <c r="D656" s="164"/>
      <c r="E656" s="164"/>
      <c r="F656" s="164"/>
      <c r="G656" s="164"/>
      <c r="H656" s="164"/>
      <c r="I656" s="164"/>
      <c r="J656" s="164"/>
      <c r="K656" s="164"/>
      <c r="L656" s="164"/>
      <c r="M656" s="164"/>
      <c r="N656" s="164"/>
      <c r="O656" s="164"/>
      <c r="P656" s="164"/>
      <c r="Q656" s="164"/>
      <c r="R656" s="164"/>
      <c r="S656" s="164"/>
      <c r="T656" s="164"/>
      <c r="U656" s="164"/>
      <c r="V656" s="164"/>
      <c r="W656" s="164"/>
      <c r="X656" s="164"/>
      <c r="Y656" s="164"/>
      <c r="Z656" s="164"/>
    </row>
    <row r="657">
      <c r="A657" s="164"/>
      <c r="B657" s="164"/>
      <c r="C657" s="164"/>
      <c r="D657" s="164"/>
      <c r="E657" s="164"/>
      <c r="F657" s="164"/>
      <c r="G657" s="164"/>
      <c r="H657" s="164"/>
      <c r="I657" s="164"/>
      <c r="J657" s="164"/>
      <c r="K657" s="164"/>
      <c r="L657" s="164"/>
      <c r="M657" s="164"/>
      <c r="N657" s="164"/>
      <c r="O657" s="164"/>
      <c r="P657" s="164"/>
      <c r="Q657" s="164"/>
      <c r="R657" s="164"/>
      <c r="S657" s="164"/>
      <c r="T657" s="164"/>
      <c r="U657" s="164"/>
      <c r="V657" s="164"/>
      <c r="W657" s="164"/>
      <c r="X657" s="164"/>
      <c r="Y657" s="164"/>
      <c r="Z657" s="164"/>
    </row>
    <row r="658">
      <c r="A658" s="164"/>
      <c r="B658" s="164"/>
      <c r="C658" s="164"/>
      <c r="D658" s="164"/>
      <c r="E658" s="164"/>
      <c r="F658" s="164"/>
      <c r="G658" s="164"/>
      <c r="H658" s="164"/>
      <c r="I658" s="164"/>
      <c r="J658" s="164"/>
      <c r="K658" s="164"/>
      <c r="L658" s="164"/>
      <c r="M658" s="164"/>
      <c r="N658" s="164"/>
      <c r="O658" s="164"/>
      <c r="P658" s="164"/>
      <c r="Q658" s="164"/>
      <c r="R658" s="164"/>
      <c r="S658" s="164"/>
      <c r="T658" s="164"/>
      <c r="U658" s="164"/>
      <c r="V658" s="164"/>
      <c r="W658" s="164"/>
      <c r="X658" s="164"/>
      <c r="Y658" s="164"/>
      <c r="Z658" s="164"/>
    </row>
    <row r="659">
      <c r="A659" s="164"/>
      <c r="B659" s="164"/>
      <c r="C659" s="164"/>
      <c r="D659" s="164"/>
      <c r="E659" s="164"/>
      <c r="F659" s="164"/>
      <c r="G659" s="164"/>
      <c r="H659" s="164"/>
      <c r="I659" s="164"/>
      <c r="J659" s="164"/>
      <c r="K659" s="164"/>
      <c r="L659" s="164"/>
      <c r="M659" s="164"/>
      <c r="N659" s="164"/>
      <c r="O659" s="164"/>
      <c r="P659" s="164"/>
      <c r="Q659" s="164"/>
      <c r="R659" s="164"/>
      <c r="S659" s="164"/>
      <c r="T659" s="164"/>
      <c r="U659" s="164"/>
      <c r="V659" s="164"/>
      <c r="W659" s="164"/>
      <c r="X659" s="164"/>
      <c r="Y659" s="164"/>
      <c r="Z659" s="164"/>
    </row>
    <row r="660">
      <c r="A660" s="164"/>
      <c r="B660" s="164"/>
      <c r="C660" s="164"/>
      <c r="D660" s="164"/>
      <c r="E660" s="164"/>
      <c r="F660" s="164"/>
      <c r="G660" s="164"/>
      <c r="H660" s="164"/>
      <c r="I660" s="164"/>
      <c r="J660" s="164"/>
      <c r="K660" s="164"/>
      <c r="L660" s="164"/>
      <c r="M660" s="164"/>
      <c r="N660" s="164"/>
      <c r="O660" s="164"/>
      <c r="P660" s="164"/>
      <c r="Q660" s="164"/>
      <c r="R660" s="164"/>
      <c r="S660" s="164"/>
      <c r="T660" s="164"/>
      <c r="U660" s="164"/>
      <c r="V660" s="164"/>
      <c r="W660" s="164"/>
      <c r="X660" s="164"/>
      <c r="Y660" s="164"/>
      <c r="Z660" s="164"/>
    </row>
    <row r="661">
      <c r="A661" s="164"/>
      <c r="B661" s="164"/>
      <c r="C661" s="164"/>
      <c r="D661" s="164"/>
      <c r="E661" s="164"/>
      <c r="F661" s="164"/>
      <c r="G661" s="164"/>
      <c r="H661" s="164"/>
      <c r="I661" s="164"/>
      <c r="J661" s="164"/>
      <c r="K661" s="164"/>
      <c r="L661" s="164"/>
      <c r="M661" s="164"/>
      <c r="N661" s="164"/>
      <c r="O661" s="164"/>
      <c r="P661" s="164"/>
      <c r="Q661" s="164"/>
      <c r="R661" s="164"/>
      <c r="S661" s="164"/>
      <c r="T661" s="164"/>
      <c r="U661" s="164"/>
      <c r="V661" s="164"/>
      <c r="W661" s="164"/>
      <c r="X661" s="164"/>
      <c r="Y661" s="164"/>
      <c r="Z661" s="164"/>
    </row>
    <row r="662">
      <c r="A662" s="164"/>
      <c r="B662" s="164"/>
      <c r="C662" s="164"/>
      <c r="D662" s="164"/>
      <c r="E662" s="164"/>
      <c r="F662" s="164"/>
      <c r="G662" s="164"/>
      <c r="H662" s="164"/>
      <c r="I662" s="164"/>
      <c r="J662" s="164"/>
      <c r="K662" s="164"/>
      <c r="L662" s="164"/>
      <c r="M662" s="164"/>
      <c r="N662" s="164"/>
      <c r="O662" s="164"/>
      <c r="P662" s="164"/>
      <c r="Q662" s="164"/>
      <c r="R662" s="164"/>
      <c r="S662" s="164"/>
      <c r="T662" s="164"/>
      <c r="U662" s="164"/>
      <c r="V662" s="164"/>
      <c r="W662" s="164"/>
      <c r="X662" s="164"/>
      <c r="Y662" s="164"/>
      <c r="Z662" s="164"/>
    </row>
    <row r="663">
      <c r="A663" s="164"/>
      <c r="B663" s="164"/>
      <c r="C663" s="164"/>
      <c r="D663" s="164"/>
      <c r="E663" s="164"/>
      <c r="F663" s="164"/>
      <c r="G663" s="164"/>
      <c r="H663" s="164"/>
      <c r="I663" s="164"/>
      <c r="J663" s="164"/>
      <c r="K663" s="164"/>
      <c r="L663" s="164"/>
      <c r="M663" s="164"/>
      <c r="N663" s="164"/>
      <c r="O663" s="164"/>
      <c r="P663" s="164"/>
      <c r="Q663" s="164"/>
      <c r="R663" s="164"/>
      <c r="S663" s="164"/>
      <c r="T663" s="164"/>
      <c r="U663" s="164"/>
      <c r="V663" s="164"/>
      <c r="W663" s="164"/>
      <c r="X663" s="164"/>
      <c r="Y663" s="164"/>
      <c r="Z663" s="164"/>
    </row>
    <row r="664">
      <c r="A664" s="164"/>
      <c r="B664" s="164"/>
      <c r="C664" s="164"/>
      <c r="D664" s="164"/>
      <c r="E664" s="164"/>
      <c r="F664" s="164"/>
      <c r="G664" s="164"/>
      <c r="H664" s="164"/>
      <c r="I664" s="164"/>
      <c r="J664" s="164"/>
      <c r="K664" s="164"/>
      <c r="L664" s="164"/>
      <c r="M664" s="164"/>
      <c r="N664" s="164"/>
      <c r="O664" s="164"/>
      <c r="P664" s="164"/>
      <c r="Q664" s="164"/>
      <c r="R664" s="164"/>
      <c r="S664" s="164"/>
      <c r="T664" s="164"/>
      <c r="U664" s="164"/>
      <c r="V664" s="164"/>
      <c r="W664" s="164"/>
      <c r="X664" s="164"/>
      <c r="Y664" s="164"/>
      <c r="Z664" s="164"/>
    </row>
    <row r="665">
      <c r="A665" s="164"/>
      <c r="B665" s="164"/>
      <c r="C665" s="164"/>
      <c r="D665" s="164"/>
      <c r="E665" s="164"/>
      <c r="F665" s="164"/>
      <c r="G665" s="164"/>
      <c r="H665" s="164"/>
      <c r="I665" s="164"/>
      <c r="J665" s="164"/>
      <c r="K665" s="164"/>
      <c r="L665" s="164"/>
      <c r="M665" s="164"/>
      <c r="N665" s="164"/>
      <c r="O665" s="164"/>
      <c r="P665" s="164"/>
      <c r="Q665" s="164"/>
      <c r="R665" s="164"/>
      <c r="S665" s="164"/>
      <c r="T665" s="164"/>
      <c r="U665" s="164"/>
      <c r="V665" s="164"/>
      <c r="W665" s="164"/>
      <c r="X665" s="164"/>
      <c r="Y665" s="164"/>
      <c r="Z665" s="164"/>
    </row>
    <row r="666">
      <c r="A666" s="164"/>
      <c r="B666" s="164"/>
      <c r="C666" s="164"/>
      <c r="D666" s="164"/>
      <c r="E666" s="164"/>
      <c r="F666" s="164"/>
      <c r="G666" s="164"/>
      <c r="H666" s="164"/>
      <c r="I666" s="164"/>
      <c r="J666" s="164"/>
      <c r="K666" s="164"/>
      <c r="L666" s="164"/>
      <c r="M666" s="164"/>
      <c r="N666" s="164"/>
      <c r="O666" s="164"/>
      <c r="P666" s="164"/>
      <c r="Q666" s="164"/>
      <c r="R666" s="164"/>
      <c r="S666" s="164"/>
      <c r="T666" s="164"/>
      <c r="U666" s="164"/>
      <c r="V666" s="164"/>
      <c r="W666" s="164"/>
      <c r="X666" s="164"/>
      <c r="Y666" s="164"/>
      <c r="Z666" s="164"/>
    </row>
    <row r="667">
      <c r="A667" s="164"/>
      <c r="B667" s="164"/>
      <c r="C667" s="164"/>
      <c r="D667" s="164"/>
      <c r="E667" s="164"/>
      <c r="F667" s="164"/>
      <c r="G667" s="164"/>
      <c r="H667" s="164"/>
      <c r="I667" s="164"/>
      <c r="J667" s="164"/>
      <c r="K667" s="164"/>
      <c r="L667" s="164"/>
      <c r="M667" s="164"/>
      <c r="N667" s="164"/>
      <c r="O667" s="164"/>
      <c r="P667" s="164"/>
      <c r="Q667" s="164"/>
      <c r="R667" s="164"/>
      <c r="S667" s="164"/>
      <c r="T667" s="164"/>
      <c r="U667" s="164"/>
      <c r="V667" s="164"/>
      <c r="W667" s="164"/>
      <c r="X667" s="164"/>
      <c r="Y667" s="164"/>
      <c r="Z667" s="164"/>
    </row>
    <row r="668">
      <c r="A668" s="164"/>
      <c r="B668" s="164"/>
      <c r="C668" s="164"/>
      <c r="D668" s="164"/>
      <c r="E668" s="164"/>
      <c r="F668" s="164"/>
      <c r="G668" s="164"/>
      <c r="H668" s="164"/>
      <c r="I668" s="164"/>
      <c r="J668" s="164"/>
      <c r="K668" s="164"/>
      <c r="L668" s="164"/>
      <c r="M668" s="164"/>
      <c r="N668" s="164"/>
      <c r="O668" s="164"/>
      <c r="P668" s="164"/>
      <c r="Q668" s="164"/>
      <c r="R668" s="164"/>
      <c r="S668" s="164"/>
      <c r="T668" s="164"/>
      <c r="U668" s="164"/>
      <c r="V668" s="164"/>
      <c r="W668" s="164"/>
      <c r="X668" s="164"/>
      <c r="Y668" s="164"/>
      <c r="Z668" s="164"/>
    </row>
    <row r="669">
      <c r="A669" s="164"/>
      <c r="B669" s="164"/>
      <c r="C669" s="164"/>
      <c r="D669" s="164"/>
      <c r="E669" s="164"/>
      <c r="F669" s="164"/>
      <c r="G669" s="164"/>
      <c r="H669" s="164"/>
      <c r="I669" s="164"/>
      <c r="J669" s="164"/>
      <c r="K669" s="164"/>
      <c r="L669" s="164"/>
      <c r="M669" s="164"/>
      <c r="N669" s="164"/>
      <c r="O669" s="164"/>
      <c r="P669" s="164"/>
      <c r="Q669" s="164"/>
      <c r="R669" s="164"/>
      <c r="S669" s="164"/>
      <c r="T669" s="164"/>
      <c r="U669" s="164"/>
      <c r="V669" s="164"/>
      <c r="W669" s="164"/>
      <c r="X669" s="164"/>
      <c r="Y669" s="164"/>
      <c r="Z669" s="164"/>
    </row>
    <row r="670">
      <c r="A670" s="164"/>
      <c r="B670" s="164"/>
      <c r="C670" s="164"/>
      <c r="D670" s="164"/>
      <c r="E670" s="164"/>
      <c r="F670" s="164"/>
      <c r="G670" s="164"/>
      <c r="H670" s="164"/>
      <c r="I670" s="164"/>
      <c r="J670" s="164"/>
      <c r="K670" s="164"/>
      <c r="L670" s="164"/>
      <c r="M670" s="164"/>
      <c r="N670" s="164"/>
      <c r="O670" s="164"/>
      <c r="P670" s="164"/>
      <c r="Q670" s="164"/>
      <c r="R670" s="164"/>
      <c r="S670" s="164"/>
      <c r="T670" s="164"/>
      <c r="U670" s="164"/>
      <c r="V670" s="164"/>
      <c r="W670" s="164"/>
      <c r="X670" s="164"/>
      <c r="Y670" s="164"/>
      <c r="Z670" s="164"/>
    </row>
    <row r="671">
      <c r="A671" s="164"/>
      <c r="B671" s="164"/>
      <c r="C671" s="164"/>
      <c r="D671" s="164"/>
      <c r="E671" s="164"/>
      <c r="F671" s="164"/>
      <c r="G671" s="164"/>
      <c r="H671" s="164"/>
      <c r="I671" s="164"/>
      <c r="J671" s="164"/>
      <c r="K671" s="164"/>
      <c r="L671" s="164"/>
      <c r="M671" s="164"/>
      <c r="N671" s="164"/>
      <c r="O671" s="164"/>
      <c r="P671" s="164"/>
      <c r="Q671" s="164"/>
      <c r="R671" s="164"/>
      <c r="S671" s="164"/>
      <c r="T671" s="164"/>
      <c r="U671" s="164"/>
      <c r="V671" s="164"/>
      <c r="W671" s="164"/>
      <c r="X671" s="164"/>
      <c r="Y671" s="164"/>
      <c r="Z671" s="164"/>
    </row>
    <row r="672">
      <c r="A672" s="164"/>
      <c r="B672" s="164"/>
      <c r="C672" s="164"/>
      <c r="D672" s="164"/>
      <c r="E672" s="164"/>
      <c r="F672" s="164"/>
      <c r="G672" s="164"/>
      <c r="H672" s="164"/>
      <c r="I672" s="164"/>
      <c r="J672" s="164"/>
      <c r="K672" s="164"/>
      <c r="L672" s="164"/>
      <c r="M672" s="164"/>
      <c r="N672" s="164"/>
      <c r="O672" s="164"/>
      <c r="P672" s="164"/>
      <c r="Q672" s="164"/>
      <c r="R672" s="164"/>
      <c r="S672" s="164"/>
      <c r="T672" s="164"/>
      <c r="U672" s="164"/>
      <c r="V672" s="164"/>
      <c r="W672" s="164"/>
      <c r="X672" s="164"/>
      <c r="Y672" s="164"/>
      <c r="Z672" s="164"/>
    </row>
    <row r="673">
      <c r="A673" s="164"/>
      <c r="B673" s="164"/>
      <c r="C673" s="164"/>
      <c r="D673" s="164"/>
      <c r="E673" s="164"/>
      <c r="F673" s="164"/>
      <c r="G673" s="164"/>
      <c r="H673" s="164"/>
      <c r="I673" s="164"/>
      <c r="J673" s="164"/>
      <c r="K673" s="164"/>
      <c r="L673" s="164"/>
      <c r="M673" s="164"/>
      <c r="N673" s="164"/>
      <c r="O673" s="164"/>
      <c r="P673" s="164"/>
      <c r="Q673" s="164"/>
      <c r="R673" s="164"/>
      <c r="S673" s="164"/>
      <c r="T673" s="164"/>
      <c r="U673" s="164"/>
      <c r="V673" s="164"/>
      <c r="W673" s="164"/>
      <c r="X673" s="164"/>
      <c r="Y673" s="164"/>
      <c r="Z673" s="164"/>
    </row>
    <row r="674">
      <c r="A674" s="164"/>
      <c r="B674" s="164"/>
      <c r="C674" s="164"/>
      <c r="D674" s="164"/>
      <c r="E674" s="164"/>
      <c r="F674" s="164"/>
      <c r="G674" s="164"/>
      <c r="H674" s="164"/>
      <c r="I674" s="164"/>
      <c r="J674" s="164"/>
      <c r="K674" s="164"/>
      <c r="L674" s="164"/>
      <c r="M674" s="164"/>
      <c r="N674" s="164"/>
      <c r="O674" s="164"/>
      <c r="P674" s="164"/>
      <c r="Q674" s="164"/>
      <c r="R674" s="164"/>
      <c r="S674" s="164"/>
      <c r="T674" s="164"/>
      <c r="U674" s="164"/>
      <c r="V674" s="164"/>
      <c r="W674" s="164"/>
      <c r="X674" s="164"/>
      <c r="Y674" s="164"/>
      <c r="Z674" s="164"/>
    </row>
    <row r="675">
      <c r="A675" s="164"/>
      <c r="B675" s="164"/>
      <c r="C675" s="164"/>
      <c r="D675" s="164"/>
      <c r="E675" s="164"/>
      <c r="F675" s="164"/>
      <c r="G675" s="164"/>
      <c r="H675" s="164"/>
      <c r="I675" s="164"/>
      <c r="J675" s="164"/>
      <c r="K675" s="164"/>
      <c r="L675" s="164"/>
      <c r="M675" s="164"/>
      <c r="N675" s="164"/>
      <c r="O675" s="164"/>
      <c r="P675" s="164"/>
      <c r="Q675" s="164"/>
      <c r="R675" s="164"/>
      <c r="S675" s="164"/>
      <c r="T675" s="164"/>
      <c r="U675" s="164"/>
      <c r="V675" s="164"/>
      <c r="W675" s="164"/>
      <c r="X675" s="164"/>
      <c r="Y675" s="164"/>
      <c r="Z675" s="164"/>
    </row>
    <row r="676">
      <c r="A676" s="164"/>
      <c r="B676" s="164"/>
      <c r="C676" s="164"/>
      <c r="D676" s="164"/>
      <c r="E676" s="164"/>
      <c r="F676" s="164"/>
      <c r="G676" s="164"/>
      <c r="H676" s="164"/>
      <c r="I676" s="164"/>
      <c r="J676" s="164"/>
      <c r="K676" s="164"/>
      <c r="L676" s="164"/>
      <c r="M676" s="164"/>
      <c r="N676" s="164"/>
      <c r="O676" s="164"/>
      <c r="P676" s="164"/>
      <c r="Q676" s="164"/>
      <c r="R676" s="164"/>
      <c r="S676" s="164"/>
      <c r="T676" s="164"/>
      <c r="U676" s="164"/>
      <c r="V676" s="164"/>
      <c r="W676" s="164"/>
      <c r="X676" s="164"/>
      <c r="Y676" s="164"/>
      <c r="Z676" s="164"/>
    </row>
    <row r="677">
      <c r="A677" s="164"/>
      <c r="B677" s="164"/>
      <c r="C677" s="164"/>
      <c r="D677" s="164"/>
      <c r="E677" s="164"/>
      <c r="F677" s="164"/>
      <c r="G677" s="164"/>
      <c r="H677" s="164"/>
      <c r="I677" s="164"/>
      <c r="J677" s="164"/>
      <c r="K677" s="164"/>
      <c r="L677" s="164"/>
      <c r="M677" s="164"/>
      <c r="N677" s="164"/>
      <c r="O677" s="164"/>
      <c r="P677" s="164"/>
      <c r="Q677" s="164"/>
      <c r="R677" s="164"/>
      <c r="S677" s="164"/>
      <c r="T677" s="164"/>
      <c r="U677" s="164"/>
      <c r="V677" s="164"/>
      <c r="W677" s="164"/>
      <c r="X677" s="164"/>
      <c r="Y677" s="164"/>
      <c r="Z677" s="164"/>
    </row>
    <row r="678">
      <c r="A678" s="164"/>
      <c r="B678" s="164"/>
      <c r="C678" s="164"/>
      <c r="D678" s="164"/>
      <c r="E678" s="164"/>
      <c r="F678" s="164"/>
      <c r="G678" s="164"/>
      <c r="H678" s="164"/>
      <c r="I678" s="164"/>
      <c r="J678" s="164"/>
      <c r="K678" s="164"/>
      <c r="L678" s="164"/>
      <c r="M678" s="164"/>
      <c r="N678" s="164"/>
      <c r="O678" s="164"/>
      <c r="P678" s="164"/>
      <c r="Q678" s="164"/>
      <c r="R678" s="164"/>
      <c r="S678" s="164"/>
      <c r="T678" s="164"/>
      <c r="U678" s="164"/>
      <c r="V678" s="164"/>
      <c r="W678" s="164"/>
      <c r="X678" s="164"/>
      <c r="Y678" s="164"/>
      <c r="Z678" s="164"/>
    </row>
    <row r="679">
      <c r="A679" s="164"/>
      <c r="B679" s="164"/>
      <c r="C679" s="164"/>
      <c r="D679" s="164"/>
      <c r="E679" s="164"/>
      <c r="F679" s="164"/>
      <c r="G679" s="164"/>
      <c r="H679" s="164"/>
      <c r="I679" s="164"/>
      <c r="J679" s="164"/>
      <c r="K679" s="164"/>
      <c r="L679" s="164"/>
      <c r="M679" s="164"/>
      <c r="N679" s="164"/>
      <c r="O679" s="164"/>
      <c r="P679" s="164"/>
      <c r="Q679" s="164"/>
      <c r="R679" s="164"/>
      <c r="S679" s="164"/>
      <c r="T679" s="164"/>
      <c r="U679" s="164"/>
      <c r="V679" s="164"/>
      <c r="W679" s="164"/>
      <c r="X679" s="164"/>
      <c r="Y679" s="164"/>
      <c r="Z679" s="164"/>
    </row>
    <row r="680">
      <c r="A680" s="164"/>
      <c r="B680" s="164"/>
      <c r="C680" s="164"/>
      <c r="D680" s="164"/>
      <c r="E680" s="164"/>
      <c r="F680" s="164"/>
      <c r="G680" s="164"/>
      <c r="H680" s="164"/>
      <c r="I680" s="164"/>
      <c r="J680" s="164"/>
      <c r="K680" s="164"/>
      <c r="L680" s="164"/>
      <c r="M680" s="164"/>
      <c r="N680" s="164"/>
      <c r="O680" s="164"/>
      <c r="P680" s="164"/>
      <c r="Q680" s="164"/>
      <c r="R680" s="164"/>
      <c r="S680" s="164"/>
      <c r="T680" s="164"/>
      <c r="U680" s="164"/>
      <c r="V680" s="164"/>
      <c r="W680" s="164"/>
      <c r="X680" s="164"/>
      <c r="Y680" s="164"/>
      <c r="Z680" s="164"/>
    </row>
    <row r="681">
      <c r="A681" s="164"/>
      <c r="B681" s="164"/>
      <c r="C681" s="164"/>
      <c r="D681" s="164"/>
      <c r="E681" s="164"/>
      <c r="F681" s="164"/>
      <c r="G681" s="164"/>
      <c r="H681" s="164"/>
      <c r="I681" s="164"/>
      <c r="J681" s="164"/>
      <c r="K681" s="164"/>
      <c r="L681" s="164"/>
      <c r="M681" s="164"/>
      <c r="N681" s="164"/>
      <c r="O681" s="164"/>
      <c r="P681" s="164"/>
      <c r="Q681" s="164"/>
      <c r="R681" s="164"/>
      <c r="S681" s="164"/>
      <c r="T681" s="164"/>
      <c r="U681" s="164"/>
      <c r="V681" s="164"/>
      <c r="W681" s="164"/>
      <c r="X681" s="164"/>
      <c r="Y681" s="164"/>
      <c r="Z681" s="164"/>
    </row>
    <row r="682">
      <c r="A682" s="164"/>
      <c r="B682" s="164"/>
      <c r="C682" s="164"/>
      <c r="D682" s="164"/>
      <c r="E682" s="164"/>
      <c r="F682" s="164"/>
      <c r="G682" s="164"/>
      <c r="H682" s="164"/>
      <c r="I682" s="164"/>
      <c r="J682" s="164"/>
      <c r="K682" s="164"/>
      <c r="L682" s="164"/>
      <c r="M682" s="164"/>
      <c r="N682" s="164"/>
      <c r="O682" s="164"/>
      <c r="P682" s="164"/>
      <c r="Q682" s="164"/>
      <c r="R682" s="164"/>
      <c r="S682" s="164"/>
      <c r="T682" s="164"/>
      <c r="U682" s="164"/>
      <c r="V682" s="164"/>
      <c r="W682" s="164"/>
      <c r="X682" s="164"/>
      <c r="Y682" s="164"/>
      <c r="Z682" s="164"/>
    </row>
    <row r="683">
      <c r="A683" s="164"/>
      <c r="B683" s="164"/>
      <c r="C683" s="164"/>
      <c r="D683" s="164"/>
      <c r="E683" s="164"/>
      <c r="F683" s="164"/>
      <c r="G683" s="164"/>
      <c r="H683" s="164"/>
      <c r="I683" s="164"/>
      <c r="J683" s="164"/>
      <c r="K683" s="164"/>
      <c r="L683" s="164"/>
      <c r="M683" s="164"/>
      <c r="N683" s="164"/>
      <c r="O683" s="164"/>
      <c r="P683" s="164"/>
      <c r="Q683" s="164"/>
      <c r="R683" s="164"/>
      <c r="S683" s="164"/>
      <c r="T683" s="164"/>
      <c r="U683" s="164"/>
      <c r="V683" s="164"/>
      <c r="W683" s="164"/>
      <c r="X683" s="164"/>
      <c r="Y683" s="164"/>
      <c r="Z683" s="164"/>
    </row>
    <row r="684">
      <c r="A684" s="164"/>
      <c r="B684" s="164"/>
      <c r="C684" s="164"/>
      <c r="D684" s="164"/>
      <c r="E684" s="164"/>
      <c r="F684" s="164"/>
      <c r="G684" s="164"/>
      <c r="H684" s="164"/>
      <c r="I684" s="164"/>
      <c r="J684" s="164"/>
      <c r="K684" s="164"/>
      <c r="L684" s="164"/>
      <c r="M684" s="164"/>
      <c r="N684" s="164"/>
      <c r="O684" s="164"/>
      <c r="P684" s="164"/>
      <c r="Q684" s="164"/>
      <c r="R684" s="164"/>
      <c r="S684" s="164"/>
      <c r="T684" s="164"/>
      <c r="U684" s="164"/>
      <c r="V684" s="164"/>
      <c r="W684" s="164"/>
      <c r="X684" s="164"/>
      <c r="Y684" s="164"/>
      <c r="Z684" s="164"/>
    </row>
    <row r="685">
      <c r="A685" s="164"/>
      <c r="B685" s="164"/>
      <c r="C685" s="164"/>
      <c r="D685" s="164"/>
      <c r="E685" s="164"/>
      <c r="F685" s="164"/>
      <c r="G685" s="164"/>
      <c r="H685" s="164"/>
      <c r="I685" s="164"/>
      <c r="J685" s="164"/>
      <c r="K685" s="164"/>
      <c r="L685" s="164"/>
      <c r="M685" s="164"/>
      <c r="N685" s="164"/>
      <c r="O685" s="164"/>
      <c r="P685" s="164"/>
      <c r="Q685" s="164"/>
      <c r="R685" s="164"/>
      <c r="S685" s="164"/>
      <c r="T685" s="164"/>
      <c r="U685" s="164"/>
      <c r="V685" s="164"/>
      <c r="W685" s="164"/>
      <c r="X685" s="164"/>
      <c r="Y685" s="164"/>
      <c r="Z685" s="164"/>
    </row>
    <row r="686">
      <c r="A686" s="164"/>
      <c r="B686" s="164"/>
      <c r="C686" s="164"/>
      <c r="D686" s="164"/>
      <c r="E686" s="164"/>
      <c r="F686" s="164"/>
      <c r="G686" s="164"/>
      <c r="H686" s="164"/>
      <c r="I686" s="164"/>
      <c r="J686" s="164"/>
      <c r="K686" s="164"/>
      <c r="L686" s="164"/>
      <c r="M686" s="164"/>
      <c r="N686" s="164"/>
      <c r="O686" s="164"/>
      <c r="P686" s="164"/>
      <c r="Q686" s="164"/>
      <c r="R686" s="164"/>
      <c r="S686" s="164"/>
      <c r="T686" s="164"/>
      <c r="U686" s="164"/>
      <c r="V686" s="164"/>
      <c r="W686" s="164"/>
      <c r="X686" s="164"/>
      <c r="Y686" s="164"/>
      <c r="Z686" s="164"/>
    </row>
    <row r="687">
      <c r="A687" s="164"/>
      <c r="B687" s="164"/>
      <c r="C687" s="164"/>
      <c r="D687" s="164"/>
      <c r="E687" s="164"/>
      <c r="F687" s="164"/>
      <c r="G687" s="164"/>
      <c r="H687" s="164"/>
      <c r="I687" s="164"/>
      <c r="J687" s="164"/>
      <c r="K687" s="164"/>
      <c r="L687" s="164"/>
      <c r="M687" s="164"/>
      <c r="N687" s="164"/>
      <c r="O687" s="164"/>
      <c r="P687" s="164"/>
      <c r="Q687" s="164"/>
      <c r="R687" s="164"/>
      <c r="S687" s="164"/>
      <c r="T687" s="164"/>
      <c r="U687" s="164"/>
      <c r="V687" s="164"/>
      <c r="W687" s="164"/>
      <c r="X687" s="164"/>
      <c r="Y687" s="164"/>
      <c r="Z687" s="164"/>
    </row>
    <row r="688">
      <c r="A688" s="164"/>
      <c r="B688" s="164"/>
      <c r="C688" s="164"/>
      <c r="D688" s="164"/>
      <c r="E688" s="164"/>
      <c r="F688" s="164"/>
      <c r="G688" s="164"/>
      <c r="H688" s="164"/>
      <c r="I688" s="164"/>
      <c r="J688" s="164"/>
      <c r="K688" s="164"/>
      <c r="L688" s="164"/>
      <c r="M688" s="164"/>
      <c r="N688" s="164"/>
      <c r="O688" s="164"/>
      <c r="P688" s="164"/>
      <c r="Q688" s="164"/>
      <c r="R688" s="164"/>
      <c r="S688" s="164"/>
      <c r="T688" s="164"/>
      <c r="U688" s="164"/>
      <c r="V688" s="164"/>
      <c r="W688" s="164"/>
      <c r="X688" s="164"/>
      <c r="Y688" s="164"/>
      <c r="Z688" s="164"/>
    </row>
    <row r="689">
      <c r="A689" s="164"/>
      <c r="B689" s="164"/>
      <c r="C689" s="164"/>
      <c r="D689" s="164"/>
      <c r="E689" s="164"/>
      <c r="F689" s="164"/>
      <c r="G689" s="164"/>
      <c r="H689" s="164"/>
      <c r="I689" s="164"/>
      <c r="J689" s="164"/>
      <c r="K689" s="164"/>
      <c r="L689" s="164"/>
      <c r="M689" s="164"/>
      <c r="N689" s="164"/>
      <c r="O689" s="164"/>
      <c r="P689" s="164"/>
      <c r="Q689" s="164"/>
      <c r="R689" s="164"/>
      <c r="S689" s="164"/>
      <c r="T689" s="164"/>
      <c r="U689" s="164"/>
      <c r="V689" s="164"/>
      <c r="W689" s="164"/>
      <c r="X689" s="164"/>
      <c r="Y689" s="164"/>
      <c r="Z689" s="164"/>
    </row>
    <row r="690">
      <c r="A690" s="164"/>
      <c r="B690" s="164"/>
      <c r="C690" s="164"/>
      <c r="D690" s="164"/>
      <c r="E690" s="164"/>
      <c r="F690" s="164"/>
      <c r="G690" s="164"/>
      <c r="H690" s="164"/>
      <c r="I690" s="164"/>
      <c r="J690" s="164"/>
      <c r="K690" s="164"/>
      <c r="L690" s="164"/>
      <c r="M690" s="164"/>
      <c r="N690" s="164"/>
      <c r="O690" s="164"/>
      <c r="P690" s="164"/>
      <c r="Q690" s="164"/>
      <c r="R690" s="164"/>
      <c r="S690" s="164"/>
      <c r="T690" s="164"/>
      <c r="U690" s="164"/>
      <c r="V690" s="164"/>
      <c r="W690" s="164"/>
      <c r="X690" s="164"/>
      <c r="Y690" s="164"/>
      <c r="Z690" s="164"/>
    </row>
    <row r="691">
      <c r="A691" s="164"/>
      <c r="B691" s="164"/>
      <c r="C691" s="164"/>
      <c r="D691" s="164"/>
      <c r="E691" s="164"/>
      <c r="F691" s="164"/>
      <c r="G691" s="164"/>
      <c r="H691" s="164"/>
      <c r="I691" s="164"/>
      <c r="J691" s="164"/>
      <c r="K691" s="164"/>
      <c r="L691" s="164"/>
      <c r="M691" s="164"/>
      <c r="N691" s="164"/>
      <c r="O691" s="164"/>
      <c r="P691" s="164"/>
      <c r="Q691" s="164"/>
      <c r="R691" s="164"/>
      <c r="S691" s="164"/>
      <c r="T691" s="164"/>
      <c r="U691" s="164"/>
      <c r="V691" s="164"/>
      <c r="W691" s="164"/>
      <c r="X691" s="164"/>
      <c r="Y691" s="164"/>
      <c r="Z691" s="164"/>
    </row>
    <row r="692">
      <c r="A692" s="164"/>
      <c r="B692" s="164"/>
      <c r="C692" s="164"/>
      <c r="D692" s="164"/>
      <c r="E692" s="164"/>
      <c r="F692" s="164"/>
      <c r="G692" s="164"/>
      <c r="H692" s="164"/>
      <c r="I692" s="164"/>
      <c r="J692" s="164"/>
      <c r="K692" s="164"/>
      <c r="L692" s="164"/>
      <c r="M692" s="164"/>
      <c r="N692" s="164"/>
      <c r="O692" s="164"/>
      <c r="P692" s="164"/>
      <c r="Q692" s="164"/>
      <c r="R692" s="164"/>
      <c r="S692" s="164"/>
      <c r="T692" s="164"/>
      <c r="U692" s="164"/>
      <c r="V692" s="164"/>
      <c r="W692" s="164"/>
      <c r="X692" s="164"/>
      <c r="Y692" s="164"/>
      <c r="Z692" s="164"/>
    </row>
    <row r="693">
      <c r="A693" s="164"/>
      <c r="B693" s="164"/>
      <c r="C693" s="164"/>
      <c r="D693" s="164"/>
      <c r="E693" s="164"/>
      <c r="F693" s="164"/>
      <c r="G693" s="164"/>
      <c r="H693" s="164"/>
      <c r="I693" s="164"/>
      <c r="J693" s="164"/>
      <c r="K693" s="164"/>
      <c r="L693" s="164"/>
      <c r="M693" s="164"/>
      <c r="N693" s="164"/>
      <c r="O693" s="164"/>
      <c r="P693" s="164"/>
      <c r="Q693" s="164"/>
      <c r="R693" s="164"/>
      <c r="S693" s="164"/>
      <c r="T693" s="164"/>
      <c r="U693" s="164"/>
      <c r="V693" s="164"/>
      <c r="W693" s="164"/>
      <c r="X693" s="164"/>
      <c r="Y693" s="164"/>
      <c r="Z693" s="164"/>
    </row>
    <row r="694">
      <c r="A694" s="164"/>
      <c r="B694" s="164"/>
      <c r="C694" s="164"/>
      <c r="D694" s="164"/>
      <c r="E694" s="164"/>
      <c r="F694" s="164"/>
      <c r="G694" s="164"/>
      <c r="H694" s="164"/>
      <c r="I694" s="164"/>
      <c r="J694" s="164"/>
      <c r="K694" s="164"/>
      <c r="L694" s="164"/>
      <c r="M694" s="164"/>
      <c r="N694" s="164"/>
      <c r="O694" s="164"/>
      <c r="P694" s="164"/>
      <c r="Q694" s="164"/>
      <c r="R694" s="164"/>
      <c r="S694" s="164"/>
      <c r="T694" s="164"/>
      <c r="U694" s="164"/>
      <c r="V694" s="164"/>
      <c r="W694" s="164"/>
      <c r="X694" s="164"/>
      <c r="Y694" s="164"/>
      <c r="Z694" s="164"/>
    </row>
    <row r="695">
      <c r="A695" s="164"/>
      <c r="B695" s="164"/>
      <c r="C695" s="164"/>
      <c r="D695" s="164"/>
      <c r="E695" s="164"/>
      <c r="F695" s="164"/>
      <c r="G695" s="164"/>
      <c r="H695" s="164"/>
      <c r="I695" s="164"/>
      <c r="J695" s="164"/>
      <c r="K695" s="164"/>
      <c r="L695" s="164"/>
      <c r="M695" s="164"/>
      <c r="N695" s="164"/>
      <c r="O695" s="164"/>
      <c r="P695" s="164"/>
      <c r="Q695" s="164"/>
      <c r="R695" s="164"/>
      <c r="S695" s="164"/>
      <c r="T695" s="164"/>
      <c r="U695" s="164"/>
      <c r="V695" s="164"/>
      <c r="W695" s="164"/>
      <c r="X695" s="164"/>
      <c r="Y695" s="164"/>
      <c r="Z695" s="164"/>
    </row>
    <row r="696">
      <c r="A696" s="164"/>
      <c r="B696" s="164"/>
      <c r="C696" s="164"/>
      <c r="D696" s="164"/>
      <c r="E696" s="164"/>
      <c r="F696" s="164"/>
      <c r="G696" s="164"/>
      <c r="H696" s="164"/>
      <c r="I696" s="164"/>
      <c r="J696" s="164"/>
      <c r="K696" s="164"/>
      <c r="L696" s="164"/>
      <c r="M696" s="164"/>
      <c r="N696" s="164"/>
      <c r="O696" s="164"/>
      <c r="P696" s="164"/>
      <c r="Q696" s="164"/>
      <c r="R696" s="164"/>
      <c r="S696" s="164"/>
      <c r="T696" s="164"/>
      <c r="U696" s="164"/>
      <c r="V696" s="164"/>
      <c r="W696" s="164"/>
      <c r="X696" s="164"/>
      <c r="Y696" s="164"/>
      <c r="Z696" s="164"/>
    </row>
    <row r="697">
      <c r="A697" s="164"/>
      <c r="B697" s="164"/>
      <c r="C697" s="164"/>
      <c r="D697" s="164"/>
      <c r="E697" s="164"/>
      <c r="F697" s="164"/>
      <c r="G697" s="164"/>
      <c r="H697" s="164"/>
      <c r="I697" s="164"/>
      <c r="J697" s="164"/>
      <c r="K697" s="164"/>
      <c r="L697" s="164"/>
      <c r="M697" s="164"/>
      <c r="N697" s="164"/>
      <c r="O697" s="164"/>
      <c r="P697" s="164"/>
      <c r="Q697" s="164"/>
      <c r="R697" s="164"/>
      <c r="S697" s="164"/>
      <c r="T697" s="164"/>
      <c r="U697" s="164"/>
      <c r="V697" s="164"/>
      <c r="W697" s="164"/>
      <c r="X697" s="164"/>
      <c r="Y697" s="164"/>
      <c r="Z697" s="164"/>
    </row>
    <row r="698">
      <c r="A698" s="164"/>
      <c r="B698" s="164"/>
      <c r="C698" s="164"/>
      <c r="D698" s="164"/>
      <c r="E698" s="164"/>
      <c r="F698" s="164"/>
      <c r="G698" s="164"/>
      <c r="H698" s="164"/>
      <c r="I698" s="164"/>
      <c r="J698" s="164"/>
      <c r="K698" s="164"/>
      <c r="L698" s="164"/>
      <c r="M698" s="164"/>
      <c r="N698" s="164"/>
      <c r="O698" s="164"/>
      <c r="P698" s="164"/>
      <c r="Q698" s="164"/>
      <c r="R698" s="164"/>
      <c r="S698" s="164"/>
      <c r="T698" s="164"/>
      <c r="U698" s="164"/>
      <c r="V698" s="164"/>
      <c r="W698" s="164"/>
      <c r="X698" s="164"/>
      <c r="Y698" s="164"/>
      <c r="Z698" s="164"/>
    </row>
    <row r="699">
      <c r="A699" s="164"/>
      <c r="B699" s="164"/>
      <c r="C699" s="164"/>
      <c r="D699" s="164"/>
      <c r="E699" s="164"/>
      <c r="F699" s="164"/>
      <c r="G699" s="164"/>
      <c r="H699" s="164"/>
      <c r="I699" s="164"/>
      <c r="J699" s="164"/>
      <c r="K699" s="164"/>
      <c r="L699" s="164"/>
      <c r="M699" s="164"/>
      <c r="N699" s="164"/>
      <c r="O699" s="164"/>
      <c r="P699" s="164"/>
      <c r="Q699" s="164"/>
      <c r="R699" s="164"/>
      <c r="S699" s="164"/>
      <c r="T699" s="164"/>
      <c r="U699" s="164"/>
      <c r="V699" s="164"/>
      <c r="W699" s="164"/>
      <c r="X699" s="164"/>
      <c r="Y699" s="164"/>
      <c r="Z699" s="164"/>
    </row>
    <row r="700">
      <c r="A700" s="164"/>
      <c r="B700" s="164"/>
      <c r="C700" s="164"/>
      <c r="D700" s="164"/>
      <c r="E700" s="164"/>
      <c r="F700" s="164"/>
      <c r="G700" s="164"/>
      <c r="H700" s="164"/>
      <c r="I700" s="164"/>
      <c r="J700" s="164"/>
      <c r="K700" s="164"/>
      <c r="L700" s="164"/>
      <c r="M700" s="164"/>
      <c r="N700" s="164"/>
      <c r="O700" s="164"/>
      <c r="P700" s="164"/>
      <c r="Q700" s="164"/>
      <c r="R700" s="164"/>
      <c r="S700" s="164"/>
      <c r="T700" s="164"/>
      <c r="U700" s="164"/>
      <c r="V700" s="164"/>
      <c r="W700" s="164"/>
      <c r="X700" s="164"/>
      <c r="Y700" s="164"/>
      <c r="Z700" s="164"/>
    </row>
    <row r="701">
      <c r="A701" s="164"/>
      <c r="B701" s="164"/>
      <c r="C701" s="164"/>
      <c r="D701" s="164"/>
      <c r="E701" s="164"/>
      <c r="F701" s="164"/>
      <c r="G701" s="164"/>
      <c r="H701" s="164"/>
      <c r="I701" s="164"/>
      <c r="J701" s="164"/>
      <c r="K701" s="164"/>
      <c r="L701" s="164"/>
      <c r="M701" s="164"/>
      <c r="N701" s="164"/>
      <c r="O701" s="164"/>
      <c r="P701" s="164"/>
      <c r="Q701" s="164"/>
      <c r="R701" s="164"/>
      <c r="S701" s="164"/>
      <c r="T701" s="164"/>
      <c r="U701" s="164"/>
      <c r="V701" s="164"/>
      <c r="W701" s="164"/>
      <c r="X701" s="164"/>
      <c r="Y701" s="164"/>
      <c r="Z701" s="164"/>
    </row>
    <row r="702">
      <c r="A702" s="164"/>
      <c r="B702" s="164"/>
      <c r="C702" s="164"/>
      <c r="D702" s="164"/>
      <c r="E702" s="164"/>
      <c r="F702" s="164"/>
      <c r="G702" s="164"/>
      <c r="H702" s="164"/>
      <c r="I702" s="164"/>
      <c r="J702" s="164"/>
      <c r="K702" s="164"/>
      <c r="L702" s="164"/>
      <c r="M702" s="164"/>
      <c r="N702" s="164"/>
      <c r="O702" s="164"/>
      <c r="P702" s="164"/>
      <c r="Q702" s="164"/>
      <c r="R702" s="164"/>
      <c r="S702" s="164"/>
      <c r="T702" s="164"/>
      <c r="U702" s="164"/>
      <c r="V702" s="164"/>
      <c r="W702" s="164"/>
      <c r="X702" s="164"/>
      <c r="Y702" s="164"/>
      <c r="Z702" s="164"/>
    </row>
    <row r="703">
      <c r="A703" s="164"/>
      <c r="B703" s="164"/>
      <c r="C703" s="164"/>
      <c r="D703" s="164"/>
      <c r="E703" s="164"/>
      <c r="F703" s="164"/>
      <c r="G703" s="164"/>
      <c r="H703" s="164"/>
      <c r="I703" s="164"/>
      <c r="J703" s="164"/>
      <c r="K703" s="164"/>
      <c r="L703" s="164"/>
      <c r="M703" s="164"/>
      <c r="N703" s="164"/>
      <c r="O703" s="164"/>
      <c r="P703" s="164"/>
      <c r="Q703" s="164"/>
      <c r="R703" s="164"/>
      <c r="S703" s="164"/>
      <c r="T703" s="164"/>
      <c r="U703" s="164"/>
      <c r="V703" s="164"/>
      <c r="W703" s="164"/>
      <c r="X703" s="164"/>
      <c r="Y703" s="164"/>
      <c r="Z703" s="164"/>
    </row>
    <row r="704">
      <c r="A704" s="164"/>
      <c r="B704" s="164"/>
      <c r="C704" s="164"/>
      <c r="D704" s="164"/>
      <c r="E704" s="164"/>
      <c r="F704" s="164"/>
      <c r="G704" s="164"/>
      <c r="H704" s="164"/>
      <c r="I704" s="164"/>
      <c r="J704" s="164"/>
      <c r="K704" s="164"/>
      <c r="L704" s="164"/>
      <c r="M704" s="164"/>
      <c r="N704" s="164"/>
      <c r="O704" s="164"/>
      <c r="P704" s="164"/>
      <c r="Q704" s="164"/>
      <c r="R704" s="164"/>
      <c r="S704" s="164"/>
      <c r="T704" s="164"/>
      <c r="U704" s="164"/>
      <c r="V704" s="164"/>
      <c r="W704" s="164"/>
      <c r="X704" s="164"/>
      <c r="Y704" s="164"/>
      <c r="Z704" s="164"/>
    </row>
    <row r="705">
      <c r="A705" s="164"/>
      <c r="B705" s="164"/>
      <c r="C705" s="164"/>
      <c r="D705" s="164"/>
      <c r="E705" s="164"/>
      <c r="F705" s="164"/>
      <c r="G705" s="164"/>
      <c r="H705" s="164"/>
      <c r="I705" s="164"/>
      <c r="J705" s="164"/>
      <c r="K705" s="164"/>
      <c r="L705" s="164"/>
      <c r="M705" s="164"/>
      <c r="N705" s="164"/>
      <c r="O705" s="164"/>
      <c r="P705" s="164"/>
      <c r="Q705" s="164"/>
      <c r="R705" s="164"/>
      <c r="S705" s="164"/>
      <c r="T705" s="164"/>
      <c r="U705" s="164"/>
      <c r="V705" s="164"/>
      <c r="W705" s="164"/>
      <c r="X705" s="164"/>
      <c r="Y705" s="164"/>
      <c r="Z705" s="164"/>
    </row>
    <row r="706">
      <c r="A706" s="164"/>
      <c r="B706" s="164"/>
      <c r="C706" s="164"/>
      <c r="D706" s="164"/>
      <c r="E706" s="164"/>
      <c r="F706" s="164"/>
      <c r="G706" s="164"/>
      <c r="H706" s="164"/>
      <c r="I706" s="164"/>
      <c r="J706" s="164"/>
      <c r="K706" s="164"/>
      <c r="L706" s="164"/>
      <c r="M706" s="164"/>
      <c r="N706" s="164"/>
      <c r="O706" s="164"/>
      <c r="P706" s="164"/>
      <c r="Q706" s="164"/>
      <c r="R706" s="164"/>
      <c r="S706" s="164"/>
      <c r="T706" s="164"/>
      <c r="U706" s="164"/>
      <c r="V706" s="164"/>
      <c r="W706" s="164"/>
      <c r="X706" s="164"/>
      <c r="Y706" s="164"/>
      <c r="Z706" s="164"/>
    </row>
    <row r="707">
      <c r="A707" s="164"/>
      <c r="B707" s="164"/>
      <c r="C707" s="164"/>
      <c r="D707" s="164"/>
      <c r="E707" s="164"/>
      <c r="F707" s="164"/>
      <c r="G707" s="164"/>
      <c r="H707" s="164"/>
      <c r="I707" s="164"/>
      <c r="J707" s="164"/>
      <c r="K707" s="164"/>
      <c r="L707" s="164"/>
      <c r="M707" s="164"/>
      <c r="N707" s="164"/>
      <c r="O707" s="164"/>
      <c r="P707" s="164"/>
      <c r="Q707" s="164"/>
      <c r="R707" s="164"/>
      <c r="S707" s="164"/>
      <c r="T707" s="164"/>
      <c r="U707" s="164"/>
      <c r="V707" s="164"/>
      <c r="W707" s="164"/>
      <c r="X707" s="164"/>
      <c r="Y707" s="164"/>
      <c r="Z707" s="164"/>
    </row>
    <row r="708">
      <c r="A708" s="164"/>
      <c r="B708" s="164"/>
      <c r="C708" s="164"/>
      <c r="D708" s="164"/>
      <c r="E708" s="164"/>
      <c r="F708" s="164"/>
      <c r="G708" s="164"/>
      <c r="H708" s="164"/>
      <c r="I708" s="164"/>
      <c r="J708" s="164"/>
      <c r="K708" s="164"/>
      <c r="L708" s="164"/>
      <c r="M708" s="164"/>
      <c r="N708" s="164"/>
      <c r="O708" s="164"/>
      <c r="P708" s="164"/>
      <c r="Q708" s="164"/>
      <c r="R708" s="164"/>
      <c r="S708" s="164"/>
      <c r="T708" s="164"/>
      <c r="U708" s="164"/>
      <c r="V708" s="164"/>
      <c r="W708" s="164"/>
      <c r="X708" s="164"/>
      <c r="Y708" s="164"/>
      <c r="Z708" s="164"/>
    </row>
    <row r="709">
      <c r="A709" s="164"/>
      <c r="B709" s="164"/>
      <c r="C709" s="164"/>
      <c r="D709" s="164"/>
      <c r="E709" s="164"/>
      <c r="F709" s="164"/>
      <c r="G709" s="164"/>
      <c r="H709" s="164"/>
      <c r="I709" s="164"/>
      <c r="J709" s="164"/>
      <c r="K709" s="164"/>
      <c r="L709" s="164"/>
      <c r="M709" s="164"/>
      <c r="N709" s="164"/>
      <c r="O709" s="164"/>
      <c r="P709" s="164"/>
      <c r="Q709" s="164"/>
      <c r="R709" s="164"/>
      <c r="S709" s="164"/>
      <c r="T709" s="164"/>
      <c r="U709" s="164"/>
      <c r="V709" s="164"/>
      <c r="W709" s="164"/>
      <c r="X709" s="164"/>
      <c r="Y709" s="164"/>
      <c r="Z709" s="164"/>
    </row>
    <row r="710">
      <c r="A710" s="164"/>
      <c r="B710" s="164"/>
      <c r="C710" s="164"/>
      <c r="D710" s="164"/>
      <c r="E710" s="164"/>
      <c r="F710" s="164"/>
      <c r="G710" s="164"/>
      <c r="H710" s="164"/>
      <c r="I710" s="164"/>
      <c r="J710" s="164"/>
      <c r="K710" s="164"/>
      <c r="L710" s="164"/>
      <c r="M710" s="164"/>
      <c r="N710" s="164"/>
      <c r="O710" s="164"/>
      <c r="P710" s="164"/>
      <c r="Q710" s="164"/>
      <c r="R710" s="164"/>
      <c r="S710" s="164"/>
      <c r="T710" s="164"/>
      <c r="U710" s="164"/>
      <c r="V710" s="164"/>
      <c r="W710" s="164"/>
      <c r="X710" s="164"/>
      <c r="Y710" s="164"/>
      <c r="Z710" s="164"/>
    </row>
    <row r="711">
      <c r="A711" s="164"/>
      <c r="B711" s="164"/>
      <c r="C711" s="164"/>
      <c r="D711" s="164"/>
      <c r="E711" s="164"/>
      <c r="F711" s="164"/>
      <c r="G711" s="164"/>
      <c r="H711" s="164"/>
      <c r="I711" s="164"/>
      <c r="J711" s="164"/>
      <c r="K711" s="164"/>
      <c r="L711" s="164"/>
      <c r="M711" s="164"/>
      <c r="N711" s="164"/>
      <c r="O711" s="164"/>
      <c r="P711" s="164"/>
      <c r="Q711" s="164"/>
      <c r="R711" s="164"/>
      <c r="S711" s="164"/>
      <c r="T711" s="164"/>
      <c r="U711" s="164"/>
      <c r="V711" s="164"/>
      <c r="W711" s="164"/>
      <c r="X711" s="164"/>
      <c r="Y711" s="164"/>
      <c r="Z711" s="164"/>
    </row>
    <row r="712">
      <c r="A712" s="164"/>
      <c r="B712" s="164"/>
      <c r="C712" s="164"/>
      <c r="D712" s="164"/>
      <c r="E712" s="164"/>
      <c r="F712" s="164"/>
      <c r="G712" s="164"/>
      <c r="H712" s="164"/>
      <c r="I712" s="164"/>
      <c r="J712" s="164"/>
      <c r="K712" s="164"/>
      <c r="L712" s="164"/>
      <c r="M712" s="164"/>
      <c r="N712" s="164"/>
      <c r="O712" s="164"/>
      <c r="P712" s="164"/>
      <c r="Q712" s="164"/>
      <c r="R712" s="164"/>
      <c r="S712" s="164"/>
      <c r="T712" s="164"/>
      <c r="U712" s="164"/>
      <c r="V712" s="164"/>
      <c r="W712" s="164"/>
      <c r="X712" s="164"/>
      <c r="Y712" s="164"/>
      <c r="Z712" s="164"/>
    </row>
    <row r="713">
      <c r="A713" s="164"/>
      <c r="B713" s="164"/>
      <c r="C713" s="164"/>
      <c r="D713" s="164"/>
      <c r="E713" s="164"/>
      <c r="F713" s="164"/>
      <c r="G713" s="164"/>
      <c r="H713" s="164"/>
      <c r="I713" s="164"/>
      <c r="J713" s="164"/>
      <c r="K713" s="164"/>
      <c r="L713" s="164"/>
      <c r="M713" s="164"/>
      <c r="N713" s="164"/>
      <c r="O713" s="164"/>
      <c r="P713" s="164"/>
      <c r="Q713" s="164"/>
      <c r="R713" s="164"/>
      <c r="S713" s="164"/>
      <c r="T713" s="164"/>
      <c r="U713" s="164"/>
      <c r="V713" s="164"/>
      <c r="W713" s="164"/>
      <c r="X713" s="164"/>
      <c r="Y713" s="164"/>
      <c r="Z713" s="164"/>
    </row>
    <row r="714">
      <c r="A714" s="164"/>
      <c r="B714" s="164"/>
      <c r="C714" s="164"/>
      <c r="D714" s="164"/>
      <c r="E714" s="164"/>
      <c r="F714" s="164"/>
      <c r="G714" s="164"/>
      <c r="H714" s="164"/>
      <c r="I714" s="164"/>
      <c r="J714" s="164"/>
      <c r="K714" s="164"/>
      <c r="L714" s="164"/>
      <c r="M714" s="164"/>
      <c r="N714" s="164"/>
      <c r="O714" s="164"/>
      <c r="P714" s="164"/>
      <c r="Q714" s="164"/>
      <c r="R714" s="164"/>
      <c r="S714" s="164"/>
      <c r="T714" s="164"/>
      <c r="U714" s="164"/>
      <c r="V714" s="164"/>
      <c r="W714" s="164"/>
      <c r="X714" s="164"/>
      <c r="Y714" s="164"/>
      <c r="Z714" s="164"/>
    </row>
    <row r="715">
      <c r="A715" s="164"/>
      <c r="B715" s="164"/>
      <c r="C715" s="164"/>
      <c r="D715" s="164"/>
      <c r="E715" s="164"/>
      <c r="F715" s="164"/>
      <c r="G715" s="164"/>
      <c r="H715" s="164"/>
      <c r="I715" s="164"/>
      <c r="J715" s="164"/>
      <c r="K715" s="164"/>
      <c r="L715" s="164"/>
      <c r="M715" s="164"/>
      <c r="N715" s="164"/>
      <c r="O715" s="164"/>
      <c r="P715" s="164"/>
      <c r="Q715" s="164"/>
      <c r="R715" s="164"/>
      <c r="S715" s="164"/>
      <c r="T715" s="164"/>
      <c r="U715" s="164"/>
      <c r="V715" s="164"/>
      <c r="W715" s="164"/>
      <c r="X715" s="164"/>
      <c r="Y715" s="164"/>
      <c r="Z715" s="164"/>
    </row>
    <row r="716">
      <c r="A716" s="164"/>
      <c r="B716" s="164"/>
      <c r="C716" s="164"/>
      <c r="D716" s="164"/>
      <c r="E716" s="164"/>
      <c r="F716" s="164"/>
      <c r="G716" s="164"/>
      <c r="H716" s="164"/>
      <c r="I716" s="164"/>
      <c r="J716" s="164"/>
      <c r="K716" s="164"/>
      <c r="L716" s="164"/>
      <c r="M716" s="164"/>
      <c r="N716" s="164"/>
      <c r="O716" s="164"/>
      <c r="P716" s="164"/>
      <c r="Q716" s="164"/>
      <c r="R716" s="164"/>
      <c r="S716" s="164"/>
      <c r="T716" s="164"/>
      <c r="U716" s="164"/>
      <c r="V716" s="164"/>
      <c r="W716" s="164"/>
      <c r="X716" s="164"/>
      <c r="Y716" s="164"/>
      <c r="Z716" s="164"/>
    </row>
    <row r="717">
      <c r="A717" s="164"/>
      <c r="B717" s="164"/>
      <c r="C717" s="164"/>
      <c r="D717" s="164"/>
      <c r="E717" s="164"/>
      <c r="F717" s="164"/>
      <c r="G717" s="164"/>
      <c r="H717" s="164"/>
      <c r="I717" s="164"/>
      <c r="J717" s="164"/>
      <c r="K717" s="164"/>
      <c r="L717" s="164"/>
      <c r="M717" s="164"/>
      <c r="N717" s="164"/>
      <c r="O717" s="164"/>
      <c r="P717" s="164"/>
      <c r="Q717" s="164"/>
      <c r="R717" s="164"/>
      <c r="S717" s="164"/>
      <c r="T717" s="164"/>
      <c r="U717" s="164"/>
      <c r="V717" s="164"/>
      <c r="W717" s="164"/>
      <c r="X717" s="164"/>
      <c r="Y717" s="164"/>
      <c r="Z717" s="164"/>
    </row>
    <row r="718">
      <c r="A718" s="164"/>
      <c r="B718" s="164"/>
      <c r="C718" s="164"/>
      <c r="D718" s="164"/>
      <c r="E718" s="164"/>
      <c r="F718" s="164"/>
      <c r="G718" s="164"/>
      <c r="H718" s="164"/>
      <c r="I718" s="164"/>
      <c r="J718" s="164"/>
      <c r="K718" s="164"/>
      <c r="L718" s="164"/>
      <c r="M718" s="164"/>
      <c r="N718" s="164"/>
      <c r="O718" s="164"/>
      <c r="P718" s="164"/>
      <c r="Q718" s="164"/>
      <c r="R718" s="164"/>
      <c r="S718" s="164"/>
      <c r="T718" s="164"/>
      <c r="U718" s="164"/>
      <c r="V718" s="164"/>
      <c r="W718" s="164"/>
      <c r="X718" s="164"/>
      <c r="Y718" s="164"/>
      <c r="Z718" s="164"/>
    </row>
    <row r="719">
      <c r="A719" s="164"/>
      <c r="B719" s="164"/>
      <c r="C719" s="164"/>
      <c r="D719" s="164"/>
      <c r="E719" s="164"/>
      <c r="F719" s="164"/>
      <c r="G719" s="164"/>
      <c r="H719" s="164"/>
      <c r="I719" s="164"/>
      <c r="J719" s="164"/>
      <c r="K719" s="164"/>
      <c r="L719" s="164"/>
      <c r="M719" s="164"/>
      <c r="N719" s="164"/>
      <c r="O719" s="164"/>
      <c r="P719" s="164"/>
      <c r="Q719" s="164"/>
      <c r="R719" s="164"/>
      <c r="S719" s="164"/>
      <c r="T719" s="164"/>
      <c r="U719" s="164"/>
      <c r="V719" s="164"/>
      <c r="W719" s="164"/>
      <c r="X719" s="164"/>
      <c r="Y719" s="164"/>
      <c r="Z719" s="164"/>
    </row>
    <row r="720">
      <c r="A720" s="164"/>
      <c r="B720" s="164"/>
      <c r="C720" s="164"/>
      <c r="D720" s="164"/>
      <c r="E720" s="164"/>
      <c r="F720" s="164"/>
      <c r="G720" s="164"/>
      <c r="H720" s="164"/>
      <c r="I720" s="164"/>
      <c r="J720" s="164"/>
      <c r="K720" s="164"/>
      <c r="L720" s="164"/>
      <c r="M720" s="164"/>
      <c r="N720" s="164"/>
      <c r="O720" s="164"/>
      <c r="P720" s="164"/>
      <c r="Q720" s="164"/>
      <c r="R720" s="164"/>
      <c r="S720" s="164"/>
      <c r="T720" s="164"/>
      <c r="U720" s="164"/>
      <c r="V720" s="164"/>
      <c r="W720" s="164"/>
      <c r="X720" s="164"/>
      <c r="Y720" s="164"/>
      <c r="Z720" s="164"/>
    </row>
    <row r="721">
      <c r="A721" s="164"/>
      <c r="B721" s="164"/>
      <c r="C721" s="164"/>
      <c r="D721" s="164"/>
      <c r="E721" s="164"/>
      <c r="F721" s="164"/>
      <c r="G721" s="164"/>
      <c r="H721" s="164"/>
      <c r="I721" s="164"/>
      <c r="J721" s="164"/>
      <c r="K721" s="164"/>
      <c r="L721" s="164"/>
      <c r="M721" s="164"/>
      <c r="N721" s="164"/>
      <c r="O721" s="164"/>
      <c r="P721" s="164"/>
      <c r="Q721" s="164"/>
      <c r="R721" s="164"/>
      <c r="S721" s="164"/>
      <c r="T721" s="164"/>
      <c r="U721" s="164"/>
      <c r="V721" s="164"/>
      <c r="W721" s="164"/>
      <c r="X721" s="164"/>
      <c r="Y721" s="164"/>
      <c r="Z721" s="164"/>
    </row>
    <row r="722">
      <c r="A722" s="164"/>
      <c r="B722" s="164"/>
      <c r="C722" s="164"/>
      <c r="D722" s="164"/>
      <c r="E722" s="164"/>
      <c r="F722" s="164"/>
      <c r="G722" s="164"/>
      <c r="H722" s="164"/>
      <c r="I722" s="164"/>
      <c r="J722" s="164"/>
      <c r="K722" s="164"/>
      <c r="L722" s="164"/>
      <c r="M722" s="164"/>
      <c r="N722" s="164"/>
      <c r="O722" s="164"/>
      <c r="P722" s="164"/>
      <c r="Q722" s="164"/>
      <c r="R722" s="164"/>
      <c r="S722" s="164"/>
      <c r="T722" s="164"/>
      <c r="U722" s="164"/>
      <c r="V722" s="164"/>
      <c r="W722" s="164"/>
      <c r="X722" s="164"/>
      <c r="Y722" s="164"/>
      <c r="Z722" s="164"/>
    </row>
    <row r="723">
      <c r="A723" s="164"/>
      <c r="B723" s="164"/>
      <c r="C723" s="164"/>
      <c r="D723" s="164"/>
      <c r="E723" s="164"/>
      <c r="F723" s="164"/>
      <c r="G723" s="164"/>
      <c r="H723" s="164"/>
      <c r="I723" s="164"/>
      <c r="J723" s="164"/>
      <c r="K723" s="164"/>
      <c r="L723" s="164"/>
      <c r="M723" s="164"/>
      <c r="N723" s="164"/>
      <c r="O723" s="164"/>
      <c r="P723" s="164"/>
      <c r="Q723" s="164"/>
      <c r="R723" s="164"/>
      <c r="S723" s="164"/>
      <c r="T723" s="164"/>
      <c r="U723" s="164"/>
      <c r="V723" s="164"/>
      <c r="W723" s="164"/>
      <c r="X723" s="164"/>
      <c r="Y723" s="164"/>
      <c r="Z723" s="164"/>
    </row>
    <row r="724">
      <c r="A724" s="164"/>
      <c r="B724" s="164"/>
      <c r="C724" s="164"/>
      <c r="D724" s="164"/>
      <c r="E724" s="164"/>
      <c r="F724" s="164"/>
      <c r="G724" s="164"/>
      <c r="H724" s="164"/>
      <c r="I724" s="164"/>
      <c r="J724" s="164"/>
      <c r="K724" s="164"/>
      <c r="L724" s="164"/>
      <c r="M724" s="164"/>
      <c r="N724" s="164"/>
      <c r="O724" s="164"/>
      <c r="P724" s="164"/>
      <c r="Q724" s="164"/>
      <c r="R724" s="164"/>
      <c r="S724" s="164"/>
      <c r="T724" s="164"/>
      <c r="U724" s="164"/>
      <c r="V724" s="164"/>
      <c r="W724" s="164"/>
      <c r="X724" s="164"/>
      <c r="Y724" s="164"/>
      <c r="Z724" s="164"/>
    </row>
    <row r="725">
      <c r="A725" s="164"/>
      <c r="B725" s="164"/>
      <c r="C725" s="164"/>
      <c r="D725" s="164"/>
      <c r="E725" s="164"/>
      <c r="F725" s="164"/>
      <c r="G725" s="164"/>
      <c r="H725" s="164"/>
      <c r="I725" s="164"/>
      <c r="J725" s="164"/>
      <c r="K725" s="164"/>
      <c r="L725" s="164"/>
      <c r="M725" s="164"/>
      <c r="N725" s="164"/>
      <c r="O725" s="164"/>
      <c r="P725" s="164"/>
      <c r="Q725" s="164"/>
      <c r="R725" s="164"/>
      <c r="S725" s="164"/>
      <c r="T725" s="164"/>
      <c r="U725" s="164"/>
      <c r="V725" s="164"/>
      <c r="W725" s="164"/>
      <c r="X725" s="164"/>
      <c r="Y725" s="164"/>
      <c r="Z725" s="164"/>
    </row>
    <row r="726">
      <c r="A726" s="164"/>
      <c r="B726" s="164"/>
      <c r="C726" s="164"/>
      <c r="D726" s="164"/>
      <c r="E726" s="164"/>
      <c r="F726" s="164"/>
      <c r="G726" s="164"/>
      <c r="H726" s="164"/>
      <c r="I726" s="164"/>
      <c r="J726" s="164"/>
      <c r="K726" s="164"/>
      <c r="L726" s="164"/>
      <c r="M726" s="164"/>
      <c r="N726" s="164"/>
      <c r="O726" s="164"/>
      <c r="P726" s="164"/>
      <c r="Q726" s="164"/>
      <c r="R726" s="164"/>
      <c r="S726" s="164"/>
      <c r="T726" s="164"/>
      <c r="U726" s="164"/>
      <c r="V726" s="164"/>
      <c r="W726" s="164"/>
      <c r="X726" s="164"/>
      <c r="Y726" s="164"/>
      <c r="Z726" s="164"/>
    </row>
    <row r="727">
      <c r="A727" s="164"/>
      <c r="B727" s="164"/>
      <c r="C727" s="164"/>
      <c r="D727" s="164"/>
      <c r="E727" s="164"/>
      <c r="F727" s="164"/>
      <c r="G727" s="164"/>
      <c r="H727" s="164"/>
      <c r="I727" s="164"/>
      <c r="J727" s="164"/>
      <c r="K727" s="164"/>
      <c r="L727" s="164"/>
      <c r="M727" s="164"/>
      <c r="N727" s="164"/>
      <c r="O727" s="164"/>
      <c r="P727" s="164"/>
      <c r="Q727" s="164"/>
      <c r="R727" s="164"/>
      <c r="S727" s="164"/>
      <c r="T727" s="164"/>
      <c r="U727" s="164"/>
      <c r="V727" s="164"/>
      <c r="W727" s="164"/>
      <c r="X727" s="164"/>
      <c r="Y727" s="164"/>
      <c r="Z727" s="164"/>
    </row>
    <row r="728">
      <c r="A728" s="164"/>
      <c r="B728" s="164"/>
      <c r="C728" s="164"/>
      <c r="D728" s="164"/>
      <c r="E728" s="164"/>
      <c r="F728" s="164"/>
      <c r="G728" s="164"/>
      <c r="H728" s="164"/>
      <c r="I728" s="164"/>
      <c r="J728" s="164"/>
      <c r="K728" s="164"/>
      <c r="L728" s="164"/>
      <c r="M728" s="164"/>
      <c r="N728" s="164"/>
      <c r="O728" s="164"/>
      <c r="P728" s="164"/>
      <c r="Q728" s="164"/>
      <c r="R728" s="164"/>
      <c r="S728" s="164"/>
      <c r="T728" s="164"/>
      <c r="U728" s="164"/>
      <c r="V728" s="164"/>
      <c r="W728" s="164"/>
      <c r="X728" s="164"/>
      <c r="Y728" s="164"/>
      <c r="Z728" s="164"/>
    </row>
    <row r="729">
      <c r="A729" s="164"/>
      <c r="B729" s="164"/>
      <c r="C729" s="164"/>
      <c r="D729" s="164"/>
      <c r="E729" s="164"/>
      <c r="F729" s="164"/>
      <c r="G729" s="164"/>
      <c r="H729" s="164"/>
      <c r="I729" s="164"/>
      <c r="J729" s="164"/>
      <c r="K729" s="164"/>
      <c r="L729" s="164"/>
      <c r="M729" s="164"/>
      <c r="N729" s="164"/>
      <c r="O729" s="164"/>
      <c r="P729" s="164"/>
      <c r="Q729" s="164"/>
      <c r="R729" s="164"/>
      <c r="S729" s="164"/>
      <c r="T729" s="164"/>
      <c r="U729" s="164"/>
      <c r="V729" s="164"/>
      <c r="W729" s="164"/>
      <c r="X729" s="164"/>
      <c r="Y729" s="164"/>
      <c r="Z729" s="164"/>
    </row>
    <row r="730">
      <c r="A730" s="164"/>
      <c r="B730" s="164"/>
      <c r="C730" s="164"/>
      <c r="D730" s="164"/>
      <c r="E730" s="164"/>
      <c r="F730" s="164"/>
      <c r="G730" s="164"/>
      <c r="H730" s="164"/>
      <c r="I730" s="164"/>
      <c r="J730" s="164"/>
      <c r="K730" s="164"/>
      <c r="L730" s="164"/>
      <c r="M730" s="164"/>
      <c r="N730" s="164"/>
      <c r="O730" s="164"/>
      <c r="P730" s="164"/>
      <c r="Q730" s="164"/>
      <c r="R730" s="164"/>
      <c r="S730" s="164"/>
      <c r="T730" s="164"/>
      <c r="U730" s="164"/>
      <c r="V730" s="164"/>
      <c r="W730" s="164"/>
      <c r="X730" s="164"/>
      <c r="Y730" s="164"/>
      <c r="Z730" s="164"/>
    </row>
    <row r="731">
      <c r="A731" s="164"/>
      <c r="B731" s="164"/>
      <c r="C731" s="164"/>
      <c r="D731" s="164"/>
      <c r="E731" s="164"/>
      <c r="F731" s="164"/>
      <c r="G731" s="164"/>
      <c r="H731" s="164"/>
      <c r="I731" s="164"/>
      <c r="J731" s="164"/>
      <c r="K731" s="164"/>
      <c r="L731" s="164"/>
      <c r="M731" s="164"/>
      <c r="N731" s="164"/>
      <c r="O731" s="164"/>
      <c r="P731" s="164"/>
      <c r="Q731" s="164"/>
      <c r="R731" s="164"/>
      <c r="S731" s="164"/>
      <c r="T731" s="164"/>
      <c r="U731" s="164"/>
      <c r="V731" s="164"/>
      <c r="W731" s="164"/>
      <c r="X731" s="164"/>
      <c r="Y731" s="164"/>
      <c r="Z731" s="164"/>
    </row>
    <row r="732">
      <c r="A732" s="164"/>
      <c r="B732" s="164"/>
      <c r="C732" s="164"/>
      <c r="D732" s="164"/>
      <c r="E732" s="164"/>
      <c r="F732" s="164"/>
      <c r="G732" s="164"/>
      <c r="H732" s="164"/>
      <c r="I732" s="164"/>
      <c r="J732" s="164"/>
      <c r="K732" s="164"/>
      <c r="L732" s="164"/>
      <c r="M732" s="164"/>
      <c r="N732" s="164"/>
      <c r="O732" s="164"/>
      <c r="P732" s="164"/>
      <c r="Q732" s="164"/>
      <c r="R732" s="164"/>
      <c r="S732" s="164"/>
      <c r="T732" s="164"/>
      <c r="U732" s="164"/>
      <c r="V732" s="164"/>
      <c r="W732" s="164"/>
      <c r="X732" s="164"/>
      <c r="Y732" s="164"/>
      <c r="Z732" s="164"/>
    </row>
    <row r="733">
      <c r="A733" s="164"/>
      <c r="B733" s="164"/>
      <c r="C733" s="164"/>
      <c r="D733" s="164"/>
      <c r="E733" s="164"/>
      <c r="F733" s="164"/>
      <c r="G733" s="164"/>
      <c r="H733" s="164"/>
      <c r="I733" s="164"/>
      <c r="J733" s="164"/>
      <c r="K733" s="164"/>
      <c r="L733" s="164"/>
      <c r="M733" s="164"/>
      <c r="N733" s="164"/>
      <c r="O733" s="164"/>
      <c r="P733" s="164"/>
      <c r="Q733" s="164"/>
      <c r="R733" s="164"/>
      <c r="S733" s="164"/>
      <c r="T733" s="164"/>
      <c r="U733" s="164"/>
      <c r="V733" s="164"/>
      <c r="W733" s="164"/>
      <c r="X733" s="164"/>
      <c r="Y733" s="164"/>
      <c r="Z733" s="164"/>
    </row>
    <row r="734">
      <c r="A734" s="164"/>
      <c r="B734" s="164"/>
      <c r="C734" s="164"/>
      <c r="D734" s="164"/>
      <c r="E734" s="164"/>
      <c r="F734" s="164"/>
      <c r="G734" s="164"/>
      <c r="H734" s="164"/>
      <c r="I734" s="164"/>
      <c r="J734" s="164"/>
      <c r="K734" s="164"/>
      <c r="L734" s="164"/>
      <c r="M734" s="164"/>
      <c r="N734" s="164"/>
      <c r="O734" s="164"/>
      <c r="P734" s="164"/>
      <c r="Q734" s="164"/>
      <c r="R734" s="164"/>
      <c r="S734" s="164"/>
      <c r="T734" s="164"/>
      <c r="U734" s="164"/>
      <c r="V734" s="164"/>
      <c r="W734" s="164"/>
      <c r="X734" s="164"/>
      <c r="Y734" s="164"/>
      <c r="Z734" s="164"/>
    </row>
    <row r="735">
      <c r="A735" s="164"/>
      <c r="B735" s="164"/>
      <c r="C735" s="164"/>
      <c r="D735" s="164"/>
      <c r="E735" s="164"/>
      <c r="F735" s="164"/>
      <c r="G735" s="164"/>
      <c r="H735" s="164"/>
      <c r="I735" s="164"/>
      <c r="J735" s="164"/>
      <c r="K735" s="164"/>
      <c r="L735" s="164"/>
      <c r="M735" s="164"/>
      <c r="N735" s="164"/>
      <c r="O735" s="164"/>
      <c r="P735" s="164"/>
      <c r="Q735" s="164"/>
      <c r="R735" s="164"/>
      <c r="S735" s="164"/>
      <c r="T735" s="164"/>
      <c r="U735" s="164"/>
      <c r="V735" s="164"/>
      <c r="W735" s="164"/>
      <c r="X735" s="164"/>
      <c r="Y735" s="164"/>
      <c r="Z735" s="164"/>
    </row>
    <row r="736">
      <c r="A736" s="164"/>
      <c r="B736" s="164"/>
      <c r="C736" s="164"/>
      <c r="D736" s="164"/>
      <c r="E736" s="164"/>
      <c r="F736" s="164"/>
      <c r="G736" s="164"/>
      <c r="H736" s="164"/>
      <c r="I736" s="164"/>
      <c r="J736" s="164"/>
      <c r="K736" s="164"/>
      <c r="L736" s="164"/>
      <c r="M736" s="164"/>
      <c r="N736" s="164"/>
      <c r="O736" s="164"/>
      <c r="P736" s="164"/>
      <c r="Q736" s="164"/>
      <c r="R736" s="164"/>
      <c r="S736" s="164"/>
      <c r="T736" s="164"/>
      <c r="U736" s="164"/>
      <c r="V736" s="164"/>
      <c r="W736" s="164"/>
      <c r="X736" s="164"/>
      <c r="Y736" s="164"/>
      <c r="Z736" s="164"/>
    </row>
    <row r="737">
      <c r="A737" s="164"/>
      <c r="B737" s="164"/>
      <c r="C737" s="164"/>
      <c r="D737" s="164"/>
      <c r="E737" s="164"/>
      <c r="F737" s="164"/>
      <c r="G737" s="164"/>
      <c r="H737" s="164"/>
      <c r="I737" s="164"/>
      <c r="J737" s="164"/>
      <c r="K737" s="164"/>
      <c r="L737" s="164"/>
      <c r="M737" s="164"/>
      <c r="N737" s="164"/>
      <c r="O737" s="164"/>
      <c r="P737" s="164"/>
      <c r="Q737" s="164"/>
      <c r="R737" s="164"/>
      <c r="S737" s="164"/>
      <c r="T737" s="164"/>
      <c r="U737" s="164"/>
      <c r="V737" s="164"/>
      <c r="W737" s="164"/>
      <c r="X737" s="164"/>
      <c r="Y737" s="164"/>
      <c r="Z737" s="164"/>
    </row>
    <row r="738">
      <c r="A738" s="164"/>
      <c r="B738" s="164"/>
      <c r="C738" s="164"/>
      <c r="D738" s="164"/>
      <c r="E738" s="164"/>
      <c r="F738" s="164"/>
      <c r="G738" s="164"/>
      <c r="H738" s="164"/>
      <c r="I738" s="164"/>
      <c r="J738" s="164"/>
      <c r="K738" s="164"/>
      <c r="L738" s="164"/>
      <c r="M738" s="164"/>
      <c r="N738" s="164"/>
      <c r="O738" s="164"/>
      <c r="P738" s="164"/>
      <c r="Q738" s="164"/>
      <c r="R738" s="164"/>
      <c r="S738" s="164"/>
      <c r="T738" s="164"/>
      <c r="U738" s="164"/>
      <c r="V738" s="164"/>
      <c r="W738" s="164"/>
      <c r="X738" s="164"/>
      <c r="Y738" s="164"/>
      <c r="Z738" s="164"/>
    </row>
    <row r="739">
      <c r="A739" s="164"/>
      <c r="B739" s="164"/>
      <c r="C739" s="164"/>
      <c r="D739" s="164"/>
      <c r="E739" s="164"/>
      <c r="F739" s="164"/>
      <c r="G739" s="164"/>
      <c r="H739" s="164"/>
      <c r="I739" s="164"/>
      <c r="J739" s="164"/>
      <c r="K739" s="164"/>
      <c r="L739" s="164"/>
      <c r="M739" s="164"/>
      <c r="N739" s="164"/>
      <c r="O739" s="164"/>
      <c r="P739" s="164"/>
      <c r="Q739" s="164"/>
      <c r="R739" s="164"/>
      <c r="S739" s="164"/>
      <c r="T739" s="164"/>
      <c r="U739" s="164"/>
      <c r="V739" s="164"/>
      <c r="W739" s="164"/>
      <c r="X739" s="164"/>
      <c r="Y739" s="164"/>
      <c r="Z739" s="164"/>
    </row>
    <row r="740">
      <c r="A740" s="164"/>
      <c r="B740" s="164"/>
      <c r="C740" s="164"/>
      <c r="D740" s="164"/>
      <c r="E740" s="164"/>
      <c r="F740" s="164"/>
      <c r="G740" s="164"/>
      <c r="H740" s="164"/>
      <c r="I740" s="164"/>
      <c r="J740" s="164"/>
      <c r="K740" s="164"/>
      <c r="L740" s="164"/>
      <c r="M740" s="164"/>
      <c r="N740" s="164"/>
      <c r="O740" s="164"/>
      <c r="P740" s="164"/>
      <c r="Q740" s="164"/>
      <c r="R740" s="164"/>
      <c r="S740" s="164"/>
      <c r="T740" s="164"/>
      <c r="U740" s="164"/>
      <c r="V740" s="164"/>
      <c r="W740" s="164"/>
      <c r="X740" s="164"/>
      <c r="Y740" s="164"/>
      <c r="Z740" s="164"/>
    </row>
    <row r="741">
      <c r="A741" s="164"/>
      <c r="B741" s="164"/>
      <c r="C741" s="164"/>
      <c r="D741" s="164"/>
      <c r="E741" s="164"/>
      <c r="F741" s="164"/>
      <c r="G741" s="164"/>
      <c r="H741" s="164"/>
      <c r="I741" s="164"/>
      <c r="J741" s="164"/>
      <c r="K741" s="164"/>
      <c r="L741" s="164"/>
      <c r="M741" s="164"/>
      <c r="N741" s="164"/>
      <c r="O741" s="164"/>
      <c r="P741" s="164"/>
      <c r="Q741" s="164"/>
      <c r="R741" s="164"/>
      <c r="S741" s="164"/>
      <c r="T741" s="164"/>
      <c r="U741" s="164"/>
      <c r="V741" s="164"/>
      <c r="W741" s="164"/>
      <c r="X741" s="164"/>
      <c r="Y741" s="164"/>
      <c r="Z741" s="164"/>
    </row>
    <row r="742">
      <c r="A742" s="164"/>
      <c r="B742" s="164"/>
      <c r="C742" s="164"/>
      <c r="D742" s="164"/>
      <c r="E742" s="164"/>
      <c r="F742" s="164"/>
      <c r="G742" s="164"/>
      <c r="H742" s="164"/>
      <c r="I742" s="164"/>
      <c r="J742" s="164"/>
      <c r="K742" s="164"/>
      <c r="L742" s="164"/>
      <c r="M742" s="164"/>
      <c r="N742" s="164"/>
      <c r="O742" s="164"/>
      <c r="P742" s="164"/>
      <c r="Q742" s="164"/>
      <c r="R742" s="164"/>
      <c r="S742" s="164"/>
      <c r="T742" s="164"/>
      <c r="U742" s="164"/>
      <c r="V742" s="164"/>
      <c r="W742" s="164"/>
      <c r="X742" s="164"/>
      <c r="Y742" s="164"/>
      <c r="Z742" s="164"/>
    </row>
    <row r="743">
      <c r="A743" s="164"/>
      <c r="B743" s="164"/>
      <c r="C743" s="164"/>
      <c r="D743" s="164"/>
      <c r="E743" s="164"/>
      <c r="F743" s="164"/>
      <c r="G743" s="164"/>
      <c r="H743" s="164"/>
      <c r="I743" s="164"/>
      <c r="J743" s="164"/>
      <c r="K743" s="164"/>
      <c r="L743" s="164"/>
      <c r="M743" s="164"/>
      <c r="N743" s="164"/>
      <c r="O743" s="164"/>
      <c r="P743" s="164"/>
      <c r="Q743" s="164"/>
      <c r="R743" s="164"/>
      <c r="S743" s="164"/>
      <c r="T743" s="164"/>
      <c r="U743" s="164"/>
      <c r="V743" s="164"/>
      <c r="W743" s="164"/>
      <c r="X743" s="164"/>
      <c r="Y743" s="164"/>
      <c r="Z743" s="164"/>
    </row>
    <row r="744">
      <c r="A744" s="164"/>
      <c r="B744" s="164"/>
      <c r="C744" s="164"/>
      <c r="D744" s="164"/>
      <c r="E744" s="164"/>
      <c r="F744" s="164"/>
      <c r="G744" s="164"/>
      <c r="H744" s="164"/>
      <c r="I744" s="164"/>
      <c r="J744" s="164"/>
      <c r="K744" s="164"/>
      <c r="L744" s="164"/>
      <c r="M744" s="164"/>
      <c r="N744" s="164"/>
      <c r="O744" s="164"/>
      <c r="P744" s="164"/>
      <c r="Q744" s="164"/>
      <c r="R744" s="164"/>
      <c r="S744" s="164"/>
      <c r="T744" s="164"/>
      <c r="U744" s="164"/>
      <c r="V744" s="164"/>
      <c r="W744" s="164"/>
      <c r="X744" s="164"/>
      <c r="Y744" s="164"/>
      <c r="Z744" s="164"/>
    </row>
    <row r="745">
      <c r="A745" s="164"/>
      <c r="B745" s="164"/>
      <c r="C745" s="164"/>
      <c r="D745" s="164"/>
      <c r="E745" s="164"/>
      <c r="F745" s="164"/>
      <c r="G745" s="164"/>
      <c r="H745" s="164"/>
      <c r="I745" s="164"/>
      <c r="J745" s="164"/>
      <c r="K745" s="164"/>
      <c r="L745" s="164"/>
      <c r="M745" s="164"/>
      <c r="N745" s="164"/>
      <c r="O745" s="164"/>
      <c r="P745" s="164"/>
      <c r="Q745" s="164"/>
      <c r="R745" s="164"/>
      <c r="S745" s="164"/>
      <c r="T745" s="164"/>
      <c r="U745" s="164"/>
      <c r="V745" s="164"/>
      <c r="W745" s="164"/>
      <c r="X745" s="164"/>
      <c r="Y745" s="164"/>
      <c r="Z745" s="164"/>
    </row>
    <row r="746">
      <c r="A746" s="164"/>
      <c r="B746" s="164"/>
      <c r="C746" s="164"/>
      <c r="D746" s="164"/>
      <c r="E746" s="164"/>
      <c r="F746" s="164"/>
      <c r="G746" s="164"/>
      <c r="H746" s="164"/>
      <c r="I746" s="164"/>
      <c r="J746" s="164"/>
      <c r="K746" s="164"/>
      <c r="L746" s="164"/>
      <c r="M746" s="164"/>
      <c r="N746" s="164"/>
      <c r="O746" s="164"/>
      <c r="P746" s="164"/>
      <c r="Q746" s="164"/>
      <c r="R746" s="164"/>
      <c r="S746" s="164"/>
      <c r="T746" s="164"/>
      <c r="U746" s="164"/>
      <c r="V746" s="164"/>
      <c r="W746" s="164"/>
      <c r="X746" s="164"/>
      <c r="Y746" s="164"/>
      <c r="Z746" s="164"/>
    </row>
    <row r="747">
      <c r="A747" s="164"/>
      <c r="B747" s="164"/>
      <c r="C747" s="164"/>
      <c r="D747" s="164"/>
      <c r="E747" s="164"/>
      <c r="F747" s="164"/>
      <c r="G747" s="164"/>
      <c r="H747" s="164"/>
      <c r="I747" s="164"/>
      <c r="J747" s="164"/>
      <c r="K747" s="164"/>
      <c r="L747" s="164"/>
      <c r="M747" s="164"/>
      <c r="N747" s="164"/>
      <c r="O747" s="164"/>
      <c r="P747" s="164"/>
      <c r="Q747" s="164"/>
      <c r="R747" s="164"/>
      <c r="S747" s="164"/>
      <c r="T747" s="164"/>
      <c r="U747" s="164"/>
      <c r="V747" s="164"/>
      <c r="W747" s="164"/>
      <c r="X747" s="164"/>
      <c r="Y747" s="164"/>
      <c r="Z747" s="164"/>
    </row>
    <row r="748">
      <c r="A748" s="164"/>
      <c r="B748" s="164"/>
      <c r="C748" s="164"/>
      <c r="D748" s="164"/>
      <c r="E748" s="164"/>
      <c r="F748" s="164"/>
      <c r="G748" s="164"/>
      <c r="H748" s="164"/>
      <c r="I748" s="164"/>
      <c r="J748" s="164"/>
      <c r="K748" s="164"/>
      <c r="L748" s="164"/>
      <c r="M748" s="164"/>
      <c r="N748" s="164"/>
      <c r="O748" s="164"/>
      <c r="P748" s="164"/>
      <c r="Q748" s="164"/>
      <c r="R748" s="164"/>
      <c r="S748" s="164"/>
      <c r="T748" s="164"/>
      <c r="U748" s="164"/>
      <c r="V748" s="164"/>
      <c r="W748" s="164"/>
      <c r="X748" s="164"/>
      <c r="Y748" s="164"/>
      <c r="Z748" s="164"/>
    </row>
    <row r="749">
      <c r="A749" s="164"/>
      <c r="B749" s="164"/>
      <c r="C749" s="164"/>
      <c r="D749" s="164"/>
      <c r="E749" s="164"/>
      <c r="F749" s="164"/>
      <c r="G749" s="164"/>
      <c r="H749" s="164"/>
      <c r="I749" s="164"/>
      <c r="J749" s="164"/>
      <c r="K749" s="164"/>
      <c r="L749" s="164"/>
      <c r="M749" s="164"/>
      <c r="N749" s="164"/>
      <c r="O749" s="164"/>
      <c r="P749" s="164"/>
      <c r="Q749" s="164"/>
      <c r="R749" s="164"/>
      <c r="S749" s="164"/>
      <c r="T749" s="164"/>
      <c r="U749" s="164"/>
      <c r="V749" s="164"/>
      <c r="W749" s="164"/>
      <c r="X749" s="164"/>
      <c r="Y749" s="164"/>
      <c r="Z749" s="164"/>
    </row>
    <row r="750">
      <c r="A750" s="164"/>
      <c r="B750" s="164"/>
      <c r="C750" s="164"/>
      <c r="D750" s="164"/>
      <c r="E750" s="164"/>
      <c r="F750" s="164"/>
      <c r="G750" s="164"/>
      <c r="H750" s="164"/>
      <c r="I750" s="164"/>
      <c r="J750" s="164"/>
      <c r="K750" s="164"/>
      <c r="L750" s="164"/>
      <c r="M750" s="164"/>
      <c r="N750" s="164"/>
      <c r="O750" s="164"/>
      <c r="P750" s="164"/>
      <c r="Q750" s="164"/>
      <c r="R750" s="164"/>
      <c r="S750" s="164"/>
      <c r="T750" s="164"/>
      <c r="U750" s="164"/>
      <c r="V750" s="164"/>
      <c r="W750" s="164"/>
      <c r="X750" s="164"/>
      <c r="Y750" s="164"/>
      <c r="Z750" s="164"/>
    </row>
    <row r="751">
      <c r="A751" s="164"/>
      <c r="B751" s="164"/>
      <c r="C751" s="164"/>
      <c r="D751" s="164"/>
      <c r="E751" s="164"/>
      <c r="F751" s="164"/>
      <c r="G751" s="164"/>
      <c r="H751" s="164"/>
      <c r="I751" s="164"/>
      <c r="J751" s="164"/>
      <c r="K751" s="164"/>
      <c r="L751" s="164"/>
      <c r="M751" s="164"/>
      <c r="N751" s="164"/>
      <c r="O751" s="164"/>
      <c r="P751" s="164"/>
      <c r="Q751" s="164"/>
      <c r="R751" s="164"/>
      <c r="S751" s="164"/>
      <c r="T751" s="164"/>
      <c r="U751" s="164"/>
      <c r="V751" s="164"/>
      <c r="W751" s="164"/>
      <c r="X751" s="164"/>
      <c r="Y751" s="164"/>
      <c r="Z751" s="164"/>
    </row>
    <row r="752">
      <c r="A752" s="164"/>
      <c r="B752" s="164"/>
      <c r="C752" s="164"/>
      <c r="D752" s="164"/>
      <c r="E752" s="164"/>
      <c r="F752" s="164"/>
      <c r="G752" s="164"/>
      <c r="H752" s="164"/>
      <c r="I752" s="164"/>
      <c r="J752" s="164"/>
      <c r="K752" s="164"/>
      <c r="L752" s="164"/>
      <c r="M752" s="164"/>
      <c r="N752" s="164"/>
      <c r="O752" s="164"/>
      <c r="P752" s="164"/>
      <c r="Q752" s="164"/>
      <c r="R752" s="164"/>
      <c r="S752" s="164"/>
      <c r="T752" s="164"/>
      <c r="U752" s="164"/>
      <c r="V752" s="164"/>
      <c r="W752" s="164"/>
      <c r="X752" s="164"/>
      <c r="Y752" s="164"/>
      <c r="Z752" s="164"/>
    </row>
    <row r="753">
      <c r="A753" s="164"/>
      <c r="B753" s="164"/>
      <c r="C753" s="164"/>
      <c r="D753" s="164"/>
      <c r="E753" s="164"/>
      <c r="F753" s="164"/>
      <c r="G753" s="164"/>
      <c r="H753" s="164"/>
      <c r="I753" s="164"/>
      <c r="J753" s="164"/>
      <c r="K753" s="164"/>
      <c r="L753" s="164"/>
      <c r="M753" s="164"/>
      <c r="N753" s="164"/>
      <c r="O753" s="164"/>
      <c r="P753" s="164"/>
      <c r="Q753" s="164"/>
      <c r="R753" s="164"/>
      <c r="S753" s="164"/>
      <c r="T753" s="164"/>
      <c r="U753" s="164"/>
      <c r="V753" s="164"/>
      <c r="W753" s="164"/>
      <c r="X753" s="164"/>
      <c r="Y753" s="164"/>
      <c r="Z753" s="164"/>
    </row>
    <row r="754">
      <c r="A754" s="164"/>
      <c r="B754" s="164"/>
      <c r="C754" s="164"/>
      <c r="D754" s="164"/>
      <c r="E754" s="164"/>
      <c r="F754" s="164"/>
      <c r="G754" s="164"/>
      <c r="H754" s="164"/>
      <c r="I754" s="164"/>
      <c r="J754" s="164"/>
      <c r="K754" s="164"/>
      <c r="L754" s="164"/>
      <c r="M754" s="164"/>
      <c r="N754" s="164"/>
      <c r="O754" s="164"/>
      <c r="P754" s="164"/>
      <c r="Q754" s="164"/>
      <c r="R754" s="164"/>
      <c r="S754" s="164"/>
      <c r="T754" s="164"/>
      <c r="U754" s="164"/>
      <c r="V754" s="164"/>
      <c r="W754" s="164"/>
      <c r="X754" s="164"/>
      <c r="Y754" s="164"/>
      <c r="Z754" s="164"/>
    </row>
    <row r="755">
      <c r="A755" s="164"/>
      <c r="B755" s="164"/>
      <c r="C755" s="164"/>
      <c r="D755" s="164"/>
      <c r="E755" s="164"/>
      <c r="F755" s="164"/>
      <c r="G755" s="164"/>
      <c r="H755" s="164"/>
      <c r="I755" s="164"/>
      <c r="J755" s="164"/>
      <c r="K755" s="164"/>
      <c r="L755" s="164"/>
      <c r="M755" s="164"/>
      <c r="N755" s="164"/>
      <c r="O755" s="164"/>
      <c r="P755" s="164"/>
      <c r="Q755" s="164"/>
      <c r="R755" s="164"/>
      <c r="S755" s="164"/>
      <c r="T755" s="164"/>
      <c r="U755" s="164"/>
      <c r="V755" s="164"/>
      <c r="W755" s="164"/>
      <c r="X755" s="164"/>
      <c r="Y755" s="164"/>
      <c r="Z755" s="164"/>
    </row>
    <row r="756">
      <c r="A756" s="164"/>
      <c r="B756" s="164"/>
      <c r="C756" s="164"/>
      <c r="D756" s="164"/>
      <c r="E756" s="164"/>
      <c r="F756" s="164"/>
      <c r="G756" s="164"/>
      <c r="H756" s="164"/>
      <c r="I756" s="164"/>
      <c r="J756" s="164"/>
      <c r="K756" s="164"/>
      <c r="L756" s="164"/>
      <c r="M756" s="164"/>
      <c r="N756" s="164"/>
      <c r="O756" s="164"/>
      <c r="P756" s="164"/>
      <c r="Q756" s="164"/>
      <c r="R756" s="164"/>
      <c r="S756" s="164"/>
      <c r="T756" s="164"/>
      <c r="U756" s="164"/>
      <c r="V756" s="164"/>
      <c r="W756" s="164"/>
      <c r="X756" s="164"/>
      <c r="Y756" s="164"/>
      <c r="Z756" s="164"/>
    </row>
    <row r="757">
      <c r="A757" s="164"/>
      <c r="B757" s="164"/>
      <c r="C757" s="164"/>
      <c r="D757" s="164"/>
      <c r="E757" s="164"/>
      <c r="F757" s="164"/>
      <c r="G757" s="164"/>
      <c r="H757" s="164"/>
      <c r="I757" s="164"/>
      <c r="J757" s="164"/>
      <c r="K757" s="164"/>
      <c r="L757" s="164"/>
      <c r="M757" s="164"/>
      <c r="N757" s="164"/>
      <c r="O757" s="164"/>
      <c r="P757" s="164"/>
      <c r="Q757" s="164"/>
      <c r="R757" s="164"/>
      <c r="S757" s="164"/>
      <c r="T757" s="164"/>
      <c r="U757" s="164"/>
      <c r="V757" s="164"/>
      <c r="W757" s="164"/>
      <c r="X757" s="164"/>
      <c r="Y757" s="164"/>
      <c r="Z757" s="164"/>
    </row>
    <row r="758">
      <c r="A758" s="164"/>
      <c r="B758" s="164"/>
      <c r="C758" s="164"/>
      <c r="D758" s="164"/>
      <c r="E758" s="164"/>
      <c r="F758" s="164"/>
      <c r="G758" s="164"/>
      <c r="H758" s="164"/>
      <c r="I758" s="164"/>
      <c r="J758" s="164"/>
      <c r="K758" s="164"/>
      <c r="L758" s="164"/>
      <c r="M758" s="164"/>
      <c r="N758" s="164"/>
      <c r="O758" s="164"/>
      <c r="P758" s="164"/>
      <c r="Q758" s="164"/>
      <c r="R758" s="164"/>
      <c r="S758" s="164"/>
      <c r="T758" s="164"/>
      <c r="U758" s="164"/>
      <c r="V758" s="164"/>
      <c r="W758" s="164"/>
      <c r="X758" s="164"/>
      <c r="Y758" s="164"/>
      <c r="Z758" s="164"/>
    </row>
    <row r="759">
      <c r="A759" s="164"/>
      <c r="B759" s="164"/>
      <c r="C759" s="164"/>
      <c r="D759" s="164"/>
      <c r="E759" s="164"/>
      <c r="F759" s="164"/>
      <c r="G759" s="164"/>
      <c r="H759" s="164"/>
      <c r="I759" s="164"/>
      <c r="J759" s="164"/>
      <c r="K759" s="164"/>
      <c r="L759" s="164"/>
      <c r="M759" s="164"/>
      <c r="N759" s="164"/>
      <c r="O759" s="164"/>
      <c r="P759" s="164"/>
      <c r="Q759" s="164"/>
      <c r="R759" s="164"/>
      <c r="S759" s="164"/>
      <c r="T759" s="164"/>
      <c r="U759" s="164"/>
      <c r="V759" s="164"/>
      <c r="W759" s="164"/>
      <c r="X759" s="164"/>
      <c r="Y759" s="164"/>
      <c r="Z759" s="164"/>
    </row>
    <row r="760">
      <c r="A760" s="164"/>
      <c r="B760" s="164"/>
      <c r="C760" s="164"/>
      <c r="D760" s="164"/>
      <c r="E760" s="164"/>
      <c r="F760" s="164"/>
      <c r="G760" s="164"/>
      <c r="H760" s="164"/>
      <c r="I760" s="164"/>
      <c r="J760" s="164"/>
      <c r="K760" s="164"/>
      <c r="L760" s="164"/>
      <c r="M760" s="164"/>
      <c r="N760" s="164"/>
      <c r="O760" s="164"/>
      <c r="P760" s="164"/>
      <c r="Q760" s="164"/>
      <c r="R760" s="164"/>
      <c r="S760" s="164"/>
      <c r="T760" s="164"/>
      <c r="U760" s="164"/>
      <c r="V760" s="164"/>
      <c r="W760" s="164"/>
      <c r="X760" s="164"/>
      <c r="Y760" s="164"/>
      <c r="Z760" s="164"/>
    </row>
    <row r="761">
      <c r="A761" s="164"/>
      <c r="B761" s="164"/>
      <c r="C761" s="164"/>
      <c r="D761" s="164"/>
      <c r="E761" s="164"/>
      <c r="F761" s="164"/>
      <c r="G761" s="164"/>
      <c r="H761" s="164"/>
      <c r="I761" s="164"/>
      <c r="J761" s="164"/>
      <c r="K761" s="164"/>
      <c r="L761" s="164"/>
      <c r="M761" s="164"/>
      <c r="N761" s="164"/>
      <c r="O761" s="164"/>
      <c r="P761" s="164"/>
      <c r="Q761" s="164"/>
      <c r="R761" s="164"/>
      <c r="S761" s="164"/>
      <c r="T761" s="164"/>
      <c r="U761" s="164"/>
      <c r="V761" s="164"/>
      <c r="W761" s="164"/>
      <c r="X761" s="164"/>
      <c r="Y761" s="164"/>
      <c r="Z761" s="164"/>
    </row>
    <row r="762">
      <c r="A762" s="164"/>
      <c r="B762" s="164"/>
      <c r="C762" s="164"/>
      <c r="D762" s="164"/>
      <c r="E762" s="164"/>
      <c r="F762" s="164"/>
      <c r="G762" s="164"/>
      <c r="H762" s="164"/>
      <c r="I762" s="164"/>
      <c r="J762" s="164"/>
      <c r="K762" s="164"/>
      <c r="L762" s="164"/>
      <c r="M762" s="164"/>
      <c r="N762" s="164"/>
      <c r="O762" s="164"/>
      <c r="P762" s="164"/>
      <c r="Q762" s="164"/>
      <c r="R762" s="164"/>
      <c r="S762" s="164"/>
      <c r="T762" s="164"/>
      <c r="U762" s="164"/>
      <c r="V762" s="164"/>
      <c r="W762" s="164"/>
      <c r="X762" s="164"/>
      <c r="Y762" s="164"/>
      <c r="Z762" s="164"/>
    </row>
    <row r="763">
      <c r="A763" s="164"/>
      <c r="B763" s="164"/>
      <c r="C763" s="164"/>
      <c r="D763" s="164"/>
      <c r="E763" s="164"/>
      <c r="F763" s="164"/>
      <c r="G763" s="164"/>
      <c r="H763" s="164"/>
      <c r="I763" s="164"/>
      <c r="J763" s="164"/>
      <c r="K763" s="164"/>
      <c r="L763" s="164"/>
      <c r="M763" s="164"/>
      <c r="N763" s="164"/>
      <c r="O763" s="164"/>
      <c r="P763" s="164"/>
      <c r="Q763" s="164"/>
      <c r="R763" s="164"/>
      <c r="S763" s="164"/>
      <c r="T763" s="164"/>
      <c r="U763" s="164"/>
      <c r="V763" s="164"/>
      <c r="W763" s="164"/>
      <c r="X763" s="164"/>
      <c r="Y763" s="164"/>
      <c r="Z763" s="164"/>
    </row>
    <row r="764">
      <c r="A764" s="164"/>
      <c r="B764" s="164"/>
      <c r="C764" s="164"/>
      <c r="D764" s="164"/>
      <c r="E764" s="164"/>
      <c r="F764" s="164"/>
      <c r="G764" s="164"/>
      <c r="H764" s="164"/>
      <c r="I764" s="164"/>
      <c r="J764" s="164"/>
      <c r="K764" s="164"/>
      <c r="L764" s="164"/>
      <c r="M764" s="164"/>
      <c r="N764" s="164"/>
      <c r="O764" s="164"/>
      <c r="P764" s="164"/>
      <c r="Q764" s="164"/>
      <c r="R764" s="164"/>
      <c r="S764" s="164"/>
      <c r="T764" s="164"/>
      <c r="U764" s="164"/>
      <c r="V764" s="164"/>
      <c r="W764" s="164"/>
      <c r="X764" s="164"/>
      <c r="Y764" s="164"/>
      <c r="Z764" s="164"/>
    </row>
    <row r="765">
      <c r="A765" s="164"/>
      <c r="B765" s="164"/>
      <c r="C765" s="164"/>
      <c r="D765" s="164"/>
      <c r="E765" s="164"/>
      <c r="F765" s="164"/>
      <c r="G765" s="164"/>
      <c r="H765" s="164"/>
      <c r="I765" s="164"/>
      <c r="J765" s="164"/>
      <c r="K765" s="164"/>
      <c r="L765" s="164"/>
      <c r="M765" s="164"/>
      <c r="N765" s="164"/>
      <c r="O765" s="164"/>
      <c r="P765" s="164"/>
      <c r="Q765" s="164"/>
      <c r="R765" s="164"/>
      <c r="S765" s="164"/>
      <c r="T765" s="164"/>
      <c r="U765" s="164"/>
      <c r="V765" s="164"/>
      <c r="W765" s="164"/>
      <c r="X765" s="164"/>
      <c r="Y765" s="164"/>
      <c r="Z765" s="164"/>
    </row>
    <row r="766">
      <c r="A766" s="164"/>
      <c r="B766" s="164"/>
      <c r="C766" s="164"/>
      <c r="D766" s="164"/>
      <c r="E766" s="164"/>
      <c r="F766" s="164"/>
      <c r="G766" s="164"/>
      <c r="H766" s="164"/>
      <c r="I766" s="164"/>
      <c r="J766" s="164"/>
      <c r="K766" s="164"/>
      <c r="L766" s="164"/>
      <c r="M766" s="164"/>
      <c r="N766" s="164"/>
      <c r="O766" s="164"/>
      <c r="P766" s="164"/>
      <c r="Q766" s="164"/>
      <c r="R766" s="164"/>
      <c r="S766" s="164"/>
      <c r="T766" s="164"/>
      <c r="U766" s="164"/>
      <c r="V766" s="164"/>
      <c r="W766" s="164"/>
      <c r="X766" s="164"/>
      <c r="Y766" s="164"/>
      <c r="Z766" s="164"/>
    </row>
    <row r="767">
      <c r="A767" s="164"/>
      <c r="B767" s="164"/>
      <c r="C767" s="164"/>
      <c r="D767" s="164"/>
      <c r="E767" s="164"/>
      <c r="F767" s="164"/>
      <c r="G767" s="164"/>
      <c r="H767" s="164"/>
      <c r="I767" s="164"/>
      <c r="J767" s="164"/>
      <c r="K767" s="164"/>
      <c r="L767" s="164"/>
      <c r="M767" s="164"/>
      <c r="N767" s="164"/>
      <c r="O767" s="164"/>
      <c r="P767" s="164"/>
      <c r="Q767" s="164"/>
      <c r="R767" s="164"/>
      <c r="S767" s="164"/>
      <c r="T767" s="164"/>
      <c r="U767" s="164"/>
      <c r="V767" s="164"/>
      <c r="W767" s="164"/>
      <c r="X767" s="164"/>
      <c r="Y767" s="164"/>
      <c r="Z767" s="164"/>
    </row>
    <row r="768">
      <c r="A768" s="164"/>
      <c r="B768" s="164"/>
      <c r="C768" s="164"/>
      <c r="D768" s="164"/>
      <c r="E768" s="164"/>
      <c r="F768" s="164"/>
      <c r="G768" s="164"/>
      <c r="H768" s="164"/>
      <c r="I768" s="164"/>
      <c r="J768" s="164"/>
      <c r="K768" s="164"/>
      <c r="L768" s="164"/>
      <c r="M768" s="164"/>
      <c r="N768" s="164"/>
      <c r="O768" s="164"/>
      <c r="P768" s="164"/>
      <c r="Q768" s="164"/>
      <c r="R768" s="164"/>
      <c r="S768" s="164"/>
      <c r="T768" s="164"/>
      <c r="U768" s="164"/>
      <c r="V768" s="164"/>
      <c r="W768" s="164"/>
      <c r="X768" s="164"/>
      <c r="Y768" s="164"/>
      <c r="Z768" s="164"/>
    </row>
    <row r="769">
      <c r="A769" s="164"/>
      <c r="B769" s="164"/>
      <c r="C769" s="164"/>
      <c r="D769" s="164"/>
      <c r="E769" s="164"/>
      <c r="F769" s="164"/>
      <c r="G769" s="164"/>
      <c r="H769" s="164"/>
      <c r="I769" s="164"/>
      <c r="J769" s="164"/>
      <c r="K769" s="164"/>
      <c r="L769" s="164"/>
      <c r="M769" s="164"/>
      <c r="N769" s="164"/>
      <c r="O769" s="164"/>
      <c r="P769" s="164"/>
      <c r="Q769" s="164"/>
      <c r="R769" s="164"/>
      <c r="S769" s="164"/>
      <c r="T769" s="164"/>
      <c r="U769" s="164"/>
      <c r="V769" s="164"/>
      <c r="W769" s="164"/>
      <c r="X769" s="164"/>
      <c r="Y769" s="164"/>
      <c r="Z769" s="164"/>
    </row>
    <row r="770">
      <c r="A770" s="164"/>
      <c r="B770" s="164"/>
      <c r="C770" s="164"/>
      <c r="D770" s="164"/>
      <c r="E770" s="164"/>
      <c r="F770" s="164"/>
      <c r="G770" s="164"/>
      <c r="H770" s="164"/>
      <c r="I770" s="164"/>
      <c r="J770" s="164"/>
      <c r="K770" s="164"/>
      <c r="L770" s="164"/>
      <c r="M770" s="164"/>
      <c r="N770" s="164"/>
      <c r="O770" s="164"/>
      <c r="P770" s="164"/>
      <c r="Q770" s="164"/>
      <c r="R770" s="164"/>
      <c r="S770" s="164"/>
      <c r="T770" s="164"/>
      <c r="U770" s="164"/>
      <c r="V770" s="164"/>
      <c r="W770" s="164"/>
      <c r="X770" s="164"/>
      <c r="Y770" s="164"/>
      <c r="Z770" s="164"/>
    </row>
    <row r="771">
      <c r="A771" s="164"/>
      <c r="B771" s="164"/>
      <c r="C771" s="164"/>
      <c r="D771" s="164"/>
      <c r="E771" s="164"/>
      <c r="F771" s="164"/>
      <c r="G771" s="164"/>
      <c r="H771" s="164"/>
      <c r="I771" s="164"/>
      <c r="J771" s="164"/>
      <c r="K771" s="164"/>
      <c r="L771" s="164"/>
      <c r="M771" s="164"/>
      <c r="N771" s="164"/>
      <c r="O771" s="164"/>
      <c r="P771" s="164"/>
      <c r="Q771" s="164"/>
      <c r="R771" s="164"/>
      <c r="S771" s="164"/>
      <c r="T771" s="164"/>
      <c r="U771" s="164"/>
      <c r="V771" s="164"/>
      <c r="W771" s="164"/>
      <c r="X771" s="164"/>
      <c r="Y771" s="164"/>
      <c r="Z771" s="164"/>
    </row>
    <row r="772">
      <c r="A772" s="164"/>
      <c r="B772" s="164"/>
      <c r="C772" s="164"/>
      <c r="D772" s="164"/>
      <c r="E772" s="164"/>
      <c r="F772" s="164"/>
      <c r="G772" s="164"/>
      <c r="H772" s="164"/>
      <c r="I772" s="164"/>
      <c r="J772" s="164"/>
      <c r="K772" s="164"/>
      <c r="L772" s="164"/>
      <c r="M772" s="164"/>
      <c r="N772" s="164"/>
      <c r="O772" s="164"/>
      <c r="P772" s="164"/>
      <c r="Q772" s="164"/>
      <c r="R772" s="164"/>
      <c r="S772" s="164"/>
      <c r="T772" s="164"/>
      <c r="U772" s="164"/>
      <c r="V772" s="164"/>
      <c r="W772" s="164"/>
      <c r="X772" s="164"/>
      <c r="Y772" s="164"/>
      <c r="Z772" s="164"/>
    </row>
    <row r="773">
      <c r="A773" s="164"/>
      <c r="B773" s="164"/>
      <c r="C773" s="164"/>
      <c r="D773" s="164"/>
      <c r="E773" s="164"/>
      <c r="F773" s="164"/>
      <c r="G773" s="164"/>
      <c r="H773" s="164"/>
      <c r="I773" s="164"/>
      <c r="J773" s="164"/>
      <c r="K773" s="164"/>
      <c r="L773" s="164"/>
      <c r="M773" s="164"/>
      <c r="N773" s="164"/>
      <c r="O773" s="164"/>
      <c r="P773" s="164"/>
      <c r="Q773" s="164"/>
      <c r="R773" s="164"/>
      <c r="S773" s="164"/>
      <c r="T773" s="164"/>
      <c r="U773" s="164"/>
      <c r="V773" s="164"/>
      <c r="W773" s="164"/>
      <c r="X773" s="164"/>
      <c r="Y773" s="164"/>
      <c r="Z773" s="164"/>
    </row>
    <row r="774">
      <c r="A774" s="164"/>
      <c r="B774" s="164"/>
      <c r="C774" s="164"/>
      <c r="D774" s="164"/>
      <c r="E774" s="164"/>
      <c r="F774" s="164"/>
      <c r="G774" s="164"/>
      <c r="H774" s="164"/>
      <c r="I774" s="164"/>
      <c r="J774" s="164"/>
      <c r="K774" s="164"/>
      <c r="L774" s="164"/>
      <c r="M774" s="164"/>
      <c r="N774" s="164"/>
      <c r="O774" s="164"/>
      <c r="P774" s="164"/>
      <c r="Q774" s="164"/>
      <c r="R774" s="164"/>
      <c r="S774" s="164"/>
      <c r="T774" s="164"/>
      <c r="U774" s="164"/>
      <c r="V774" s="164"/>
      <c r="W774" s="164"/>
      <c r="X774" s="164"/>
      <c r="Y774" s="164"/>
      <c r="Z774" s="164"/>
    </row>
    <row r="775">
      <c r="A775" s="164"/>
      <c r="B775" s="164"/>
      <c r="C775" s="164"/>
      <c r="D775" s="164"/>
      <c r="E775" s="164"/>
      <c r="F775" s="164"/>
      <c r="G775" s="164"/>
      <c r="H775" s="164"/>
      <c r="I775" s="164"/>
      <c r="J775" s="164"/>
      <c r="K775" s="164"/>
      <c r="L775" s="164"/>
      <c r="M775" s="164"/>
      <c r="N775" s="164"/>
      <c r="O775" s="164"/>
      <c r="P775" s="164"/>
      <c r="Q775" s="164"/>
      <c r="R775" s="164"/>
      <c r="S775" s="164"/>
      <c r="T775" s="164"/>
      <c r="U775" s="164"/>
      <c r="V775" s="164"/>
      <c r="W775" s="164"/>
      <c r="X775" s="164"/>
      <c r="Y775" s="164"/>
      <c r="Z775" s="164"/>
    </row>
    <row r="776">
      <c r="A776" s="164"/>
      <c r="B776" s="164"/>
      <c r="C776" s="164"/>
      <c r="D776" s="164"/>
      <c r="E776" s="164"/>
      <c r="F776" s="164"/>
      <c r="G776" s="164"/>
      <c r="H776" s="164"/>
      <c r="I776" s="164"/>
      <c r="J776" s="164"/>
      <c r="K776" s="164"/>
      <c r="L776" s="164"/>
      <c r="M776" s="164"/>
      <c r="N776" s="164"/>
      <c r="O776" s="164"/>
      <c r="P776" s="164"/>
      <c r="Q776" s="164"/>
      <c r="R776" s="164"/>
      <c r="S776" s="164"/>
      <c r="T776" s="164"/>
      <c r="U776" s="164"/>
      <c r="V776" s="164"/>
      <c r="W776" s="164"/>
      <c r="X776" s="164"/>
      <c r="Y776" s="164"/>
      <c r="Z776" s="164"/>
    </row>
    <row r="777">
      <c r="A777" s="164"/>
      <c r="B777" s="164"/>
      <c r="C777" s="164"/>
      <c r="D777" s="164"/>
      <c r="E777" s="164"/>
      <c r="F777" s="164"/>
      <c r="G777" s="164"/>
      <c r="H777" s="164"/>
      <c r="I777" s="164"/>
      <c r="J777" s="164"/>
      <c r="K777" s="164"/>
      <c r="L777" s="164"/>
      <c r="M777" s="164"/>
      <c r="N777" s="164"/>
      <c r="O777" s="164"/>
      <c r="P777" s="164"/>
      <c r="Q777" s="164"/>
      <c r="R777" s="164"/>
      <c r="S777" s="164"/>
      <c r="T777" s="164"/>
      <c r="U777" s="164"/>
      <c r="V777" s="164"/>
      <c r="W777" s="164"/>
      <c r="X777" s="164"/>
      <c r="Y777" s="164"/>
      <c r="Z777" s="164"/>
    </row>
    <row r="778">
      <c r="A778" s="164"/>
      <c r="B778" s="164"/>
      <c r="C778" s="164"/>
      <c r="D778" s="164"/>
      <c r="E778" s="164"/>
      <c r="F778" s="164"/>
      <c r="G778" s="164"/>
      <c r="H778" s="164"/>
      <c r="I778" s="164"/>
      <c r="J778" s="164"/>
      <c r="K778" s="164"/>
      <c r="L778" s="164"/>
      <c r="M778" s="164"/>
      <c r="N778" s="164"/>
      <c r="O778" s="164"/>
      <c r="P778" s="164"/>
      <c r="Q778" s="164"/>
      <c r="R778" s="164"/>
      <c r="S778" s="164"/>
      <c r="T778" s="164"/>
      <c r="U778" s="164"/>
      <c r="V778" s="164"/>
      <c r="W778" s="164"/>
      <c r="X778" s="164"/>
      <c r="Y778" s="164"/>
      <c r="Z778" s="164"/>
    </row>
    <row r="779">
      <c r="A779" s="164"/>
      <c r="B779" s="164"/>
      <c r="C779" s="164"/>
      <c r="D779" s="164"/>
      <c r="E779" s="164"/>
      <c r="F779" s="164"/>
      <c r="G779" s="164"/>
      <c r="H779" s="164"/>
      <c r="I779" s="164"/>
      <c r="J779" s="164"/>
      <c r="K779" s="164"/>
      <c r="L779" s="164"/>
      <c r="M779" s="164"/>
      <c r="N779" s="164"/>
      <c r="O779" s="164"/>
      <c r="P779" s="164"/>
      <c r="Q779" s="164"/>
      <c r="R779" s="164"/>
      <c r="S779" s="164"/>
      <c r="T779" s="164"/>
      <c r="U779" s="164"/>
      <c r="V779" s="164"/>
      <c r="W779" s="164"/>
      <c r="X779" s="164"/>
      <c r="Y779" s="164"/>
      <c r="Z779" s="164"/>
    </row>
    <row r="780">
      <c r="A780" s="164"/>
      <c r="B780" s="164"/>
      <c r="C780" s="164"/>
      <c r="D780" s="164"/>
      <c r="E780" s="164"/>
      <c r="F780" s="164"/>
      <c r="G780" s="164"/>
      <c r="H780" s="164"/>
      <c r="I780" s="164"/>
      <c r="J780" s="164"/>
      <c r="K780" s="164"/>
      <c r="L780" s="164"/>
      <c r="M780" s="164"/>
      <c r="N780" s="164"/>
      <c r="O780" s="164"/>
      <c r="P780" s="164"/>
      <c r="Q780" s="164"/>
      <c r="R780" s="164"/>
      <c r="S780" s="164"/>
      <c r="T780" s="164"/>
      <c r="U780" s="164"/>
      <c r="V780" s="164"/>
      <c r="W780" s="164"/>
      <c r="X780" s="164"/>
      <c r="Y780" s="164"/>
      <c r="Z780" s="164"/>
    </row>
    <row r="781">
      <c r="A781" s="164"/>
      <c r="B781" s="164"/>
      <c r="C781" s="164"/>
      <c r="D781" s="164"/>
      <c r="E781" s="164"/>
      <c r="F781" s="164"/>
      <c r="G781" s="164"/>
      <c r="H781" s="164"/>
      <c r="I781" s="164"/>
      <c r="J781" s="164"/>
      <c r="K781" s="164"/>
      <c r="L781" s="164"/>
      <c r="M781" s="164"/>
      <c r="N781" s="164"/>
      <c r="O781" s="164"/>
      <c r="P781" s="164"/>
      <c r="Q781" s="164"/>
      <c r="R781" s="164"/>
      <c r="S781" s="164"/>
      <c r="T781" s="164"/>
      <c r="U781" s="164"/>
      <c r="V781" s="164"/>
      <c r="W781" s="164"/>
      <c r="X781" s="164"/>
      <c r="Y781" s="164"/>
      <c r="Z781" s="164"/>
    </row>
    <row r="782">
      <c r="A782" s="164"/>
      <c r="B782" s="164"/>
      <c r="C782" s="164"/>
      <c r="D782" s="164"/>
      <c r="E782" s="164"/>
      <c r="F782" s="164"/>
      <c r="G782" s="164"/>
      <c r="H782" s="164"/>
      <c r="I782" s="164"/>
      <c r="J782" s="164"/>
      <c r="K782" s="164"/>
      <c r="L782" s="164"/>
      <c r="M782" s="164"/>
      <c r="N782" s="164"/>
      <c r="O782" s="164"/>
      <c r="P782" s="164"/>
      <c r="Q782" s="164"/>
      <c r="R782" s="164"/>
      <c r="S782" s="164"/>
      <c r="T782" s="164"/>
      <c r="U782" s="164"/>
      <c r="V782" s="164"/>
      <c r="W782" s="164"/>
      <c r="X782" s="164"/>
      <c r="Y782" s="164"/>
      <c r="Z782" s="164"/>
    </row>
    <row r="783">
      <c r="A783" s="164"/>
      <c r="B783" s="164"/>
      <c r="C783" s="164"/>
      <c r="D783" s="164"/>
      <c r="E783" s="164"/>
      <c r="F783" s="164"/>
      <c r="G783" s="164"/>
      <c r="H783" s="164"/>
      <c r="I783" s="164"/>
      <c r="J783" s="164"/>
      <c r="K783" s="164"/>
      <c r="L783" s="164"/>
      <c r="M783" s="164"/>
      <c r="N783" s="164"/>
      <c r="O783" s="164"/>
      <c r="P783" s="164"/>
      <c r="Q783" s="164"/>
      <c r="R783" s="164"/>
      <c r="S783" s="164"/>
      <c r="T783" s="164"/>
      <c r="U783" s="164"/>
      <c r="V783" s="164"/>
      <c r="W783" s="164"/>
      <c r="X783" s="164"/>
      <c r="Y783" s="164"/>
      <c r="Z783" s="164"/>
    </row>
    <row r="784">
      <c r="A784" s="164"/>
      <c r="B784" s="164"/>
      <c r="C784" s="164"/>
      <c r="D784" s="164"/>
      <c r="E784" s="164"/>
      <c r="F784" s="164"/>
      <c r="G784" s="164"/>
      <c r="H784" s="164"/>
      <c r="I784" s="164"/>
      <c r="J784" s="164"/>
      <c r="K784" s="164"/>
      <c r="L784" s="164"/>
      <c r="M784" s="164"/>
      <c r="N784" s="164"/>
      <c r="O784" s="164"/>
      <c r="P784" s="164"/>
      <c r="Q784" s="164"/>
      <c r="R784" s="164"/>
      <c r="S784" s="164"/>
      <c r="T784" s="164"/>
      <c r="U784" s="164"/>
      <c r="V784" s="164"/>
      <c r="W784" s="164"/>
      <c r="X784" s="164"/>
      <c r="Y784" s="164"/>
      <c r="Z784" s="164"/>
    </row>
    <row r="785">
      <c r="A785" s="164"/>
      <c r="B785" s="164"/>
      <c r="C785" s="164"/>
      <c r="D785" s="164"/>
      <c r="E785" s="164"/>
      <c r="F785" s="164"/>
      <c r="G785" s="164"/>
      <c r="H785" s="164"/>
      <c r="I785" s="164"/>
      <c r="J785" s="164"/>
      <c r="K785" s="164"/>
      <c r="L785" s="164"/>
      <c r="M785" s="164"/>
      <c r="N785" s="164"/>
      <c r="O785" s="164"/>
      <c r="P785" s="164"/>
      <c r="Q785" s="164"/>
      <c r="R785" s="164"/>
      <c r="S785" s="164"/>
      <c r="T785" s="164"/>
      <c r="U785" s="164"/>
      <c r="V785" s="164"/>
      <c r="W785" s="164"/>
      <c r="X785" s="164"/>
      <c r="Y785" s="164"/>
      <c r="Z785" s="164"/>
    </row>
    <row r="786">
      <c r="A786" s="164"/>
      <c r="B786" s="164"/>
      <c r="C786" s="164"/>
      <c r="D786" s="164"/>
      <c r="E786" s="164"/>
      <c r="F786" s="164"/>
      <c r="G786" s="164"/>
      <c r="H786" s="164"/>
      <c r="I786" s="164"/>
      <c r="J786" s="164"/>
      <c r="K786" s="164"/>
      <c r="L786" s="164"/>
      <c r="M786" s="164"/>
      <c r="N786" s="164"/>
      <c r="O786" s="164"/>
      <c r="P786" s="164"/>
      <c r="Q786" s="164"/>
      <c r="R786" s="164"/>
      <c r="S786" s="164"/>
      <c r="T786" s="164"/>
      <c r="U786" s="164"/>
      <c r="V786" s="164"/>
      <c r="W786" s="164"/>
      <c r="X786" s="164"/>
      <c r="Y786" s="164"/>
      <c r="Z786" s="164"/>
    </row>
    <row r="787">
      <c r="A787" s="164"/>
      <c r="B787" s="164"/>
      <c r="C787" s="164"/>
      <c r="D787" s="164"/>
      <c r="E787" s="164"/>
      <c r="F787" s="164"/>
      <c r="G787" s="164"/>
      <c r="H787" s="164"/>
      <c r="I787" s="164"/>
      <c r="J787" s="164"/>
      <c r="K787" s="164"/>
      <c r="L787" s="164"/>
      <c r="M787" s="164"/>
      <c r="N787" s="164"/>
      <c r="O787" s="164"/>
      <c r="P787" s="164"/>
      <c r="Q787" s="164"/>
      <c r="R787" s="164"/>
      <c r="S787" s="164"/>
      <c r="T787" s="164"/>
      <c r="U787" s="164"/>
      <c r="V787" s="164"/>
      <c r="W787" s="164"/>
      <c r="X787" s="164"/>
      <c r="Y787" s="164"/>
      <c r="Z787" s="164"/>
    </row>
    <row r="788">
      <c r="A788" s="164"/>
      <c r="B788" s="164"/>
      <c r="C788" s="164"/>
      <c r="D788" s="164"/>
      <c r="E788" s="164"/>
      <c r="F788" s="164"/>
      <c r="G788" s="164"/>
      <c r="H788" s="164"/>
      <c r="I788" s="164"/>
      <c r="J788" s="164"/>
      <c r="K788" s="164"/>
      <c r="L788" s="164"/>
      <c r="M788" s="164"/>
      <c r="N788" s="164"/>
      <c r="O788" s="164"/>
      <c r="P788" s="164"/>
      <c r="Q788" s="164"/>
      <c r="R788" s="164"/>
      <c r="S788" s="164"/>
      <c r="T788" s="164"/>
      <c r="U788" s="164"/>
      <c r="V788" s="164"/>
      <c r="W788" s="164"/>
      <c r="X788" s="164"/>
      <c r="Y788" s="164"/>
      <c r="Z788" s="164"/>
    </row>
    <row r="789">
      <c r="A789" s="164"/>
      <c r="B789" s="164"/>
      <c r="C789" s="164"/>
      <c r="D789" s="164"/>
      <c r="E789" s="164"/>
      <c r="F789" s="164"/>
      <c r="G789" s="164"/>
      <c r="H789" s="164"/>
      <c r="I789" s="164"/>
      <c r="J789" s="164"/>
      <c r="K789" s="164"/>
      <c r="L789" s="164"/>
      <c r="M789" s="164"/>
      <c r="N789" s="164"/>
      <c r="O789" s="164"/>
      <c r="P789" s="164"/>
      <c r="Q789" s="164"/>
      <c r="R789" s="164"/>
      <c r="S789" s="164"/>
      <c r="T789" s="164"/>
      <c r="U789" s="164"/>
      <c r="V789" s="164"/>
      <c r="W789" s="164"/>
      <c r="X789" s="164"/>
      <c r="Y789" s="164"/>
      <c r="Z789" s="164"/>
    </row>
    <row r="790">
      <c r="A790" s="164"/>
      <c r="B790" s="164"/>
      <c r="C790" s="164"/>
      <c r="D790" s="164"/>
      <c r="E790" s="164"/>
      <c r="F790" s="164"/>
      <c r="G790" s="164"/>
      <c r="H790" s="164"/>
      <c r="I790" s="164"/>
      <c r="J790" s="164"/>
      <c r="K790" s="164"/>
      <c r="L790" s="164"/>
      <c r="M790" s="164"/>
      <c r="N790" s="164"/>
      <c r="O790" s="164"/>
      <c r="P790" s="164"/>
      <c r="Q790" s="164"/>
      <c r="R790" s="164"/>
      <c r="S790" s="164"/>
      <c r="T790" s="164"/>
      <c r="U790" s="164"/>
      <c r="V790" s="164"/>
      <c r="W790" s="164"/>
      <c r="X790" s="164"/>
      <c r="Y790" s="164"/>
      <c r="Z790" s="164"/>
    </row>
    <row r="791">
      <c r="A791" s="164"/>
      <c r="B791" s="164"/>
      <c r="C791" s="164"/>
      <c r="D791" s="164"/>
      <c r="E791" s="164"/>
      <c r="F791" s="164"/>
      <c r="G791" s="164"/>
      <c r="H791" s="164"/>
      <c r="I791" s="164"/>
      <c r="J791" s="164"/>
      <c r="K791" s="164"/>
      <c r="L791" s="164"/>
      <c r="M791" s="164"/>
      <c r="N791" s="164"/>
      <c r="O791" s="164"/>
      <c r="P791" s="164"/>
      <c r="Q791" s="164"/>
      <c r="R791" s="164"/>
      <c r="S791" s="164"/>
      <c r="T791" s="164"/>
      <c r="U791" s="164"/>
      <c r="V791" s="164"/>
      <c r="W791" s="164"/>
      <c r="X791" s="164"/>
      <c r="Y791" s="164"/>
      <c r="Z791" s="164"/>
    </row>
    <row r="792">
      <c r="A792" s="164"/>
      <c r="B792" s="164"/>
      <c r="C792" s="164"/>
      <c r="D792" s="164"/>
      <c r="E792" s="164"/>
      <c r="F792" s="164"/>
      <c r="G792" s="164"/>
      <c r="H792" s="164"/>
      <c r="I792" s="164"/>
      <c r="J792" s="164"/>
      <c r="K792" s="164"/>
      <c r="L792" s="164"/>
      <c r="M792" s="164"/>
      <c r="N792" s="164"/>
      <c r="O792" s="164"/>
      <c r="P792" s="164"/>
      <c r="Q792" s="164"/>
      <c r="R792" s="164"/>
      <c r="S792" s="164"/>
      <c r="T792" s="164"/>
      <c r="U792" s="164"/>
      <c r="V792" s="164"/>
      <c r="W792" s="164"/>
      <c r="X792" s="164"/>
      <c r="Y792" s="164"/>
      <c r="Z792" s="164"/>
    </row>
    <row r="793">
      <c r="A793" s="164"/>
      <c r="B793" s="164"/>
      <c r="C793" s="164"/>
      <c r="D793" s="164"/>
      <c r="E793" s="164"/>
      <c r="F793" s="164"/>
      <c r="G793" s="164"/>
      <c r="H793" s="164"/>
      <c r="I793" s="164"/>
      <c r="J793" s="164"/>
      <c r="K793" s="164"/>
      <c r="L793" s="164"/>
      <c r="M793" s="164"/>
      <c r="N793" s="164"/>
      <c r="O793" s="164"/>
      <c r="P793" s="164"/>
      <c r="Q793" s="164"/>
      <c r="R793" s="164"/>
      <c r="S793" s="164"/>
      <c r="T793" s="164"/>
      <c r="U793" s="164"/>
      <c r="V793" s="164"/>
      <c r="W793" s="164"/>
      <c r="X793" s="164"/>
      <c r="Y793" s="164"/>
      <c r="Z793" s="164"/>
    </row>
    <row r="794">
      <c r="A794" s="164"/>
      <c r="B794" s="164"/>
      <c r="C794" s="164"/>
      <c r="D794" s="164"/>
      <c r="E794" s="164"/>
      <c r="F794" s="164"/>
      <c r="G794" s="164"/>
      <c r="H794" s="164"/>
      <c r="I794" s="164"/>
      <c r="J794" s="164"/>
      <c r="K794" s="164"/>
      <c r="L794" s="164"/>
      <c r="M794" s="164"/>
      <c r="N794" s="164"/>
      <c r="O794" s="164"/>
      <c r="P794" s="164"/>
      <c r="Q794" s="164"/>
      <c r="R794" s="164"/>
      <c r="S794" s="164"/>
      <c r="T794" s="164"/>
      <c r="U794" s="164"/>
      <c r="V794" s="164"/>
      <c r="W794" s="164"/>
      <c r="X794" s="164"/>
      <c r="Y794" s="164"/>
      <c r="Z794" s="164"/>
    </row>
    <row r="795">
      <c r="A795" s="164"/>
      <c r="B795" s="164"/>
      <c r="C795" s="164"/>
      <c r="D795" s="164"/>
      <c r="E795" s="164"/>
      <c r="F795" s="164"/>
      <c r="G795" s="164"/>
      <c r="H795" s="164"/>
      <c r="I795" s="164"/>
      <c r="J795" s="164"/>
      <c r="K795" s="164"/>
      <c r="L795" s="164"/>
      <c r="M795" s="164"/>
      <c r="N795" s="164"/>
      <c r="O795" s="164"/>
      <c r="P795" s="164"/>
      <c r="Q795" s="164"/>
      <c r="R795" s="164"/>
      <c r="S795" s="164"/>
      <c r="T795" s="164"/>
      <c r="U795" s="164"/>
      <c r="V795" s="164"/>
      <c r="W795" s="164"/>
      <c r="X795" s="164"/>
      <c r="Y795" s="164"/>
      <c r="Z795" s="164"/>
    </row>
    <row r="796">
      <c r="A796" s="164"/>
      <c r="B796" s="164"/>
      <c r="C796" s="164"/>
      <c r="D796" s="164"/>
      <c r="E796" s="164"/>
      <c r="F796" s="164"/>
      <c r="G796" s="164"/>
      <c r="H796" s="164"/>
      <c r="I796" s="164"/>
      <c r="J796" s="164"/>
      <c r="K796" s="164"/>
      <c r="L796" s="164"/>
      <c r="M796" s="164"/>
      <c r="N796" s="164"/>
      <c r="O796" s="164"/>
      <c r="P796" s="164"/>
      <c r="Q796" s="164"/>
      <c r="R796" s="164"/>
      <c r="S796" s="164"/>
      <c r="T796" s="164"/>
      <c r="U796" s="164"/>
      <c r="V796" s="164"/>
      <c r="W796" s="164"/>
      <c r="X796" s="164"/>
      <c r="Y796" s="164"/>
      <c r="Z796" s="164"/>
    </row>
    <row r="797">
      <c r="A797" s="164"/>
      <c r="B797" s="164"/>
      <c r="C797" s="164"/>
      <c r="D797" s="164"/>
      <c r="E797" s="164"/>
      <c r="F797" s="164"/>
      <c r="G797" s="164"/>
      <c r="H797" s="164"/>
      <c r="I797" s="164"/>
      <c r="J797" s="164"/>
      <c r="K797" s="164"/>
      <c r="L797" s="164"/>
      <c r="M797" s="164"/>
      <c r="N797" s="164"/>
      <c r="O797" s="164"/>
      <c r="P797" s="164"/>
      <c r="Q797" s="164"/>
      <c r="R797" s="164"/>
      <c r="S797" s="164"/>
      <c r="T797" s="164"/>
      <c r="U797" s="164"/>
      <c r="V797" s="164"/>
      <c r="W797" s="164"/>
      <c r="X797" s="164"/>
      <c r="Y797" s="164"/>
      <c r="Z797" s="164"/>
    </row>
    <row r="798">
      <c r="A798" s="164"/>
      <c r="B798" s="164"/>
      <c r="C798" s="164"/>
      <c r="D798" s="164"/>
      <c r="E798" s="164"/>
      <c r="F798" s="164"/>
      <c r="G798" s="164"/>
      <c r="H798" s="164"/>
      <c r="I798" s="164"/>
      <c r="J798" s="164"/>
      <c r="K798" s="164"/>
      <c r="L798" s="164"/>
      <c r="M798" s="164"/>
      <c r="N798" s="164"/>
      <c r="O798" s="164"/>
      <c r="P798" s="164"/>
      <c r="Q798" s="164"/>
      <c r="R798" s="164"/>
      <c r="S798" s="164"/>
      <c r="T798" s="164"/>
      <c r="U798" s="164"/>
      <c r="V798" s="164"/>
      <c r="W798" s="164"/>
      <c r="X798" s="164"/>
      <c r="Y798" s="164"/>
      <c r="Z798" s="164"/>
    </row>
    <row r="799">
      <c r="A799" s="164"/>
      <c r="B799" s="164"/>
      <c r="C799" s="164"/>
      <c r="D799" s="164"/>
      <c r="E799" s="164"/>
      <c r="F799" s="164"/>
      <c r="G799" s="164"/>
      <c r="H799" s="164"/>
      <c r="I799" s="164"/>
      <c r="J799" s="164"/>
      <c r="K799" s="164"/>
      <c r="L799" s="164"/>
      <c r="M799" s="164"/>
      <c r="N799" s="164"/>
      <c r="O799" s="164"/>
      <c r="P799" s="164"/>
      <c r="Q799" s="164"/>
      <c r="R799" s="164"/>
      <c r="S799" s="164"/>
      <c r="T799" s="164"/>
      <c r="U799" s="164"/>
      <c r="V799" s="164"/>
      <c r="W799" s="164"/>
      <c r="X799" s="164"/>
      <c r="Y799" s="164"/>
      <c r="Z799" s="164"/>
    </row>
    <row r="800">
      <c r="A800" s="164"/>
      <c r="B800" s="164"/>
      <c r="C800" s="164"/>
      <c r="D800" s="164"/>
      <c r="E800" s="164"/>
      <c r="F800" s="164"/>
      <c r="G800" s="164"/>
      <c r="H800" s="164"/>
      <c r="I800" s="164"/>
      <c r="J800" s="164"/>
      <c r="K800" s="164"/>
      <c r="L800" s="164"/>
      <c r="M800" s="164"/>
      <c r="N800" s="164"/>
      <c r="O800" s="164"/>
      <c r="P800" s="164"/>
      <c r="Q800" s="164"/>
      <c r="R800" s="164"/>
      <c r="S800" s="164"/>
      <c r="T800" s="164"/>
      <c r="U800" s="164"/>
      <c r="V800" s="164"/>
      <c r="W800" s="164"/>
      <c r="X800" s="164"/>
      <c r="Y800" s="164"/>
      <c r="Z800" s="164"/>
    </row>
    <row r="801">
      <c r="A801" s="164"/>
      <c r="B801" s="164"/>
      <c r="C801" s="164"/>
      <c r="D801" s="164"/>
      <c r="E801" s="164"/>
      <c r="F801" s="164"/>
      <c r="G801" s="164"/>
      <c r="H801" s="164"/>
      <c r="I801" s="164"/>
      <c r="J801" s="164"/>
      <c r="K801" s="164"/>
      <c r="L801" s="164"/>
      <c r="M801" s="164"/>
      <c r="N801" s="164"/>
      <c r="O801" s="164"/>
      <c r="P801" s="164"/>
      <c r="Q801" s="164"/>
      <c r="R801" s="164"/>
      <c r="S801" s="164"/>
      <c r="T801" s="164"/>
      <c r="U801" s="164"/>
      <c r="V801" s="164"/>
      <c r="W801" s="164"/>
      <c r="X801" s="164"/>
      <c r="Y801" s="164"/>
      <c r="Z801" s="164"/>
    </row>
    <row r="802">
      <c r="A802" s="164"/>
      <c r="B802" s="164"/>
      <c r="C802" s="164"/>
      <c r="D802" s="164"/>
      <c r="E802" s="164"/>
      <c r="F802" s="164"/>
      <c r="G802" s="164"/>
      <c r="H802" s="164"/>
      <c r="I802" s="164"/>
      <c r="J802" s="164"/>
      <c r="K802" s="164"/>
      <c r="L802" s="164"/>
      <c r="M802" s="164"/>
      <c r="N802" s="164"/>
      <c r="O802" s="164"/>
      <c r="P802" s="164"/>
      <c r="Q802" s="164"/>
      <c r="R802" s="164"/>
      <c r="S802" s="164"/>
      <c r="T802" s="164"/>
      <c r="U802" s="164"/>
      <c r="V802" s="164"/>
      <c r="W802" s="164"/>
      <c r="X802" s="164"/>
      <c r="Y802" s="164"/>
      <c r="Z802" s="164"/>
    </row>
    <row r="803">
      <c r="A803" s="164"/>
      <c r="B803" s="164"/>
      <c r="C803" s="164"/>
      <c r="D803" s="164"/>
      <c r="E803" s="164"/>
      <c r="F803" s="164"/>
      <c r="G803" s="164"/>
      <c r="H803" s="164"/>
      <c r="I803" s="164"/>
      <c r="J803" s="164"/>
      <c r="K803" s="164"/>
      <c r="L803" s="164"/>
      <c r="M803" s="164"/>
      <c r="N803" s="164"/>
      <c r="O803" s="164"/>
      <c r="P803" s="164"/>
      <c r="Q803" s="164"/>
      <c r="R803" s="164"/>
      <c r="S803" s="164"/>
      <c r="T803" s="164"/>
      <c r="U803" s="164"/>
      <c r="V803" s="164"/>
      <c r="W803" s="164"/>
      <c r="X803" s="164"/>
      <c r="Y803" s="164"/>
      <c r="Z803" s="164"/>
    </row>
    <row r="804">
      <c r="A804" s="164"/>
      <c r="B804" s="164"/>
      <c r="C804" s="164"/>
      <c r="D804" s="164"/>
      <c r="E804" s="164"/>
      <c r="F804" s="164"/>
      <c r="G804" s="164"/>
      <c r="H804" s="164"/>
      <c r="I804" s="164"/>
      <c r="J804" s="164"/>
      <c r="K804" s="164"/>
      <c r="L804" s="164"/>
      <c r="M804" s="164"/>
      <c r="N804" s="164"/>
      <c r="O804" s="164"/>
      <c r="P804" s="164"/>
      <c r="Q804" s="164"/>
      <c r="R804" s="164"/>
      <c r="S804" s="164"/>
      <c r="T804" s="164"/>
      <c r="U804" s="164"/>
      <c r="V804" s="164"/>
      <c r="W804" s="164"/>
      <c r="X804" s="164"/>
      <c r="Y804" s="164"/>
      <c r="Z804" s="164"/>
    </row>
    <row r="805">
      <c r="A805" s="164"/>
      <c r="B805" s="164"/>
      <c r="C805" s="164"/>
      <c r="D805" s="164"/>
      <c r="E805" s="164"/>
      <c r="F805" s="164"/>
      <c r="G805" s="164"/>
      <c r="H805" s="164"/>
      <c r="I805" s="164"/>
      <c r="J805" s="164"/>
      <c r="K805" s="164"/>
      <c r="L805" s="164"/>
      <c r="M805" s="164"/>
      <c r="N805" s="164"/>
      <c r="O805" s="164"/>
      <c r="P805" s="164"/>
      <c r="Q805" s="164"/>
      <c r="R805" s="164"/>
      <c r="S805" s="164"/>
      <c r="T805" s="164"/>
      <c r="U805" s="164"/>
      <c r="V805" s="164"/>
      <c r="W805" s="164"/>
      <c r="X805" s="164"/>
      <c r="Y805" s="164"/>
      <c r="Z805" s="164"/>
    </row>
    <row r="806">
      <c r="A806" s="164"/>
      <c r="B806" s="164"/>
      <c r="C806" s="164"/>
      <c r="D806" s="164"/>
      <c r="E806" s="164"/>
      <c r="F806" s="164"/>
      <c r="G806" s="164"/>
      <c r="H806" s="164"/>
      <c r="I806" s="164"/>
      <c r="J806" s="164"/>
      <c r="K806" s="164"/>
      <c r="L806" s="164"/>
      <c r="M806" s="164"/>
      <c r="N806" s="164"/>
      <c r="O806" s="164"/>
      <c r="P806" s="164"/>
      <c r="Q806" s="164"/>
      <c r="R806" s="164"/>
      <c r="S806" s="164"/>
      <c r="T806" s="164"/>
      <c r="U806" s="164"/>
      <c r="V806" s="164"/>
      <c r="W806" s="164"/>
      <c r="X806" s="164"/>
      <c r="Y806" s="164"/>
      <c r="Z806" s="164"/>
    </row>
    <row r="807">
      <c r="A807" s="164"/>
      <c r="B807" s="164"/>
      <c r="C807" s="164"/>
      <c r="D807" s="164"/>
      <c r="E807" s="164"/>
      <c r="F807" s="164"/>
      <c r="G807" s="164"/>
      <c r="H807" s="164"/>
      <c r="I807" s="164"/>
      <c r="J807" s="164"/>
      <c r="K807" s="164"/>
      <c r="L807" s="164"/>
      <c r="M807" s="164"/>
      <c r="N807" s="164"/>
      <c r="O807" s="164"/>
      <c r="P807" s="164"/>
      <c r="Q807" s="164"/>
      <c r="R807" s="164"/>
      <c r="S807" s="164"/>
      <c r="T807" s="164"/>
      <c r="U807" s="164"/>
      <c r="V807" s="164"/>
      <c r="W807" s="164"/>
      <c r="X807" s="164"/>
      <c r="Y807" s="164"/>
      <c r="Z807" s="164"/>
    </row>
    <row r="808">
      <c r="A808" s="164"/>
      <c r="B808" s="164"/>
      <c r="C808" s="164"/>
      <c r="D808" s="164"/>
      <c r="E808" s="164"/>
      <c r="F808" s="164"/>
      <c r="G808" s="164"/>
      <c r="H808" s="164"/>
      <c r="I808" s="164"/>
      <c r="J808" s="164"/>
      <c r="K808" s="164"/>
      <c r="L808" s="164"/>
      <c r="M808" s="164"/>
      <c r="N808" s="164"/>
      <c r="O808" s="164"/>
      <c r="P808" s="164"/>
      <c r="Q808" s="164"/>
      <c r="R808" s="164"/>
      <c r="S808" s="164"/>
      <c r="T808" s="164"/>
      <c r="U808" s="164"/>
      <c r="V808" s="164"/>
      <c r="W808" s="164"/>
      <c r="X808" s="164"/>
      <c r="Y808" s="164"/>
      <c r="Z808" s="164"/>
    </row>
    <row r="809">
      <c r="A809" s="164"/>
      <c r="B809" s="164"/>
      <c r="C809" s="164"/>
      <c r="D809" s="164"/>
      <c r="E809" s="164"/>
      <c r="F809" s="164"/>
      <c r="G809" s="164"/>
      <c r="H809" s="164"/>
      <c r="I809" s="164"/>
      <c r="J809" s="164"/>
      <c r="K809" s="164"/>
      <c r="L809" s="164"/>
      <c r="M809" s="164"/>
      <c r="N809" s="164"/>
      <c r="O809" s="164"/>
      <c r="P809" s="164"/>
      <c r="Q809" s="164"/>
      <c r="R809" s="164"/>
      <c r="S809" s="164"/>
      <c r="T809" s="164"/>
      <c r="U809" s="164"/>
      <c r="V809" s="164"/>
      <c r="W809" s="164"/>
      <c r="X809" s="164"/>
      <c r="Y809" s="164"/>
      <c r="Z809" s="164"/>
    </row>
    <row r="810">
      <c r="A810" s="164"/>
      <c r="B810" s="164"/>
      <c r="C810" s="164"/>
      <c r="D810" s="164"/>
      <c r="E810" s="164"/>
      <c r="F810" s="164"/>
      <c r="G810" s="164"/>
      <c r="H810" s="164"/>
      <c r="I810" s="164"/>
      <c r="J810" s="164"/>
      <c r="K810" s="164"/>
      <c r="L810" s="164"/>
      <c r="M810" s="164"/>
      <c r="N810" s="164"/>
      <c r="O810" s="164"/>
      <c r="P810" s="164"/>
      <c r="Q810" s="164"/>
      <c r="R810" s="164"/>
      <c r="S810" s="164"/>
      <c r="T810" s="164"/>
      <c r="U810" s="164"/>
      <c r="V810" s="164"/>
      <c r="W810" s="164"/>
      <c r="X810" s="164"/>
      <c r="Y810" s="164"/>
      <c r="Z810" s="164"/>
    </row>
    <row r="811">
      <c r="A811" s="164"/>
      <c r="B811" s="164"/>
      <c r="C811" s="164"/>
      <c r="D811" s="164"/>
      <c r="E811" s="164"/>
      <c r="F811" s="164"/>
      <c r="G811" s="164"/>
      <c r="H811" s="164"/>
      <c r="I811" s="164"/>
      <c r="J811" s="164"/>
      <c r="K811" s="164"/>
      <c r="L811" s="164"/>
      <c r="M811" s="164"/>
      <c r="N811" s="164"/>
      <c r="O811" s="164"/>
      <c r="P811" s="164"/>
      <c r="Q811" s="164"/>
      <c r="R811" s="164"/>
      <c r="S811" s="164"/>
      <c r="T811" s="164"/>
      <c r="U811" s="164"/>
      <c r="V811" s="164"/>
      <c r="W811" s="164"/>
      <c r="X811" s="164"/>
      <c r="Y811" s="164"/>
      <c r="Z811" s="164"/>
    </row>
    <row r="812">
      <c r="A812" s="164"/>
      <c r="B812" s="164"/>
      <c r="C812" s="164"/>
      <c r="D812" s="164"/>
      <c r="E812" s="164"/>
      <c r="F812" s="164"/>
      <c r="G812" s="164"/>
      <c r="H812" s="164"/>
      <c r="I812" s="164"/>
      <c r="J812" s="164"/>
      <c r="K812" s="164"/>
      <c r="L812" s="164"/>
      <c r="M812" s="164"/>
      <c r="N812" s="164"/>
      <c r="O812" s="164"/>
      <c r="P812" s="164"/>
      <c r="Q812" s="164"/>
      <c r="R812" s="164"/>
      <c r="S812" s="164"/>
      <c r="T812" s="164"/>
      <c r="U812" s="164"/>
      <c r="V812" s="164"/>
      <c r="W812" s="164"/>
      <c r="X812" s="164"/>
      <c r="Y812" s="164"/>
      <c r="Z812" s="164"/>
    </row>
    <row r="813">
      <c r="A813" s="164"/>
      <c r="B813" s="164"/>
      <c r="C813" s="164"/>
      <c r="D813" s="164"/>
      <c r="E813" s="164"/>
      <c r="F813" s="164"/>
      <c r="G813" s="164"/>
      <c r="H813" s="164"/>
      <c r="I813" s="164"/>
      <c r="J813" s="164"/>
      <c r="K813" s="164"/>
      <c r="L813" s="164"/>
      <c r="M813" s="164"/>
      <c r="N813" s="164"/>
      <c r="O813" s="164"/>
      <c r="P813" s="164"/>
      <c r="Q813" s="164"/>
      <c r="R813" s="164"/>
      <c r="S813" s="164"/>
      <c r="T813" s="164"/>
      <c r="U813" s="164"/>
      <c r="V813" s="164"/>
      <c r="W813" s="164"/>
      <c r="X813" s="164"/>
      <c r="Y813" s="164"/>
      <c r="Z813" s="164"/>
    </row>
    <row r="814">
      <c r="A814" s="164"/>
      <c r="B814" s="164"/>
      <c r="C814" s="164"/>
      <c r="D814" s="164"/>
      <c r="E814" s="164"/>
      <c r="F814" s="164"/>
      <c r="G814" s="164"/>
      <c r="H814" s="164"/>
      <c r="I814" s="164"/>
      <c r="J814" s="164"/>
      <c r="K814" s="164"/>
      <c r="L814" s="164"/>
      <c r="M814" s="164"/>
      <c r="N814" s="164"/>
      <c r="O814" s="164"/>
      <c r="P814" s="164"/>
      <c r="Q814" s="164"/>
      <c r="R814" s="164"/>
      <c r="S814" s="164"/>
      <c r="T814" s="164"/>
      <c r="U814" s="164"/>
      <c r="V814" s="164"/>
      <c r="W814" s="164"/>
      <c r="X814" s="164"/>
      <c r="Y814" s="164"/>
      <c r="Z814" s="164"/>
    </row>
    <row r="815">
      <c r="A815" s="164"/>
      <c r="B815" s="164"/>
      <c r="C815" s="164"/>
      <c r="D815" s="164"/>
      <c r="E815" s="164"/>
      <c r="F815" s="164"/>
      <c r="G815" s="164"/>
      <c r="H815" s="164"/>
      <c r="I815" s="164"/>
      <c r="J815" s="164"/>
      <c r="K815" s="164"/>
      <c r="L815" s="164"/>
      <c r="M815" s="164"/>
      <c r="N815" s="164"/>
      <c r="O815" s="164"/>
      <c r="P815" s="164"/>
      <c r="Q815" s="164"/>
      <c r="R815" s="164"/>
      <c r="S815" s="164"/>
      <c r="T815" s="164"/>
      <c r="U815" s="164"/>
      <c r="V815" s="164"/>
      <c r="W815" s="164"/>
      <c r="X815" s="164"/>
      <c r="Y815" s="164"/>
      <c r="Z815" s="164"/>
    </row>
    <row r="816">
      <c r="A816" s="164"/>
      <c r="B816" s="164"/>
      <c r="C816" s="164"/>
      <c r="D816" s="164"/>
      <c r="E816" s="164"/>
      <c r="F816" s="164"/>
      <c r="G816" s="164"/>
      <c r="H816" s="164"/>
      <c r="I816" s="164"/>
      <c r="J816" s="164"/>
      <c r="K816" s="164"/>
      <c r="L816" s="164"/>
      <c r="M816" s="164"/>
      <c r="N816" s="164"/>
      <c r="O816" s="164"/>
      <c r="P816" s="164"/>
      <c r="Q816" s="164"/>
      <c r="R816" s="164"/>
      <c r="S816" s="164"/>
      <c r="T816" s="164"/>
      <c r="U816" s="164"/>
      <c r="V816" s="164"/>
      <c r="W816" s="164"/>
      <c r="X816" s="164"/>
      <c r="Y816" s="164"/>
      <c r="Z816" s="164"/>
    </row>
    <row r="817">
      <c r="A817" s="164"/>
      <c r="B817" s="164"/>
      <c r="C817" s="164"/>
      <c r="D817" s="164"/>
      <c r="E817" s="164"/>
      <c r="F817" s="164"/>
      <c r="G817" s="164"/>
      <c r="H817" s="164"/>
      <c r="I817" s="164"/>
      <c r="J817" s="164"/>
      <c r="K817" s="164"/>
      <c r="L817" s="164"/>
      <c r="M817" s="164"/>
      <c r="N817" s="164"/>
      <c r="O817" s="164"/>
      <c r="P817" s="164"/>
      <c r="Q817" s="164"/>
      <c r="R817" s="164"/>
      <c r="S817" s="164"/>
      <c r="T817" s="164"/>
      <c r="U817" s="164"/>
      <c r="V817" s="164"/>
      <c r="W817" s="164"/>
      <c r="X817" s="164"/>
      <c r="Y817" s="164"/>
      <c r="Z817" s="164"/>
    </row>
    <row r="818">
      <c r="A818" s="164"/>
      <c r="B818" s="164"/>
      <c r="C818" s="164"/>
      <c r="D818" s="164"/>
      <c r="E818" s="164"/>
      <c r="F818" s="164"/>
      <c r="G818" s="164"/>
      <c r="H818" s="164"/>
      <c r="I818" s="164"/>
      <c r="J818" s="164"/>
      <c r="K818" s="164"/>
      <c r="L818" s="164"/>
      <c r="M818" s="164"/>
      <c r="N818" s="164"/>
      <c r="O818" s="164"/>
      <c r="P818" s="164"/>
      <c r="Q818" s="164"/>
      <c r="R818" s="164"/>
      <c r="S818" s="164"/>
      <c r="T818" s="164"/>
      <c r="U818" s="164"/>
      <c r="V818" s="164"/>
      <c r="W818" s="164"/>
      <c r="X818" s="164"/>
      <c r="Y818" s="164"/>
      <c r="Z818" s="164"/>
    </row>
    <row r="819">
      <c r="A819" s="164"/>
      <c r="B819" s="164"/>
      <c r="C819" s="164"/>
      <c r="D819" s="164"/>
      <c r="E819" s="164"/>
      <c r="F819" s="164"/>
      <c r="G819" s="164"/>
      <c r="H819" s="164"/>
      <c r="I819" s="164"/>
      <c r="J819" s="164"/>
      <c r="K819" s="164"/>
      <c r="L819" s="164"/>
      <c r="M819" s="164"/>
      <c r="N819" s="164"/>
      <c r="O819" s="164"/>
      <c r="P819" s="164"/>
      <c r="Q819" s="164"/>
      <c r="R819" s="164"/>
      <c r="S819" s="164"/>
      <c r="T819" s="164"/>
      <c r="U819" s="164"/>
      <c r="V819" s="164"/>
      <c r="W819" s="164"/>
      <c r="X819" s="164"/>
      <c r="Y819" s="164"/>
      <c r="Z819" s="164"/>
    </row>
    <row r="820">
      <c r="A820" s="164"/>
      <c r="B820" s="164"/>
      <c r="C820" s="164"/>
      <c r="D820" s="164"/>
      <c r="E820" s="164"/>
      <c r="F820" s="164"/>
      <c r="G820" s="164"/>
      <c r="H820" s="164"/>
      <c r="I820" s="164"/>
      <c r="J820" s="164"/>
      <c r="K820" s="164"/>
      <c r="L820" s="164"/>
      <c r="M820" s="164"/>
      <c r="N820" s="164"/>
      <c r="O820" s="164"/>
      <c r="P820" s="164"/>
      <c r="Q820" s="164"/>
      <c r="R820" s="164"/>
      <c r="S820" s="164"/>
      <c r="T820" s="164"/>
      <c r="U820" s="164"/>
      <c r="V820" s="164"/>
      <c r="W820" s="164"/>
      <c r="X820" s="164"/>
      <c r="Y820" s="164"/>
      <c r="Z820" s="164"/>
    </row>
    <row r="821">
      <c r="A821" s="164"/>
      <c r="B821" s="164"/>
      <c r="C821" s="164"/>
      <c r="D821" s="164"/>
      <c r="E821" s="164"/>
      <c r="F821" s="164"/>
      <c r="G821" s="164"/>
      <c r="H821" s="164"/>
      <c r="I821" s="164"/>
      <c r="J821" s="164"/>
      <c r="K821" s="164"/>
      <c r="L821" s="164"/>
      <c r="M821" s="164"/>
      <c r="N821" s="164"/>
      <c r="O821" s="164"/>
      <c r="P821" s="164"/>
      <c r="Q821" s="164"/>
      <c r="R821" s="164"/>
      <c r="S821" s="164"/>
      <c r="T821" s="164"/>
      <c r="U821" s="164"/>
      <c r="V821" s="164"/>
      <c r="W821" s="164"/>
      <c r="X821" s="164"/>
      <c r="Y821" s="164"/>
      <c r="Z821" s="164"/>
    </row>
    <row r="822">
      <c r="A822" s="164"/>
      <c r="B822" s="164"/>
      <c r="C822" s="164"/>
      <c r="D822" s="164"/>
      <c r="E822" s="164"/>
      <c r="F822" s="164"/>
      <c r="G822" s="164"/>
      <c r="H822" s="164"/>
      <c r="I822" s="164"/>
      <c r="J822" s="164"/>
      <c r="K822" s="164"/>
      <c r="L822" s="164"/>
      <c r="M822" s="164"/>
      <c r="N822" s="164"/>
      <c r="O822" s="164"/>
      <c r="P822" s="164"/>
      <c r="Q822" s="164"/>
      <c r="R822" s="164"/>
      <c r="S822" s="164"/>
      <c r="T822" s="164"/>
      <c r="U822" s="164"/>
      <c r="V822" s="164"/>
      <c r="W822" s="164"/>
      <c r="X822" s="164"/>
      <c r="Y822" s="164"/>
      <c r="Z822" s="164"/>
    </row>
    <row r="823">
      <c r="A823" s="164"/>
      <c r="B823" s="164"/>
      <c r="C823" s="164"/>
      <c r="D823" s="164"/>
      <c r="E823" s="164"/>
      <c r="F823" s="164"/>
      <c r="G823" s="164"/>
      <c r="H823" s="164"/>
      <c r="I823" s="164"/>
      <c r="J823" s="164"/>
      <c r="K823" s="164"/>
      <c r="L823" s="164"/>
      <c r="M823" s="164"/>
      <c r="N823" s="164"/>
      <c r="O823" s="164"/>
      <c r="P823" s="164"/>
      <c r="Q823" s="164"/>
      <c r="R823" s="164"/>
      <c r="S823" s="164"/>
      <c r="T823" s="164"/>
      <c r="U823" s="164"/>
      <c r="V823" s="164"/>
      <c r="W823" s="164"/>
      <c r="X823" s="164"/>
      <c r="Y823" s="164"/>
      <c r="Z823" s="164"/>
    </row>
    <row r="824">
      <c r="A824" s="164"/>
      <c r="B824" s="164"/>
      <c r="C824" s="164"/>
      <c r="D824" s="164"/>
      <c r="E824" s="164"/>
      <c r="F824" s="164"/>
      <c r="G824" s="164"/>
      <c r="H824" s="164"/>
      <c r="I824" s="164"/>
      <c r="J824" s="164"/>
      <c r="K824" s="164"/>
      <c r="L824" s="164"/>
      <c r="M824" s="164"/>
      <c r="N824" s="164"/>
      <c r="O824" s="164"/>
      <c r="P824" s="164"/>
      <c r="Q824" s="164"/>
      <c r="R824" s="164"/>
      <c r="S824" s="164"/>
      <c r="T824" s="164"/>
      <c r="U824" s="164"/>
      <c r="V824" s="164"/>
      <c r="W824" s="164"/>
      <c r="X824" s="164"/>
      <c r="Y824" s="164"/>
      <c r="Z824" s="164"/>
    </row>
    <row r="825">
      <c r="A825" s="164"/>
      <c r="B825" s="164"/>
      <c r="C825" s="164"/>
      <c r="D825" s="164"/>
      <c r="E825" s="164"/>
      <c r="F825" s="164"/>
      <c r="G825" s="164"/>
      <c r="H825" s="164"/>
      <c r="I825" s="164"/>
      <c r="J825" s="164"/>
      <c r="K825" s="164"/>
      <c r="L825" s="164"/>
      <c r="M825" s="164"/>
      <c r="N825" s="164"/>
      <c r="O825" s="164"/>
      <c r="P825" s="164"/>
      <c r="Q825" s="164"/>
      <c r="R825" s="164"/>
      <c r="S825" s="164"/>
      <c r="T825" s="164"/>
      <c r="U825" s="164"/>
      <c r="V825" s="164"/>
      <c r="W825" s="164"/>
      <c r="X825" s="164"/>
      <c r="Y825" s="164"/>
      <c r="Z825" s="164"/>
    </row>
    <row r="826">
      <c r="A826" s="164"/>
      <c r="B826" s="164"/>
      <c r="C826" s="164"/>
      <c r="D826" s="164"/>
      <c r="E826" s="164"/>
      <c r="F826" s="164"/>
      <c r="G826" s="164"/>
      <c r="H826" s="164"/>
      <c r="I826" s="164"/>
      <c r="J826" s="164"/>
      <c r="K826" s="164"/>
      <c r="L826" s="164"/>
      <c r="M826" s="164"/>
      <c r="N826" s="164"/>
      <c r="O826" s="164"/>
      <c r="P826" s="164"/>
      <c r="Q826" s="164"/>
      <c r="R826" s="164"/>
      <c r="S826" s="164"/>
      <c r="T826" s="164"/>
      <c r="U826" s="164"/>
      <c r="V826" s="164"/>
      <c r="W826" s="164"/>
      <c r="X826" s="164"/>
      <c r="Y826" s="164"/>
      <c r="Z826" s="164"/>
    </row>
    <row r="827">
      <c r="A827" s="164"/>
      <c r="B827" s="164"/>
      <c r="C827" s="164"/>
      <c r="D827" s="164"/>
      <c r="E827" s="164"/>
      <c r="F827" s="164"/>
      <c r="G827" s="164"/>
      <c r="H827" s="164"/>
      <c r="I827" s="164"/>
      <c r="J827" s="164"/>
      <c r="K827" s="164"/>
      <c r="L827" s="164"/>
      <c r="M827" s="164"/>
      <c r="N827" s="164"/>
      <c r="O827" s="164"/>
      <c r="P827" s="164"/>
      <c r="Q827" s="164"/>
      <c r="R827" s="164"/>
      <c r="S827" s="164"/>
      <c r="T827" s="164"/>
      <c r="U827" s="164"/>
      <c r="V827" s="164"/>
      <c r="W827" s="164"/>
      <c r="X827" s="164"/>
      <c r="Y827" s="164"/>
      <c r="Z827" s="164"/>
    </row>
    <row r="828">
      <c r="A828" s="164"/>
      <c r="B828" s="164"/>
      <c r="C828" s="164"/>
      <c r="D828" s="164"/>
      <c r="E828" s="164"/>
      <c r="F828" s="164"/>
      <c r="G828" s="164"/>
      <c r="H828" s="164"/>
      <c r="I828" s="164"/>
      <c r="J828" s="164"/>
      <c r="K828" s="164"/>
      <c r="L828" s="164"/>
      <c r="M828" s="164"/>
      <c r="N828" s="164"/>
      <c r="O828" s="164"/>
      <c r="P828" s="164"/>
      <c r="Q828" s="164"/>
      <c r="R828" s="164"/>
      <c r="S828" s="164"/>
      <c r="T828" s="164"/>
      <c r="U828" s="164"/>
      <c r="V828" s="164"/>
      <c r="W828" s="164"/>
      <c r="X828" s="164"/>
      <c r="Y828" s="164"/>
      <c r="Z828" s="164"/>
    </row>
    <row r="829">
      <c r="A829" s="164"/>
      <c r="B829" s="164"/>
      <c r="C829" s="164"/>
      <c r="D829" s="164"/>
      <c r="E829" s="164"/>
      <c r="F829" s="164"/>
      <c r="G829" s="164"/>
      <c r="H829" s="164"/>
      <c r="I829" s="164"/>
      <c r="J829" s="164"/>
      <c r="K829" s="164"/>
      <c r="L829" s="164"/>
      <c r="M829" s="164"/>
      <c r="N829" s="164"/>
      <c r="O829" s="164"/>
      <c r="P829" s="164"/>
      <c r="Q829" s="164"/>
      <c r="R829" s="164"/>
      <c r="S829" s="164"/>
      <c r="T829" s="164"/>
      <c r="U829" s="164"/>
      <c r="V829" s="164"/>
      <c r="W829" s="164"/>
      <c r="X829" s="164"/>
      <c r="Y829" s="164"/>
      <c r="Z829" s="164"/>
    </row>
    <row r="830">
      <c r="A830" s="164"/>
      <c r="B830" s="164"/>
      <c r="C830" s="164"/>
      <c r="D830" s="164"/>
      <c r="E830" s="164"/>
      <c r="F830" s="164"/>
      <c r="G830" s="164"/>
      <c r="H830" s="164"/>
      <c r="I830" s="164"/>
      <c r="J830" s="164"/>
      <c r="K830" s="164"/>
      <c r="L830" s="164"/>
      <c r="M830" s="164"/>
      <c r="N830" s="164"/>
      <c r="O830" s="164"/>
      <c r="P830" s="164"/>
      <c r="Q830" s="164"/>
      <c r="R830" s="164"/>
      <c r="S830" s="164"/>
      <c r="T830" s="164"/>
      <c r="U830" s="164"/>
      <c r="V830" s="164"/>
      <c r="W830" s="164"/>
      <c r="X830" s="164"/>
      <c r="Y830" s="164"/>
      <c r="Z830" s="164"/>
    </row>
    <row r="831">
      <c r="A831" s="164"/>
      <c r="B831" s="164"/>
      <c r="C831" s="164"/>
      <c r="D831" s="164"/>
      <c r="E831" s="164"/>
      <c r="F831" s="164"/>
      <c r="G831" s="164"/>
      <c r="H831" s="164"/>
      <c r="I831" s="164"/>
      <c r="J831" s="164"/>
      <c r="K831" s="164"/>
      <c r="L831" s="164"/>
      <c r="M831" s="164"/>
      <c r="N831" s="164"/>
      <c r="O831" s="164"/>
      <c r="P831" s="164"/>
      <c r="Q831" s="164"/>
      <c r="R831" s="164"/>
      <c r="S831" s="164"/>
      <c r="T831" s="164"/>
      <c r="U831" s="164"/>
      <c r="V831" s="164"/>
      <c r="W831" s="164"/>
      <c r="X831" s="164"/>
      <c r="Y831" s="164"/>
      <c r="Z831" s="164"/>
    </row>
    <row r="832">
      <c r="A832" s="164"/>
      <c r="B832" s="164"/>
      <c r="C832" s="164"/>
      <c r="D832" s="164"/>
      <c r="E832" s="164"/>
      <c r="F832" s="164"/>
      <c r="G832" s="164"/>
      <c r="H832" s="164"/>
      <c r="I832" s="164"/>
      <c r="J832" s="164"/>
      <c r="K832" s="164"/>
      <c r="L832" s="164"/>
      <c r="M832" s="164"/>
      <c r="N832" s="164"/>
      <c r="O832" s="164"/>
      <c r="P832" s="164"/>
      <c r="Q832" s="164"/>
      <c r="R832" s="164"/>
      <c r="S832" s="164"/>
      <c r="T832" s="164"/>
      <c r="U832" s="164"/>
      <c r="V832" s="164"/>
      <c r="W832" s="164"/>
      <c r="X832" s="164"/>
      <c r="Y832" s="164"/>
      <c r="Z832" s="164"/>
    </row>
    <row r="833">
      <c r="A833" s="164"/>
      <c r="B833" s="164"/>
      <c r="C833" s="164"/>
      <c r="D833" s="164"/>
      <c r="E833" s="164"/>
      <c r="F833" s="164"/>
      <c r="G833" s="164"/>
      <c r="H833" s="164"/>
      <c r="I833" s="164"/>
      <c r="J833" s="164"/>
      <c r="K833" s="164"/>
      <c r="L833" s="164"/>
      <c r="M833" s="164"/>
      <c r="N833" s="164"/>
      <c r="O833" s="164"/>
      <c r="P833" s="164"/>
      <c r="Q833" s="164"/>
      <c r="R833" s="164"/>
      <c r="S833" s="164"/>
      <c r="T833" s="164"/>
      <c r="U833" s="164"/>
      <c r="V833" s="164"/>
      <c r="W833" s="164"/>
      <c r="X833" s="164"/>
      <c r="Y833" s="164"/>
      <c r="Z833" s="164"/>
    </row>
    <row r="834">
      <c r="A834" s="164"/>
      <c r="B834" s="164"/>
      <c r="C834" s="164"/>
      <c r="D834" s="164"/>
      <c r="E834" s="164"/>
      <c r="F834" s="164"/>
      <c r="G834" s="164"/>
      <c r="H834" s="164"/>
      <c r="I834" s="164"/>
      <c r="J834" s="164"/>
      <c r="K834" s="164"/>
      <c r="L834" s="164"/>
      <c r="M834" s="164"/>
      <c r="N834" s="164"/>
      <c r="O834" s="164"/>
      <c r="P834" s="164"/>
      <c r="Q834" s="164"/>
      <c r="R834" s="164"/>
      <c r="S834" s="164"/>
      <c r="T834" s="164"/>
      <c r="U834" s="164"/>
      <c r="V834" s="164"/>
      <c r="W834" s="164"/>
      <c r="X834" s="164"/>
      <c r="Y834" s="164"/>
      <c r="Z834" s="164"/>
    </row>
    <row r="835">
      <c r="A835" s="164"/>
      <c r="B835" s="164"/>
      <c r="C835" s="164"/>
      <c r="D835" s="164"/>
      <c r="E835" s="164"/>
      <c r="F835" s="164"/>
      <c r="G835" s="164"/>
      <c r="H835" s="164"/>
      <c r="I835" s="164"/>
      <c r="J835" s="164"/>
      <c r="K835" s="164"/>
      <c r="L835" s="164"/>
      <c r="M835" s="164"/>
      <c r="N835" s="164"/>
      <c r="O835" s="164"/>
      <c r="P835" s="164"/>
      <c r="Q835" s="164"/>
      <c r="R835" s="164"/>
      <c r="S835" s="164"/>
      <c r="T835" s="164"/>
      <c r="U835" s="164"/>
      <c r="V835" s="164"/>
      <c r="W835" s="164"/>
      <c r="X835" s="164"/>
      <c r="Y835" s="164"/>
      <c r="Z835" s="164"/>
    </row>
    <row r="836">
      <c r="A836" s="164"/>
      <c r="B836" s="164"/>
      <c r="C836" s="164"/>
      <c r="D836" s="164"/>
      <c r="E836" s="164"/>
      <c r="F836" s="164"/>
      <c r="G836" s="164"/>
      <c r="H836" s="164"/>
      <c r="I836" s="164"/>
      <c r="J836" s="164"/>
      <c r="K836" s="164"/>
      <c r="L836" s="164"/>
      <c r="M836" s="164"/>
      <c r="N836" s="164"/>
      <c r="O836" s="164"/>
      <c r="P836" s="164"/>
      <c r="Q836" s="164"/>
      <c r="R836" s="164"/>
      <c r="S836" s="164"/>
      <c r="T836" s="164"/>
      <c r="U836" s="164"/>
      <c r="V836" s="164"/>
      <c r="W836" s="164"/>
      <c r="X836" s="164"/>
      <c r="Y836" s="164"/>
      <c r="Z836" s="164"/>
    </row>
    <row r="837">
      <c r="A837" s="164"/>
      <c r="B837" s="164"/>
      <c r="C837" s="164"/>
      <c r="D837" s="164"/>
      <c r="E837" s="164"/>
      <c r="F837" s="164"/>
      <c r="G837" s="164"/>
      <c r="H837" s="164"/>
      <c r="I837" s="164"/>
      <c r="J837" s="164"/>
      <c r="K837" s="164"/>
      <c r="L837" s="164"/>
      <c r="M837" s="164"/>
      <c r="N837" s="164"/>
      <c r="O837" s="164"/>
      <c r="P837" s="164"/>
      <c r="Q837" s="164"/>
      <c r="R837" s="164"/>
      <c r="S837" s="164"/>
      <c r="T837" s="164"/>
      <c r="U837" s="164"/>
      <c r="V837" s="164"/>
      <c r="W837" s="164"/>
      <c r="X837" s="164"/>
      <c r="Y837" s="164"/>
      <c r="Z837" s="164"/>
    </row>
    <row r="838">
      <c r="A838" s="164"/>
      <c r="B838" s="164"/>
      <c r="C838" s="164"/>
      <c r="D838" s="164"/>
      <c r="E838" s="164"/>
      <c r="F838" s="164"/>
      <c r="G838" s="164"/>
      <c r="H838" s="164"/>
      <c r="I838" s="164"/>
      <c r="J838" s="164"/>
      <c r="K838" s="164"/>
      <c r="L838" s="164"/>
      <c r="M838" s="164"/>
      <c r="N838" s="164"/>
      <c r="O838" s="164"/>
      <c r="P838" s="164"/>
      <c r="Q838" s="164"/>
      <c r="R838" s="164"/>
      <c r="S838" s="164"/>
      <c r="T838" s="164"/>
      <c r="U838" s="164"/>
      <c r="V838" s="164"/>
      <c r="W838" s="164"/>
      <c r="X838" s="164"/>
      <c r="Y838" s="164"/>
      <c r="Z838" s="164"/>
    </row>
    <row r="839">
      <c r="A839" s="164"/>
      <c r="B839" s="164"/>
      <c r="C839" s="164"/>
      <c r="D839" s="164"/>
      <c r="E839" s="164"/>
      <c r="F839" s="164"/>
      <c r="G839" s="164"/>
      <c r="H839" s="164"/>
      <c r="I839" s="164"/>
      <c r="J839" s="164"/>
      <c r="K839" s="164"/>
      <c r="L839" s="164"/>
      <c r="M839" s="164"/>
      <c r="N839" s="164"/>
      <c r="O839" s="164"/>
      <c r="P839" s="164"/>
      <c r="Q839" s="164"/>
      <c r="R839" s="164"/>
      <c r="S839" s="164"/>
      <c r="T839" s="164"/>
      <c r="U839" s="164"/>
      <c r="V839" s="164"/>
      <c r="W839" s="164"/>
      <c r="X839" s="164"/>
      <c r="Y839" s="164"/>
      <c r="Z839" s="164"/>
    </row>
    <row r="840">
      <c r="A840" s="164"/>
      <c r="B840" s="164"/>
      <c r="C840" s="164"/>
      <c r="D840" s="164"/>
      <c r="E840" s="164"/>
      <c r="F840" s="164"/>
      <c r="G840" s="164"/>
      <c r="H840" s="164"/>
      <c r="I840" s="164"/>
      <c r="J840" s="164"/>
      <c r="K840" s="164"/>
      <c r="L840" s="164"/>
      <c r="M840" s="164"/>
      <c r="N840" s="164"/>
      <c r="O840" s="164"/>
      <c r="P840" s="164"/>
      <c r="Q840" s="164"/>
      <c r="R840" s="164"/>
      <c r="S840" s="164"/>
      <c r="T840" s="164"/>
      <c r="U840" s="164"/>
      <c r="V840" s="164"/>
      <c r="W840" s="164"/>
      <c r="X840" s="164"/>
      <c r="Y840" s="164"/>
      <c r="Z840" s="164"/>
    </row>
    <row r="841">
      <c r="A841" s="164"/>
      <c r="B841" s="164"/>
      <c r="C841" s="164"/>
      <c r="D841" s="164"/>
      <c r="E841" s="164"/>
      <c r="F841" s="164"/>
      <c r="G841" s="164"/>
      <c r="H841" s="164"/>
      <c r="I841" s="164"/>
      <c r="J841" s="164"/>
      <c r="K841" s="164"/>
      <c r="L841" s="164"/>
      <c r="M841" s="164"/>
      <c r="N841" s="164"/>
      <c r="O841" s="164"/>
      <c r="P841" s="164"/>
      <c r="Q841" s="164"/>
      <c r="R841" s="164"/>
      <c r="S841" s="164"/>
      <c r="T841" s="164"/>
      <c r="U841" s="164"/>
      <c r="V841" s="164"/>
      <c r="W841" s="164"/>
      <c r="X841" s="164"/>
      <c r="Y841" s="164"/>
      <c r="Z841" s="164"/>
    </row>
    <row r="842">
      <c r="A842" s="164"/>
      <c r="B842" s="164"/>
      <c r="C842" s="164"/>
      <c r="D842" s="164"/>
      <c r="E842" s="164"/>
      <c r="F842" s="164"/>
      <c r="G842" s="164"/>
      <c r="H842" s="164"/>
      <c r="I842" s="164"/>
      <c r="J842" s="164"/>
      <c r="K842" s="164"/>
      <c r="L842" s="164"/>
      <c r="M842" s="164"/>
      <c r="N842" s="164"/>
      <c r="O842" s="164"/>
      <c r="P842" s="164"/>
      <c r="Q842" s="164"/>
      <c r="R842" s="164"/>
      <c r="S842" s="164"/>
      <c r="T842" s="164"/>
      <c r="U842" s="164"/>
      <c r="V842" s="164"/>
      <c r="W842" s="164"/>
      <c r="X842" s="164"/>
      <c r="Y842" s="164"/>
      <c r="Z842" s="164"/>
    </row>
    <row r="843">
      <c r="A843" s="164"/>
      <c r="B843" s="164"/>
      <c r="C843" s="164"/>
      <c r="D843" s="164"/>
      <c r="E843" s="164"/>
      <c r="F843" s="164"/>
      <c r="G843" s="164"/>
      <c r="H843" s="164"/>
      <c r="I843" s="164"/>
      <c r="J843" s="164"/>
      <c r="K843" s="164"/>
      <c r="L843" s="164"/>
      <c r="M843" s="164"/>
      <c r="N843" s="164"/>
      <c r="O843" s="164"/>
      <c r="P843" s="164"/>
      <c r="Q843" s="164"/>
      <c r="R843" s="164"/>
      <c r="S843" s="164"/>
      <c r="T843" s="164"/>
      <c r="U843" s="164"/>
      <c r="V843" s="164"/>
      <c r="W843" s="164"/>
      <c r="X843" s="164"/>
      <c r="Y843" s="164"/>
      <c r="Z843" s="164"/>
    </row>
    <row r="844">
      <c r="A844" s="164"/>
      <c r="B844" s="164"/>
      <c r="C844" s="164"/>
      <c r="D844" s="164"/>
      <c r="E844" s="164"/>
      <c r="F844" s="164"/>
      <c r="G844" s="164"/>
      <c r="H844" s="164"/>
      <c r="I844" s="164"/>
      <c r="J844" s="164"/>
      <c r="K844" s="164"/>
      <c r="L844" s="164"/>
      <c r="M844" s="164"/>
      <c r="N844" s="164"/>
      <c r="O844" s="164"/>
      <c r="P844" s="164"/>
      <c r="Q844" s="164"/>
      <c r="R844" s="164"/>
      <c r="S844" s="164"/>
      <c r="T844" s="164"/>
      <c r="U844" s="164"/>
      <c r="V844" s="164"/>
      <c r="W844" s="164"/>
      <c r="X844" s="164"/>
      <c r="Y844" s="164"/>
      <c r="Z844" s="164"/>
    </row>
    <row r="845">
      <c r="A845" s="164"/>
      <c r="B845" s="164"/>
      <c r="C845" s="164"/>
      <c r="D845" s="164"/>
      <c r="E845" s="164"/>
      <c r="F845" s="164"/>
      <c r="G845" s="164"/>
      <c r="H845" s="164"/>
      <c r="I845" s="164"/>
      <c r="J845" s="164"/>
      <c r="K845" s="164"/>
      <c r="L845" s="164"/>
      <c r="M845" s="164"/>
      <c r="N845" s="164"/>
      <c r="O845" s="164"/>
      <c r="P845" s="164"/>
      <c r="Q845" s="164"/>
      <c r="R845" s="164"/>
      <c r="S845" s="164"/>
      <c r="T845" s="164"/>
      <c r="U845" s="164"/>
      <c r="V845" s="164"/>
      <c r="W845" s="164"/>
      <c r="X845" s="164"/>
      <c r="Y845" s="164"/>
      <c r="Z845" s="164"/>
    </row>
    <row r="846">
      <c r="A846" s="164"/>
      <c r="B846" s="164"/>
      <c r="C846" s="164"/>
      <c r="D846" s="164"/>
      <c r="E846" s="164"/>
      <c r="F846" s="164"/>
      <c r="G846" s="164"/>
      <c r="H846" s="164"/>
      <c r="I846" s="164"/>
      <c r="J846" s="164"/>
      <c r="K846" s="164"/>
      <c r="L846" s="164"/>
      <c r="M846" s="164"/>
      <c r="N846" s="164"/>
      <c r="O846" s="164"/>
      <c r="P846" s="164"/>
      <c r="Q846" s="164"/>
      <c r="R846" s="164"/>
      <c r="S846" s="164"/>
      <c r="T846" s="164"/>
      <c r="U846" s="164"/>
      <c r="V846" s="164"/>
      <c r="W846" s="164"/>
      <c r="X846" s="164"/>
      <c r="Y846" s="164"/>
      <c r="Z846" s="164"/>
    </row>
    <row r="847">
      <c r="A847" s="164"/>
      <c r="B847" s="164"/>
      <c r="C847" s="164"/>
      <c r="D847" s="164"/>
      <c r="E847" s="164"/>
      <c r="F847" s="164"/>
      <c r="G847" s="164"/>
      <c r="H847" s="164"/>
      <c r="I847" s="164"/>
      <c r="J847" s="164"/>
      <c r="K847" s="164"/>
      <c r="L847" s="164"/>
      <c r="M847" s="164"/>
      <c r="N847" s="164"/>
      <c r="O847" s="164"/>
      <c r="P847" s="164"/>
      <c r="Q847" s="164"/>
      <c r="R847" s="164"/>
      <c r="S847" s="164"/>
      <c r="T847" s="164"/>
      <c r="U847" s="164"/>
      <c r="V847" s="164"/>
      <c r="W847" s="164"/>
      <c r="X847" s="164"/>
      <c r="Y847" s="164"/>
      <c r="Z847" s="164"/>
    </row>
    <row r="848">
      <c r="A848" s="164"/>
      <c r="B848" s="164"/>
      <c r="C848" s="164"/>
      <c r="D848" s="164"/>
      <c r="E848" s="164"/>
      <c r="F848" s="164"/>
      <c r="G848" s="164"/>
      <c r="H848" s="164"/>
      <c r="I848" s="164"/>
      <c r="J848" s="164"/>
      <c r="K848" s="164"/>
      <c r="L848" s="164"/>
      <c r="M848" s="164"/>
      <c r="N848" s="164"/>
      <c r="O848" s="164"/>
      <c r="P848" s="164"/>
      <c r="Q848" s="164"/>
      <c r="R848" s="164"/>
      <c r="S848" s="164"/>
      <c r="T848" s="164"/>
      <c r="U848" s="164"/>
      <c r="V848" s="164"/>
      <c r="W848" s="164"/>
      <c r="X848" s="164"/>
      <c r="Y848" s="164"/>
      <c r="Z848" s="164"/>
    </row>
    <row r="849">
      <c r="A849" s="164"/>
      <c r="B849" s="164"/>
      <c r="C849" s="164"/>
      <c r="D849" s="164"/>
      <c r="E849" s="164"/>
      <c r="F849" s="164"/>
      <c r="G849" s="164"/>
      <c r="H849" s="164"/>
      <c r="I849" s="164"/>
      <c r="J849" s="164"/>
      <c r="K849" s="164"/>
      <c r="L849" s="164"/>
      <c r="M849" s="164"/>
      <c r="N849" s="164"/>
      <c r="O849" s="164"/>
      <c r="P849" s="164"/>
      <c r="Q849" s="164"/>
      <c r="R849" s="164"/>
      <c r="S849" s="164"/>
      <c r="T849" s="164"/>
      <c r="U849" s="164"/>
      <c r="V849" s="164"/>
      <c r="W849" s="164"/>
      <c r="X849" s="164"/>
      <c r="Y849" s="164"/>
      <c r="Z849" s="164"/>
    </row>
    <row r="850">
      <c r="A850" s="164"/>
      <c r="B850" s="164"/>
      <c r="C850" s="164"/>
      <c r="D850" s="164"/>
      <c r="E850" s="164"/>
      <c r="F850" s="164"/>
      <c r="G850" s="164"/>
      <c r="H850" s="164"/>
      <c r="I850" s="164"/>
      <c r="J850" s="164"/>
      <c r="K850" s="164"/>
      <c r="L850" s="164"/>
      <c r="M850" s="164"/>
      <c r="N850" s="164"/>
      <c r="O850" s="164"/>
      <c r="P850" s="164"/>
      <c r="Q850" s="164"/>
      <c r="R850" s="164"/>
      <c r="S850" s="164"/>
      <c r="T850" s="164"/>
      <c r="U850" s="164"/>
      <c r="V850" s="164"/>
      <c r="W850" s="164"/>
      <c r="X850" s="164"/>
      <c r="Y850" s="164"/>
      <c r="Z850" s="164"/>
    </row>
    <row r="851">
      <c r="A851" s="164"/>
      <c r="B851" s="164"/>
      <c r="C851" s="164"/>
      <c r="D851" s="164"/>
      <c r="E851" s="164"/>
      <c r="F851" s="164"/>
      <c r="G851" s="164"/>
      <c r="H851" s="164"/>
      <c r="I851" s="164"/>
      <c r="J851" s="164"/>
      <c r="K851" s="164"/>
      <c r="L851" s="164"/>
      <c r="M851" s="164"/>
      <c r="N851" s="164"/>
      <c r="O851" s="164"/>
      <c r="P851" s="164"/>
      <c r="Q851" s="164"/>
      <c r="R851" s="164"/>
      <c r="S851" s="164"/>
      <c r="T851" s="164"/>
      <c r="U851" s="164"/>
      <c r="V851" s="164"/>
      <c r="W851" s="164"/>
      <c r="X851" s="164"/>
      <c r="Y851" s="164"/>
      <c r="Z851" s="164"/>
    </row>
    <row r="852">
      <c r="A852" s="164"/>
      <c r="B852" s="164"/>
      <c r="C852" s="164"/>
      <c r="D852" s="164"/>
      <c r="E852" s="164"/>
      <c r="F852" s="164"/>
      <c r="G852" s="164"/>
      <c r="H852" s="164"/>
      <c r="I852" s="164"/>
      <c r="J852" s="164"/>
      <c r="K852" s="164"/>
      <c r="L852" s="164"/>
      <c r="M852" s="164"/>
      <c r="N852" s="164"/>
      <c r="O852" s="164"/>
      <c r="P852" s="164"/>
      <c r="Q852" s="164"/>
      <c r="R852" s="164"/>
      <c r="S852" s="164"/>
      <c r="T852" s="164"/>
      <c r="U852" s="164"/>
      <c r="V852" s="164"/>
      <c r="W852" s="164"/>
      <c r="X852" s="164"/>
      <c r="Y852" s="164"/>
      <c r="Z852" s="164"/>
    </row>
    <row r="853">
      <c r="A853" s="164"/>
      <c r="B853" s="164"/>
      <c r="C853" s="164"/>
      <c r="D853" s="164"/>
      <c r="E853" s="164"/>
      <c r="F853" s="164"/>
      <c r="G853" s="164"/>
      <c r="H853" s="164"/>
      <c r="I853" s="164"/>
      <c r="J853" s="164"/>
      <c r="K853" s="164"/>
      <c r="L853" s="164"/>
      <c r="M853" s="164"/>
      <c r="N853" s="164"/>
      <c r="O853" s="164"/>
      <c r="P853" s="164"/>
      <c r="Q853" s="164"/>
      <c r="R853" s="164"/>
      <c r="S853" s="164"/>
      <c r="T853" s="164"/>
      <c r="U853" s="164"/>
      <c r="V853" s="164"/>
      <c r="W853" s="164"/>
      <c r="X853" s="164"/>
      <c r="Y853" s="164"/>
      <c r="Z853" s="164"/>
    </row>
    <row r="854">
      <c r="A854" s="164"/>
      <c r="B854" s="164"/>
      <c r="C854" s="164"/>
      <c r="D854" s="164"/>
      <c r="E854" s="164"/>
      <c r="F854" s="164"/>
      <c r="G854" s="164"/>
      <c r="H854" s="164"/>
      <c r="I854" s="164"/>
      <c r="J854" s="164"/>
      <c r="K854" s="164"/>
      <c r="L854" s="164"/>
      <c r="M854" s="164"/>
      <c r="N854" s="164"/>
      <c r="O854" s="164"/>
      <c r="P854" s="164"/>
      <c r="Q854" s="164"/>
      <c r="R854" s="164"/>
      <c r="S854" s="164"/>
      <c r="T854" s="164"/>
      <c r="U854" s="164"/>
      <c r="V854" s="164"/>
      <c r="W854" s="164"/>
      <c r="X854" s="164"/>
      <c r="Y854" s="164"/>
      <c r="Z854" s="164"/>
    </row>
    <row r="855">
      <c r="A855" s="164"/>
      <c r="B855" s="164"/>
      <c r="C855" s="164"/>
      <c r="D855" s="164"/>
      <c r="E855" s="164"/>
      <c r="F855" s="164"/>
      <c r="G855" s="164"/>
      <c r="H855" s="164"/>
      <c r="I855" s="164"/>
      <c r="J855" s="164"/>
      <c r="K855" s="164"/>
      <c r="L855" s="164"/>
      <c r="M855" s="164"/>
      <c r="N855" s="164"/>
      <c r="O855" s="164"/>
      <c r="P855" s="164"/>
      <c r="Q855" s="164"/>
      <c r="R855" s="164"/>
      <c r="S855" s="164"/>
      <c r="T855" s="164"/>
      <c r="U855" s="164"/>
      <c r="V855" s="164"/>
      <c r="W855" s="164"/>
      <c r="X855" s="164"/>
      <c r="Y855" s="164"/>
      <c r="Z855" s="164"/>
    </row>
    <row r="856">
      <c r="A856" s="164"/>
      <c r="B856" s="164"/>
      <c r="C856" s="164"/>
      <c r="D856" s="164"/>
      <c r="E856" s="164"/>
      <c r="F856" s="164"/>
      <c r="G856" s="164"/>
      <c r="H856" s="164"/>
      <c r="I856" s="164"/>
      <c r="J856" s="164"/>
      <c r="K856" s="164"/>
      <c r="L856" s="164"/>
      <c r="M856" s="164"/>
      <c r="N856" s="164"/>
      <c r="O856" s="164"/>
      <c r="P856" s="164"/>
      <c r="Q856" s="164"/>
      <c r="R856" s="164"/>
      <c r="S856" s="164"/>
      <c r="T856" s="164"/>
      <c r="U856" s="164"/>
      <c r="V856" s="164"/>
      <c r="W856" s="164"/>
      <c r="X856" s="164"/>
      <c r="Y856" s="164"/>
      <c r="Z856" s="164"/>
    </row>
    <row r="857">
      <c r="A857" s="164"/>
      <c r="B857" s="164"/>
      <c r="C857" s="164"/>
      <c r="D857" s="164"/>
      <c r="E857" s="164"/>
      <c r="F857" s="164"/>
      <c r="G857" s="164"/>
      <c r="H857" s="164"/>
      <c r="I857" s="164"/>
      <c r="J857" s="164"/>
      <c r="K857" s="164"/>
      <c r="L857" s="164"/>
      <c r="M857" s="164"/>
      <c r="N857" s="164"/>
      <c r="O857" s="164"/>
      <c r="P857" s="164"/>
      <c r="Q857" s="164"/>
      <c r="R857" s="164"/>
      <c r="S857" s="164"/>
      <c r="T857" s="164"/>
      <c r="U857" s="164"/>
      <c r="V857" s="164"/>
      <c r="W857" s="164"/>
      <c r="X857" s="164"/>
      <c r="Y857" s="164"/>
      <c r="Z857" s="164"/>
    </row>
    <row r="858">
      <c r="A858" s="164"/>
      <c r="B858" s="164"/>
      <c r="C858" s="164"/>
      <c r="D858" s="164"/>
      <c r="E858" s="164"/>
      <c r="F858" s="164"/>
      <c r="G858" s="164"/>
      <c r="H858" s="164"/>
      <c r="I858" s="164"/>
      <c r="J858" s="164"/>
      <c r="K858" s="164"/>
      <c r="L858" s="164"/>
      <c r="M858" s="164"/>
      <c r="N858" s="164"/>
      <c r="O858" s="164"/>
      <c r="P858" s="164"/>
      <c r="Q858" s="164"/>
      <c r="R858" s="164"/>
      <c r="S858" s="164"/>
      <c r="T858" s="164"/>
      <c r="U858" s="164"/>
      <c r="V858" s="164"/>
      <c r="W858" s="164"/>
      <c r="X858" s="164"/>
      <c r="Y858" s="164"/>
      <c r="Z858" s="164"/>
    </row>
    <row r="859">
      <c r="A859" s="164"/>
      <c r="B859" s="164"/>
      <c r="C859" s="164"/>
      <c r="D859" s="164"/>
      <c r="E859" s="164"/>
      <c r="F859" s="164"/>
      <c r="G859" s="164"/>
      <c r="H859" s="164"/>
      <c r="I859" s="164"/>
      <c r="J859" s="164"/>
      <c r="K859" s="164"/>
      <c r="L859" s="164"/>
      <c r="M859" s="164"/>
      <c r="N859" s="164"/>
      <c r="O859" s="164"/>
      <c r="P859" s="164"/>
      <c r="Q859" s="164"/>
      <c r="R859" s="164"/>
      <c r="S859" s="164"/>
      <c r="T859" s="164"/>
      <c r="U859" s="164"/>
      <c r="V859" s="164"/>
      <c r="W859" s="164"/>
      <c r="X859" s="164"/>
      <c r="Y859" s="164"/>
      <c r="Z859" s="164"/>
    </row>
    <row r="860">
      <c r="A860" s="164"/>
      <c r="B860" s="164"/>
      <c r="C860" s="164"/>
      <c r="D860" s="164"/>
      <c r="E860" s="164"/>
      <c r="F860" s="164"/>
      <c r="G860" s="164"/>
      <c r="H860" s="164"/>
      <c r="I860" s="164"/>
      <c r="J860" s="164"/>
      <c r="K860" s="164"/>
      <c r="L860" s="164"/>
      <c r="M860" s="164"/>
      <c r="N860" s="164"/>
      <c r="O860" s="164"/>
      <c r="P860" s="164"/>
      <c r="Q860" s="164"/>
      <c r="R860" s="164"/>
      <c r="S860" s="164"/>
      <c r="T860" s="164"/>
      <c r="U860" s="164"/>
      <c r="V860" s="164"/>
      <c r="W860" s="164"/>
      <c r="X860" s="164"/>
      <c r="Y860" s="164"/>
      <c r="Z860" s="164"/>
    </row>
    <row r="861">
      <c r="A861" s="164"/>
      <c r="B861" s="164"/>
      <c r="C861" s="164"/>
      <c r="D861" s="164"/>
      <c r="E861" s="164"/>
      <c r="F861" s="164"/>
      <c r="G861" s="164"/>
      <c r="H861" s="164"/>
      <c r="I861" s="164"/>
      <c r="J861" s="164"/>
      <c r="K861" s="164"/>
      <c r="L861" s="164"/>
      <c r="M861" s="164"/>
      <c r="N861" s="164"/>
      <c r="O861" s="164"/>
      <c r="P861" s="164"/>
      <c r="Q861" s="164"/>
      <c r="R861" s="164"/>
      <c r="S861" s="164"/>
      <c r="T861" s="164"/>
      <c r="U861" s="164"/>
      <c r="V861" s="164"/>
      <c r="W861" s="164"/>
      <c r="X861" s="164"/>
      <c r="Y861" s="164"/>
      <c r="Z861" s="164"/>
    </row>
    <row r="862">
      <c r="A862" s="164"/>
      <c r="B862" s="164"/>
      <c r="C862" s="164"/>
      <c r="D862" s="164"/>
      <c r="E862" s="164"/>
      <c r="F862" s="164"/>
      <c r="G862" s="164"/>
      <c r="H862" s="164"/>
      <c r="I862" s="164"/>
      <c r="J862" s="164"/>
      <c r="K862" s="164"/>
      <c r="L862" s="164"/>
      <c r="M862" s="164"/>
      <c r="N862" s="164"/>
      <c r="O862" s="164"/>
      <c r="P862" s="164"/>
      <c r="Q862" s="164"/>
      <c r="R862" s="164"/>
      <c r="S862" s="164"/>
      <c r="T862" s="164"/>
      <c r="U862" s="164"/>
      <c r="V862" s="164"/>
      <c r="W862" s="164"/>
      <c r="X862" s="164"/>
      <c r="Y862" s="164"/>
      <c r="Z862" s="164"/>
    </row>
    <row r="863">
      <c r="A863" s="164"/>
      <c r="B863" s="164"/>
      <c r="C863" s="164"/>
      <c r="D863" s="164"/>
      <c r="E863" s="164"/>
      <c r="F863" s="164"/>
      <c r="G863" s="164"/>
      <c r="H863" s="164"/>
      <c r="I863" s="164"/>
      <c r="J863" s="164"/>
      <c r="K863" s="164"/>
      <c r="L863" s="164"/>
      <c r="M863" s="164"/>
      <c r="N863" s="164"/>
      <c r="O863" s="164"/>
      <c r="P863" s="164"/>
      <c r="Q863" s="164"/>
      <c r="R863" s="164"/>
      <c r="S863" s="164"/>
      <c r="T863" s="164"/>
      <c r="U863" s="164"/>
      <c r="V863" s="164"/>
      <c r="W863" s="164"/>
      <c r="X863" s="164"/>
      <c r="Y863" s="164"/>
      <c r="Z863" s="164"/>
    </row>
    <row r="864">
      <c r="A864" s="164"/>
      <c r="B864" s="164"/>
      <c r="C864" s="164"/>
      <c r="D864" s="164"/>
      <c r="E864" s="164"/>
      <c r="F864" s="164"/>
      <c r="G864" s="164"/>
      <c r="H864" s="164"/>
      <c r="I864" s="164"/>
      <c r="J864" s="164"/>
      <c r="K864" s="164"/>
      <c r="L864" s="164"/>
      <c r="M864" s="164"/>
      <c r="N864" s="164"/>
      <c r="O864" s="164"/>
      <c r="P864" s="164"/>
      <c r="Q864" s="164"/>
      <c r="R864" s="164"/>
      <c r="S864" s="164"/>
      <c r="T864" s="164"/>
      <c r="U864" s="164"/>
      <c r="V864" s="164"/>
      <c r="W864" s="164"/>
      <c r="X864" s="164"/>
      <c r="Y864" s="164"/>
      <c r="Z864" s="164"/>
    </row>
    <row r="865">
      <c r="A865" s="164"/>
      <c r="B865" s="164"/>
      <c r="C865" s="164"/>
      <c r="D865" s="164"/>
      <c r="E865" s="164"/>
      <c r="F865" s="164"/>
      <c r="G865" s="164"/>
      <c r="H865" s="164"/>
      <c r="I865" s="164"/>
      <c r="J865" s="164"/>
      <c r="K865" s="164"/>
      <c r="L865" s="164"/>
      <c r="M865" s="164"/>
      <c r="N865" s="164"/>
      <c r="O865" s="164"/>
      <c r="P865" s="164"/>
      <c r="Q865" s="164"/>
      <c r="R865" s="164"/>
      <c r="S865" s="164"/>
      <c r="T865" s="164"/>
      <c r="U865" s="164"/>
      <c r="V865" s="164"/>
      <c r="W865" s="164"/>
      <c r="X865" s="164"/>
      <c r="Y865" s="164"/>
      <c r="Z865" s="164"/>
    </row>
    <row r="866">
      <c r="A866" s="164"/>
      <c r="B866" s="164"/>
      <c r="C866" s="164"/>
      <c r="D866" s="164"/>
      <c r="E866" s="164"/>
      <c r="F866" s="164"/>
      <c r="G866" s="164"/>
      <c r="H866" s="164"/>
      <c r="I866" s="164"/>
      <c r="J866" s="164"/>
      <c r="K866" s="164"/>
      <c r="L866" s="164"/>
      <c r="M866" s="164"/>
      <c r="N866" s="164"/>
      <c r="O866" s="164"/>
      <c r="P866" s="164"/>
      <c r="Q866" s="164"/>
      <c r="R866" s="164"/>
      <c r="S866" s="164"/>
      <c r="T866" s="164"/>
      <c r="U866" s="164"/>
      <c r="V866" s="164"/>
      <c r="W866" s="164"/>
      <c r="X866" s="164"/>
      <c r="Y866" s="164"/>
      <c r="Z866" s="164"/>
    </row>
    <row r="867">
      <c r="A867" s="164"/>
      <c r="B867" s="164"/>
      <c r="C867" s="164"/>
      <c r="D867" s="164"/>
      <c r="E867" s="164"/>
      <c r="F867" s="164"/>
      <c r="G867" s="164"/>
      <c r="H867" s="164"/>
      <c r="I867" s="164"/>
      <c r="J867" s="164"/>
      <c r="K867" s="164"/>
      <c r="L867" s="164"/>
      <c r="M867" s="164"/>
      <c r="N867" s="164"/>
      <c r="O867" s="164"/>
      <c r="P867" s="164"/>
      <c r="Q867" s="164"/>
      <c r="R867" s="164"/>
      <c r="S867" s="164"/>
      <c r="T867" s="164"/>
      <c r="U867" s="164"/>
      <c r="V867" s="164"/>
      <c r="W867" s="164"/>
      <c r="X867" s="164"/>
      <c r="Y867" s="164"/>
      <c r="Z867" s="164"/>
    </row>
    <row r="868">
      <c r="A868" s="164"/>
      <c r="B868" s="164"/>
      <c r="C868" s="164"/>
      <c r="D868" s="164"/>
      <c r="E868" s="164"/>
      <c r="F868" s="164"/>
      <c r="G868" s="164"/>
      <c r="H868" s="164"/>
      <c r="I868" s="164"/>
      <c r="J868" s="164"/>
      <c r="K868" s="164"/>
      <c r="L868" s="164"/>
      <c r="M868" s="164"/>
      <c r="N868" s="164"/>
      <c r="O868" s="164"/>
      <c r="P868" s="164"/>
      <c r="Q868" s="164"/>
      <c r="R868" s="164"/>
      <c r="S868" s="164"/>
      <c r="T868" s="164"/>
      <c r="U868" s="164"/>
      <c r="V868" s="164"/>
      <c r="W868" s="164"/>
      <c r="X868" s="164"/>
      <c r="Y868" s="164"/>
      <c r="Z868" s="164"/>
    </row>
    <row r="869">
      <c r="A869" s="164"/>
      <c r="B869" s="164"/>
      <c r="C869" s="164"/>
      <c r="D869" s="164"/>
      <c r="E869" s="164"/>
      <c r="F869" s="164"/>
      <c r="G869" s="164"/>
      <c r="H869" s="164"/>
      <c r="I869" s="164"/>
      <c r="J869" s="164"/>
      <c r="K869" s="164"/>
      <c r="L869" s="164"/>
      <c r="M869" s="164"/>
      <c r="N869" s="164"/>
      <c r="O869" s="164"/>
      <c r="P869" s="164"/>
      <c r="Q869" s="164"/>
      <c r="R869" s="164"/>
      <c r="S869" s="164"/>
      <c r="T869" s="164"/>
      <c r="U869" s="164"/>
      <c r="V869" s="164"/>
      <c r="W869" s="164"/>
      <c r="X869" s="164"/>
      <c r="Y869" s="164"/>
      <c r="Z869" s="164"/>
    </row>
    <row r="870">
      <c r="A870" s="164"/>
      <c r="B870" s="164"/>
      <c r="C870" s="164"/>
      <c r="D870" s="164"/>
      <c r="E870" s="164"/>
      <c r="F870" s="164"/>
      <c r="G870" s="164"/>
      <c r="H870" s="164"/>
      <c r="I870" s="164"/>
      <c r="J870" s="164"/>
      <c r="K870" s="164"/>
      <c r="L870" s="164"/>
      <c r="M870" s="164"/>
      <c r="N870" s="164"/>
      <c r="O870" s="164"/>
      <c r="P870" s="164"/>
      <c r="Q870" s="164"/>
      <c r="R870" s="164"/>
      <c r="S870" s="164"/>
      <c r="T870" s="164"/>
      <c r="U870" s="164"/>
      <c r="V870" s="164"/>
      <c r="W870" s="164"/>
      <c r="X870" s="164"/>
      <c r="Y870" s="164"/>
      <c r="Z870" s="164"/>
    </row>
    <row r="871">
      <c r="A871" s="164"/>
      <c r="B871" s="164"/>
      <c r="C871" s="164"/>
      <c r="D871" s="164"/>
      <c r="E871" s="164"/>
      <c r="F871" s="164"/>
      <c r="G871" s="164"/>
      <c r="H871" s="164"/>
      <c r="I871" s="164"/>
      <c r="J871" s="164"/>
      <c r="K871" s="164"/>
      <c r="L871" s="164"/>
      <c r="M871" s="164"/>
      <c r="N871" s="164"/>
      <c r="O871" s="164"/>
      <c r="P871" s="164"/>
      <c r="Q871" s="164"/>
      <c r="R871" s="164"/>
      <c r="S871" s="164"/>
      <c r="T871" s="164"/>
      <c r="U871" s="164"/>
      <c r="V871" s="164"/>
      <c r="W871" s="164"/>
      <c r="X871" s="164"/>
      <c r="Y871" s="164"/>
      <c r="Z871" s="164"/>
    </row>
    <row r="872">
      <c r="A872" s="164"/>
      <c r="B872" s="164"/>
      <c r="C872" s="164"/>
      <c r="D872" s="164"/>
      <c r="E872" s="164"/>
      <c r="F872" s="164"/>
      <c r="G872" s="164"/>
      <c r="H872" s="164"/>
      <c r="I872" s="164"/>
      <c r="J872" s="164"/>
      <c r="K872" s="164"/>
      <c r="L872" s="164"/>
      <c r="M872" s="164"/>
      <c r="N872" s="164"/>
      <c r="O872" s="164"/>
      <c r="P872" s="164"/>
      <c r="Q872" s="164"/>
      <c r="R872" s="164"/>
      <c r="S872" s="164"/>
      <c r="T872" s="164"/>
      <c r="U872" s="164"/>
      <c r="V872" s="164"/>
      <c r="W872" s="164"/>
      <c r="X872" s="164"/>
      <c r="Y872" s="164"/>
      <c r="Z872" s="164"/>
    </row>
    <row r="873">
      <c r="A873" s="164"/>
      <c r="B873" s="164"/>
      <c r="C873" s="164"/>
      <c r="D873" s="164"/>
      <c r="E873" s="164"/>
      <c r="F873" s="164"/>
      <c r="G873" s="164"/>
      <c r="H873" s="164"/>
      <c r="I873" s="164"/>
      <c r="J873" s="164"/>
      <c r="K873" s="164"/>
      <c r="L873" s="164"/>
      <c r="M873" s="164"/>
      <c r="N873" s="164"/>
      <c r="O873" s="164"/>
      <c r="P873" s="164"/>
      <c r="Q873" s="164"/>
      <c r="R873" s="164"/>
      <c r="S873" s="164"/>
      <c r="T873" s="164"/>
      <c r="U873" s="164"/>
      <c r="V873" s="164"/>
      <c r="W873" s="164"/>
      <c r="X873" s="164"/>
      <c r="Y873" s="164"/>
      <c r="Z873" s="164"/>
    </row>
    <row r="874">
      <c r="A874" s="164"/>
      <c r="B874" s="164"/>
      <c r="C874" s="164"/>
      <c r="D874" s="164"/>
      <c r="E874" s="164"/>
      <c r="F874" s="164"/>
      <c r="G874" s="164"/>
      <c r="H874" s="164"/>
      <c r="I874" s="164"/>
      <c r="J874" s="164"/>
      <c r="K874" s="164"/>
      <c r="L874" s="164"/>
      <c r="M874" s="164"/>
      <c r="N874" s="164"/>
      <c r="O874" s="164"/>
      <c r="P874" s="164"/>
      <c r="Q874" s="164"/>
      <c r="R874" s="164"/>
      <c r="S874" s="164"/>
      <c r="T874" s="164"/>
      <c r="U874" s="164"/>
      <c r="V874" s="164"/>
      <c r="W874" s="164"/>
      <c r="X874" s="164"/>
      <c r="Y874" s="164"/>
      <c r="Z874" s="164"/>
    </row>
    <row r="875">
      <c r="A875" s="164"/>
      <c r="B875" s="164"/>
      <c r="C875" s="164"/>
      <c r="D875" s="164"/>
      <c r="E875" s="164"/>
      <c r="F875" s="164"/>
      <c r="G875" s="164"/>
      <c r="H875" s="164"/>
      <c r="I875" s="164"/>
      <c r="J875" s="164"/>
      <c r="K875" s="164"/>
      <c r="L875" s="164"/>
      <c r="M875" s="164"/>
      <c r="N875" s="164"/>
      <c r="O875" s="164"/>
      <c r="P875" s="164"/>
      <c r="Q875" s="164"/>
      <c r="R875" s="164"/>
      <c r="S875" s="164"/>
      <c r="T875" s="164"/>
      <c r="U875" s="164"/>
      <c r="V875" s="164"/>
      <c r="W875" s="164"/>
      <c r="X875" s="164"/>
      <c r="Y875" s="164"/>
      <c r="Z875" s="164"/>
    </row>
    <row r="876">
      <c r="A876" s="164"/>
      <c r="B876" s="164"/>
      <c r="C876" s="164"/>
      <c r="D876" s="164"/>
      <c r="E876" s="164"/>
      <c r="F876" s="164"/>
      <c r="G876" s="164"/>
      <c r="H876" s="164"/>
      <c r="I876" s="164"/>
      <c r="J876" s="164"/>
      <c r="K876" s="164"/>
      <c r="L876" s="164"/>
      <c r="M876" s="164"/>
      <c r="N876" s="164"/>
      <c r="O876" s="164"/>
      <c r="P876" s="164"/>
      <c r="Q876" s="164"/>
      <c r="R876" s="164"/>
      <c r="S876" s="164"/>
      <c r="T876" s="164"/>
      <c r="U876" s="164"/>
      <c r="V876" s="164"/>
      <c r="W876" s="164"/>
      <c r="X876" s="164"/>
      <c r="Y876" s="164"/>
      <c r="Z876" s="164"/>
    </row>
    <row r="877">
      <c r="A877" s="164"/>
      <c r="B877" s="164"/>
      <c r="C877" s="164"/>
      <c r="D877" s="164"/>
      <c r="E877" s="164"/>
      <c r="F877" s="164"/>
      <c r="G877" s="164"/>
      <c r="H877" s="164"/>
      <c r="I877" s="164"/>
      <c r="J877" s="164"/>
      <c r="K877" s="164"/>
      <c r="L877" s="164"/>
      <c r="M877" s="164"/>
      <c r="N877" s="164"/>
      <c r="O877" s="164"/>
      <c r="P877" s="164"/>
      <c r="Q877" s="164"/>
      <c r="R877" s="164"/>
      <c r="S877" s="164"/>
      <c r="T877" s="164"/>
      <c r="U877" s="164"/>
      <c r="V877" s="164"/>
      <c r="W877" s="164"/>
      <c r="X877" s="164"/>
      <c r="Y877" s="164"/>
      <c r="Z877" s="164"/>
    </row>
    <row r="878">
      <c r="A878" s="164"/>
      <c r="B878" s="164"/>
      <c r="C878" s="164"/>
      <c r="D878" s="164"/>
      <c r="E878" s="164"/>
      <c r="F878" s="164"/>
      <c r="G878" s="164"/>
      <c r="H878" s="164"/>
      <c r="I878" s="164"/>
      <c r="J878" s="164"/>
      <c r="K878" s="164"/>
      <c r="L878" s="164"/>
      <c r="M878" s="164"/>
      <c r="N878" s="164"/>
      <c r="O878" s="164"/>
      <c r="P878" s="164"/>
      <c r="Q878" s="164"/>
      <c r="R878" s="164"/>
      <c r="S878" s="164"/>
      <c r="T878" s="164"/>
      <c r="U878" s="164"/>
      <c r="V878" s="164"/>
      <c r="W878" s="164"/>
      <c r="X878" s="164"/>
      <c r="Y878" s="164"/>
      <c r="Z878" s="164"/>
    </row>
    <row r="879">
      <c r="A879" s="164"/>
      <c r="B879" s="164"/>
      <c r="C879" s="164"/>
      <c r="D879" s="164"/>
      <c r="E879" s="164"/>
      <c r="F879" s="164"/>
      <c r="G879" s="164"/>
      <c r="H879" s="164"/>
      <c r="I879" s="164"/>
      <c r="J879" s="164"/>
      <c r="K879" s="164"/>
      <c r="L879" s="164"/>
      <c r="M879" s="164"/>
      <c r="N879" s="164"/>
      <c r="O879" s="164"/>
      <c r="P879" s="164"/>
      <c r="Q879" s="164"/>
      <c r="R879" s="164"/>
      <c r="S879" s="164"/>
      <c r="T879" s="164"/>
      <c r="U879" s="164"/>
      <c r="V879" s="164"/>
      <c r="W879" s="164"/>
      <c r="X879" s="164"/>
      <c r="Y879" s="164"/>
      <c r="Z879" s="164"/>
    </row>
    <row r="880">
      <c r="A880" s="164"/>
      <c r="B880" s="164"/>
      <c r="C880" s="164"/>
      <c r="D880" s="164"/>
      <c r="E880" s="164"/>
      <c r="F880" s="164"/>
      <c r="G880" s="164"/>
      <c r="H880" s="164"/>
      <c r="I880" s="164"/>
      <c r="J880" s="164"/>
      <c r="K880" s="164"/>
      <c r="L880" s="164"/>
      <c r="M880" s="164"/>
      <c r="N880" s="164"/>
      <c r="O880" s="164"/>
      <c r="P880" s="164"/>
      <c r="Q880" s="164"/>
      <c r="R880" s="164"/>
      <c r="S880" s="164"/>
      <c r="T880" s="164"/>
      <c r="U880" s="164"/>
      <c r="V880" s="164"/>
      <c r="W880" s="164"/>
      <c r="X880" s="164"/>
      <c r="Y880" s="164"/>
      <c r="Z880" s="164"/>
    </row>
    <row r="881">
      <c r="A881" s="164"/>
      <c r="B881" s="164"/>
      <c r="C881" s="164"/>
      <c r="D881" s="164"/>
      <c r="E881" s="164"/>
      <c r="F881" s="164"/>
      <c r="G881" s="164"/>
      <c r="H881" s="164"/>
      <c r="I881" s="164"/>
      <c r="J881" s="164"/>
      <c r="K881" s="164"/>
      <c r="L881" s="164"/>
      <c r="M881" s="164"/>
      <c r="N881" s="164"/>
      <c r="O881" s="164"/>
      <c r="P881" s="164"/>
      <c r="Q881" s="164"/>
      <c r="R881" s="164"/>
      <c r="S881" s="164"/>
      <c r="T881" s="164"/>
      <c r="U881" s="164"/>
      <c r="V881" s="164"/>
      <c r="W881" s="164"/>
      <c r="X881" s="164"/>
      <c r="Y881" s="164"/>
      <c r="Z881" s="164"/>
    </row>
    <row r="882">
      <c r="A882" s="164"/>
      <c r="B882" s="164"/>
      <c r="C882" s="164"/>
      <c r="D882" s="164"/>
      <c r="E882" s="164"/>
      <c r="F882" s="164"/>
      <c r="G882" s="164"/>
      <c r="H882" s="164"/>
      <c r="I882" s="164"/>
      <c r="J882" s="164"/>
      <c r="K882" s="164"/>
      <c r="L882" s="164"/>
      <c r="M882" s="164"/>
      <c r="N882" s="164"/>
      <c r="O882" s="164"/>
      <c r="P882" s="164"/>
      <c r="Q882" s="164"/>
      <c r="R882" s="164"/>
      <c r="S882" s="164"/>
      <c r="T882" s="164"/>
      <c r="U882" s="164"/>
      <c r="V882" s="164"/>
      <c r="W882" s="164"/>
      <c r="X882" s="164"/>
      <c r="Y882" s="164"/>
      <c r="Z882" s="164"/>
    </row>
    <row r="883">
      <c r="A883" s="164"/>
      <c r="B883" s="164"/>
      <c r="C883" s="164"/>
      <c r="D883" s="164"/>
      <c r="E883" s="164"/>
      <c r="F883" s="164"/>
      <c r="G883" s="164"/>
      <c r="H883" s="164"/>
      <c r="I883" s="164"/>
      <c r="J883" s="164"/>
      <c r="K883" s="164"/>
      <c r="L883" s="164"/>
      <c r="M883" s="164"/>
      <c r="N883" s="164"/>
      <c r="O883" s="164"/>
      <c r="P883" s="164"/>
      <c r="Q883" s="164"/>
      <c r="R883" s="164"/>
      <c r="S883" s="164"/>
      <c r="T883" s="164"/>
      <c r="U883" s="164"/>
      <c r="V883" s="164"/>
      <c r="W883" s="164"/>
      <c r="X883" s="164"/>
      <c r="Y883" s="164"/>
      <c r="Z883" s="164"/>
    </row>
    <row r="884">
      <c r="A884" s="164"/>
      <c r="B884" s="164"/>
      <c r="C884" s="164"/>
      <c r="D884" s="164"/>
      <c r="E884" s="164"/>
      <c r="F884" s="164"/>
      <c r="G884" s="164"/>
      <c r="H884" s="164"/>
      <c r="I884" s="164"/>
      <c r="J884" s="164"/>
      <c r="K884" s="164"/>
      <c r="L884" s="164"/>
      <c r="M884" s="164"/>
      <c r="N884" s="164"/>
      <c r="O884" s="164"/>
      <c r="P884" s="164"/>
      <c r="Q884" s="164"/>
      <c r="R884" s="164"/>
      <c r="S884" s="164"/>
      <c r="T884" s="164"/>
      <c r="U884" s="164"/>
      <c r="V884" s="164"/>
      <c r="W884" s="164"/>
      <c r="X884" s="164"/>
      <c r="Y884" s="164"/>
      <c r="Z884" s="164"/>
    </row>
    <row r="885">
      <c r="A885" s="164"/>
      <c r="B885" s="164"/>
      <c r="C885" s="164"/>
      <c r="D885" s="164"/>
      <c r="E885" s="164"/>
      <c r="F885" s="164"/>
      <c r="G885" s="164"/>
      <c r="H885" s="164"/>
      <c r="I885" s="164"/>
      <c r="J885" s="164"/>
      <c r="K885" s="164"/>
      <c r="L885" s="164"/>
      <c r="M885" s="164"/>
      <c r="N885" s="164"/>
      <c r="O885" s="164"/>
      <c r="P885" s="164"/>
      <c r="Q885" s="164"/>
      <c r="R885" s="164"/>
      <c r="S885" s="164"/>
      <c r="T885" s="164"/>
      <c r="U885" s="164"/>
      <c r="V885" s="164"/>
      <c r="W885" s="164"/>
      <c r="X885" s="164"/>
      <c r="Y885" s="164"/>
      <c r="Z885" s="164"/>
    </row>
    <row r="886">
      <c r="A886" s="164"/>
      <c r="B886" s="164"/>
      <c r="C886" s="164"/>
      <c r="D886" s="164"/>
      <c r="E886" s="164"/>
      <c r="F886" s="164"/>
      <c r="G886" s="164"/>
      <c r="H886" s="164"/>
      <c r="I886" s="164"/>
      <c r="J886" s="164"/>
      <c r="K886" s="164"/>
      <c r="L886" s="164"/>
      <c r="M886" s="164"/>
      <c r="N886" s="164"/>
      <c r="O886" s="164"/>
      <c r="P886" s="164"/>
      <c r="Q886" s="164"/>
      <c r="R886" s="164"/>
      <c r="S886" s="164"/>
      <c r="T886" s="164"/>
      <c r="U886" s="164"/>
      <c r="V886" s="164"/>
      <c r="W886" s="164"/>
      <c r="X886" s="164"/>
      <c r="Y886" s="164"/>
      <c r="Z886" s="164"/>
    </row>
    <row r="887">
      <c r="A887" s="164"/>
      <c r="B887" s="164"/>
      <c r="C887" s="164"/>
      <c r="D887" s="164"/>
      <c r="E887" s="164"/>
      <c r="F887" s="164"/>
      <c r="G887" s="164"/>
      <c r="H887" s="164"/>
      <c r="I887" s="164"/>
      <c r="J887" s="164"/>
      <c r="K887" s="164"/>
      <c r="L887" s="164"/>
      <c r="M887" s="164"/>
      <c r="N887" s="164"/>
      <c r="O887" s="164"/>
      <c r="P887" s="164"/>
      <c r="Q887" s="164"/>
      <c r="R887" s="164"/>
      <c r="S887" s="164"/>
      <c r="T887" s="164"/>
      <c r="U887" s="164"/>
      <c r="V887" s="164"/>
      <c r="W887" s="164"/>
      <c r="X887" s="164"/>
      <c r="Y887" s="164"/>
      <c r="Z887" s="164"/>
    </row>
    <row r="888">
      <c r="A888" s="164"/>
      <c r="B888" s="164"/>
      <c r="C888" s="164"/>
      <c r="D888" s="164"/>
      <c r="E888" s="164"/>
      <c r="F888" s="164"/>
      <c r="G888" s="164"/>
      <c r="H888" s="164"/>
      <c r="I888" s="164"/>
      <c r="J888" s="164"/>
      <c r="K888" s="164"/>
      <c r="L888" s="164"/>
      <c r="M888" s="164"/>
      <c r="N888" s="164"/>
      <c r="O888" s="164"/>
      <c r="P888" s="164"/>
      <c r="Q888" s="164"/>
      <c r="R888" s="164"/>
      <c r="S888" s="164"/>
      <c r="T888" s="164"/>
      <c r="U888" s="164"/>
      <c r="V888" s="164"/>
      <c r="W888" s="164"/>
      <c r="X888" s="164"/>
      <c r="Y888" s="164"/>
      <c r="Z888" s="164"/>
    </row>
    <row r="889">
      <c r="A889" s="164"/>
      <c r="B889" s="164"/>
      <c r="C889" s="164"/>
      <c r="D889" s="164"/>
      <c r="E889" s="164"/>
      <c r="F889" s="164"/>
      <c r="G889" s="164"/>
      <c r="H889" s="164"/>
      <c r="I889" s="164"/>
      <c r="J889" s="164"/>
      <c r="K889" s="164"/>
      <c r="L889" s="164"/>
      <c r="M889" s="164"/>
      <c r="N889" s="164"/>
      <c r="O889" s="164"/>
      <c r="P889" s="164"/>
      <c r="Q889" s="164"/>
      <c r="R889" s="164"/>
      <c r="S889" s="164"/>
      <c r="T889" s="164"/>
      <c r="U889" s="164"/>
      <c r="V889" s="164"/>
      <c r="W889" s="164"/>
      <c r="X889" s="164"/>
      <c r="Y889" s="164"/>
      <c r="Z889" s="164"/>
    </row>
    <row r="890">
      <c r="A890" s="164"/>
      <c r="B890" s="164"/>
      <c r="C890" s="164"/>
      <c r="D890" s="164"/>
      <c r="E890" s="164"/>
      <c r="F890" s="164"/>
      <c r="G890" s="164"/>
      <c r="H890" s="164"/>
      <c r="I890" s="164"/>
      <c r="J890" s="164"/>
      <c r="K890" s="164"/>
      <c r="L890" s="164"/>
      <c r="M890" s="164"/>
      <c r="N890" s="164"/>
      <c r="O890" s="164"/>
      <c r="P890" s="164"/>
      <c r="Q890" s="164"/>
      <c r="R890" s="164"/>
      <c r="S890" s="164"/>
      <c r="T890" s="164"/>
      <c r="U890" s="164"/>
      <c r="V890" s="164"/>
      <c r="W890" s="164"/>
      <c r="X890" s="164"/>
      <c r="Y890" s="164"/>
      <c r="Z890" s="164"/>
    </row>
    <row r="891">
      <c r="A891" s="164"/>
      <c r="B891" s="164"/>
      <c r="C891" s="164"/>
      <c r="D891" s="164"/>
      <c r="E891" s="164"/>
      <c r="F891" s="164"/>
      <c r="G891" s="164"/>
      <c r="H891" s="164"/>
      <c r="I891" s="164"/>
      <c r="J891" s="164"/>
      <c r="K891" s="164"/>
      <c r="L891" s="164"/>
      <c r="M891" s="164"/>
      <c r="N891" s="164"/>
      <c r="O891" s="164"/>
      <c r="P891" s="164"/>
      <c r="Q891" s="164"/>
      <c r="R891" s="164"/>
      <c r="S891" s="164"/>
      <c r="T891" s="164"/>
      <c r="U891" s="164"/>
      <c r="V891" s="164"/>
      <c r="W891" s="164"/>
      <c r="X891" s="164"/>
      <c r="Y891" s="164"/>
      <c r="Z891" s="164"/>
    </row>
    <row r="892">
      <c r="A892" s="164"/>
      <c r="B892" s="164"/>
      <c r="C892" s="164"/>
      <c r="D892" s="164"/>
      <c r="E892" s="164"/>
      <c r="F892" s="164"/>
      <c r="G892" s="164"/>
      <c r="H892" s="164"/>
      <c r="I892" s="164"/>
      <c r="J892" s="164"/>
      <c r="K892" s="164"/>
      <c r="L892" s="164"/>
      <c r="M892" s="164"/>
      <c r="N892" s="164"/>
      <c r="O892" s="164"/>
      <c r="P892" s="164"/>
      <c r="Q892" s="164"/>
      <c r="R892" s="164"/>
      <c r="S892" s="164"/>
      <c r="T892" s="164"/>
      <c r="U892" s="164"/>
      <c r="V892" s="164"/>
      <c r="W892" s="164"/>
      <c r="X892" s="164"/>
      <c r="Y892" s="164"/>
      <c r="Z892" s="164"/>
    </row>
    <row r="893">
      <c r="A893" s="164"/>
      <c r="B893" s="164"/>
      <c r="C893" s="164"/>
      <c r="D893" s="164"/>
      <c r="E893" s="164"/>
      <c r="F893" s="164"/>
      <c r="G893" s="164"/>
      <c r="H893" s="164"/>
      <c r="I893" s="164"/>
      <c r="J893" s="164"/>
      <c r="K893" s="164"/>
      <c r="L893" s="164"/>
      <c r="M893" s="164"/>
      <c r="N893" s="164"/>
      <c r="O893" s="164"/>
      <c r="P893" s="164"/>
      <c r="Q893" s="164"/>
      <c r="R893" s="164"/>
      <c r="S893" s="164"/>
      <c r="T893" s="164"/>
      <c r="U893" s="164"/>
      <c r="V893" s="164"/>
      <c r="W893" s="164"/>
      <c r="X893" s="164"/>
      <c r="Y893" s="164"/>
      <c r="Z893" s="164"/>
    </row>
    <row r="894">
      <c r="A894" s="164"/>
      <c r="B894" s="164"/>
      <c r="C894" s="164"/>
      <c r="D894" s="164"/>
      <c r="E894" s="164"/>
      <c r="F894" s="164"/>
      <c r="G894" s="164"/>
      <c r="H894" s="164"/>
      <c r="I894" s="164"/>
      <c r="J894" s="164"/>
      <c r="K894" s="164"/>
      <c r="L894" s="164"/>
      <c r="M894" s="164"/>
      <c r="N894" s="164"/>
      <c r="O894" s="164"/>
      <c r="P894" s="164"/>
      <c r="Q894" s="164"/>
      <c r="R894" s="164"/>
      <c r="S894" s="164"/>
      <c r="T894" s="164"/>
      <c r="U894" s="164"/>
      <c r="V894" s="164"/>
      <c r="W894" s="164"/>
      <c r="X894" s="164"/>
      <c r="Y894" s="164"/>
      <c r="Z894" s="164"/>
    </row>
    <row r="895">
      <c r="A895" s="164"/>
      <c r="B895" s="164"/>
      <c r="C895" s="164"/>
      <c r="D895" s="164"/>
      <c r="E895" s="164"/>
      <c r="F895" s="164"/>
      <c r="G895" s="164"/>
      <c r="H895" s="164"/>
      <c r="I895" s="164"/>
      <c r="J895" s="164"/>
      <c r="K895" s="164"/>
      <c r="L895" s="164"/>
      <c r="M895" s="164"/>
      <c r="N895" s="164"/>
      <c r="O895" s="164"/>
      <c r="P895" s="164"/>
      <c r="Q895" s="164"/>
      <c r="R895" s="164"/>
      <c r="S895" s="164"/>
      <c r="T895" s="164"/>
      <c r="U895" s="164"/>
      <c r="V895" s="164"/>
      <c r="W895" s="164"/>
      <c r="X895" s="164"/>
      <c r="Y895" s="164"/>
      <c r="Z895" s="164"/>
    </row>
    <row r="896">
      <c r="A896" s="164"/>
      <c r="B896" s="164"/>
      <c r="C896" s="164"/>
      <c r="D896" s="164"/>
      <c r="E896" s="164"/>
      <c r="F896" s="164"/>
      <c r="G896" s="164"/>
      <c r="H896" s="164"/>
      <c r="I896" s="164"/>
      <c r="J896" s="164"/>
      <c r="K896" s="164"/>
      <c r="L896" s="164"/>
      <c r="M896" s="164"/>
      <c r="N896" s="164"/>
      <c r="O896" s="164"/>
      <c r="P896" s="164"/>
      <c r="Q896" s="164"/>
      <c r="R896" s="164"/>
      <c r="S896" s="164"/>
      <c r="T896" s="164"/>
      <c r="U896" s="164"/>
      <c r="V896" s="164"/>
      <c r="W896" s="164"/>
      <c r="X896" s="164"/>
      <c r="Y896" s="164"/>
      <c r="Z896" s="164"/>
    </row>
    <row r="897">
      <c r="A897" s="164"/>
      <c r="B897" s="164"/>
      <c r="C897" s="164"/>
      <c r="D897" s="164"/>
      <c r="E897" s="164"/>
      <c r="F897" s="164"/>
      <c r="G897" s="164"/>
      <c r="H897" s="164"/>
      <c r="I897" s="164"/>
      <c r="J897" s="164"/>
      <c r="K897" s="164"/>
      <c r="L897" s="164"/>
      <c r="M897" s="164"/>
      <c r="N897" s="164"/>
      <c r="O897" s="164"/>
      <c r="P897" s="164"/>
      <c r="Q897" s="164"/>
      <c r="R897" s="164"/>
      <c r="S897" s="164"/>
      <c r="T897" s="164"/>
      <c r="U897" s="164"/>
      <c r="V897" s="164"/>
      <c r="W897" s="164"/>
      <c r="X897" s="164"/>
      <c r="Y897" s="164"/>
      <c r="Z897" s="164"/>
    </row>
    <row r="898">
      <c r="A898" s="164"/>
      <c r="B898" s="164"/>
      <c r="C898" s="164"/>
      <c r="D898" s="164"/>
      <c r="E898" s="164"/>
      <c r="F898" s="164"/>
      <c r="G898" s="164"/>
      <c r="H898" s="164"/>
      <c r="I898" s="164"/>
      <c r="J898" s="164"/>
      <c r="K898" s="164"/>
      <c r="L898" s="164"/>
      <c r="M898" s="164"/>
      <c r="N898" s="164"/>
      <c r="O898" s="164"/>
      <c r="P898" s="164"/>
      <c r="Q898" s="164"/>
      <c r="R898" s="164"/>
      <c r="S898" s="164"/>
      <c r="T898" s="164"/>
      <c r="U898" s="164"/>
      <c r="V898" s="164"/>
      <c r="W898" s="164"/>
      <c r="X898" s="164"/>
      <c r="Y898" s="164"/>
      <c r="Z898" s="164"/>
    </row>
    <row r="899">
      <c r="A899" s="164"/>
      <c r="B899" s="164"/>
      <c r="C899" s="164"/>
      <c r="D899" s="164"/>
      <c r="E899" s="164"/>
      <c r="F899" s="164"/>
      <c r="G899" s="164"/>
      <c r="H899" s="164"/>
      <c r="I899" s="164"/>
      <c r="J899" s="164"/>
      <c r="K899" s="164"/>
      <c r="L899" s="164"/>
      <c r="M899" s="164"/>
      <c r="N899" s="164"/>
      <c r="O899" s="164"/>
      <c r="P899" s="164"/>
      <c r="Q899" s="164"/>
      <c r="R899" s="164"/>
      <c r="S899" s="164"/>
      <c r="T899" s="164"/>
      <c r="U899" s="164"/>
      <c r="V899" s="164"/>
      <c r="W899" s="164"/>
      <c r="X899" s="164"/>
      <c r="Y899" s="164"/>
      <c r="Z899" s="164"/>
    </row>
    <row r="900">
      <c r="A900" s="164"/>
      <c r="B900" s="164"/>
      <c r="C900" s="164"/>
      <c r="D900" s="164"/>
      <c r="E900" s="164"/>
      <c r="F900" s="164"/>
      <c r="G900" s="164"/>
      <c r="H900" s="164"/>
      <c r="I900" s="164"/>
      <c r="J900" s="164"/>
      <c r="K900" s="164"/>
      <c r="L900" s="164"/>
      <c r="M900" s="164"/>
      <c r="N900" s="164"/>
      <c r="O900" s="164"/>
      <c r="P900" s="164"/>
      <c r="Q900" s="164"/>
      <c r="R900" s="164"/>
      <c r="S900" s="164"/>
      <c r="T900" s="164"/>
      <c r="U900" s="164"/>
      <c r="V900" s="164"/>
      <c r="W900" s="164"/>
      <c r="X900" s="164"/>
      <c r="Y900" s="164"/>
      <c r="Z900" s="164"/>
    </row>
    <row r="901">
      <c r="A901" s="164"/>
      <c r="B901" s="164"/>
      <c r="C901" s="164"/>
      <c r="D901" s="164"/>
      <c r="E901" s="164"/>
      <c r="F901" s="164"/>
      <c r="G901" s="164"/>
      <c r="H901" s="164"/>
      <c r="I901" s="164"/>
      <c r="J901" s="164"/>
      <c r="K901" s="164"/>
      <c r="L901" s="164"/>
      <c r="M901" s="164"/>
      <c r="N901" s="164"/>
      <c r="O901" s="164"/>
      <c r="P901" s="164"/>
      <c r="Q901" s="164"/>
      <c r="R901" s="164"/>
      <c r="S901" s="164"/>
      <c r="T901" s="164"/>
      <c r="U901" s="164"/>
      <c r="V901" s="164"/>
      <c r="W901" s="164"/>
      <c r="X901" s="164"/>
      <c r="Y901" s="164"/>
      <c r="Z901" s="164"/>
    </row>
    <row r="902">
      <c r="A902" s="164"/>
      <c r="B902" s="164"/>
      <c r="C902" s="164"/>
      <c r="D902" s="164"/>
      <c r="E902" s="164"/>
      <c r="F902" s="164"/>
      <c r="G902" s="164"/>
      <c r="H902" s="164"/>
      <c r="I902" s="164"/>
      <c r="J902" s="164"/>
      <c r="K902" s="164"/>
      <c r="L902" s="164"/>
      <c r="M902" s="164"/>
      <c r="N902" s="164"/>
      <c r="O902" s="164"/>
      <c r="P902" s="164"/>
      <c r="Q902" s="164"/>
      <c r="R902" s="164"/>
      <c r="S902" s="164"/>
      <c r="T902" s="164"/>
      <c r="U902" s="164"/>
      <c r="V902" s="164"/>
      <c r="W902" s="164"/>
      <c r="X902" s="164"/>
      <c r="Y902" s="164"/>
      <c r="Z902" s="164"/>
    </row>
    <row r="903">
      <c r="A903" s="164"/>
      <c r="B903" s="164"/>
      <c r="C903" s="164"/>
      <c r="D903" s="164"/>
      <c r="E903" s="164"/>
      <c r="F903" s="164"/>
      <c r="G903" s="164"/>
      <c r="H903" s="164"/>
      <c r="I903" s="164"/>
      <c r="J903" s="164"/>
      <c r="K903" s="164"/>
      <c r="L903" s="164"/>
      <c r="M903" s="164"/>
      <c r="N903" s="164"/>
      <c r="O903" s="164"/>
      <c r="P903" s="164"/>
      <c r="Q903" s="164"/>
      <c r="R903" s="164"/>
      <c r="S903" s="164"/>
      <c r="T903" s="164"/>
      <c r="U903" s="164"/>
      <c r="V903" s="164"/>
      <c r="W903" s="164"/>
      <c r="X903" s="164"/>
      <c r="Y903" s="164"/>
      <c r="Z903" s="164"/>
    </row>
    <row r="904">
      <c r="A904" s="164"/>
      <c r="B904" s="164"/>
      <c r="C904" s="164"/>
      <c r="D904" s="164"/>
      <c r="E904" s="164"/>
      <c r="F904" s="164"/>
      <c r="G904" s="164"/>
      <c r="H904" s="164"/>
      <c r="I904" s="164"/>
      <c r="J904" s="164"/>
      <c r="K904" s="164"/>
      <c r="L904" s="164"/>
      <c r="M904" s="164"/>
      <c r="N904" s="164"/>
      <c r="O904" s="164"/>
      <c r="P904" s="164"/>
      <c r="Q904" s="164"/>
      <c r="R904" s="164"/>
      <c r="S904" s="164"/>
      <c r="T904" s="164"/>
      <c r="U904" s="164"/>
      <c r="V904" s="164"/>
      <c r="W904" s="164"/>
      <c r="X904" s="164"/>
      <c r="Y904" s="164"/>
      <c r="Z904" s="164"/>
    </row>
    <row r="905">
      <c r="A905" s="164"/>
      <c r="B905" s="164"/>
      <c r="C905" s="164"/>
      <c r="D905" s="164"/>
      <c r="E905" s="164"/>
      <c r="F905" s="164"/>
      <c r="G905" s="164"/>
      <c r="H905" s="164"/>
      <c r="I905" s="164"/>
      <c r="J905" s="164"/>
      <c r="K905" s="164"/>
      <c r="L905" s="164"/>
      <c r="M905" s="164"/>
      <c r="N905" s="164"/>
      <c r="O905" s="164"/>
      <c r="P905" s="164"/>
      <c r="Q905" s="164"/>
      <c r="R905" s="164"/>
      <c r="S905" s="164"/>
      <c r="T905" s="164"/>
      <c r="U905" s="164"/>
      <c r="V905" s="164"/>
      <c r="W905" s="164"/>
      <c r="X905" s="164"/>
      <c r="Y905" s="164"/>
      <c r="Z905" s="164"/>
    </row>
    <row r="906">
      <c r="A906" s="164"/>
      <c r="B906" s="164"/>
      <c r="C906" s="164"/>
      <c r="D906" s="164"/>
      <c r="E906" s="164"/>
      <c r="F906" s="164"/>
      <c r="G906" s="164"/>
      <c r="H906" s="164"/>
      <c r="I906" s="164"/>
      <c r="J906" s="164"/>
      <c r="K906" s="164"/>
      <c r="L906" s="164"/>
      <c r="M906" s="164"/>
      <c r="N906" s="164"/>
      <c r="O906" s="164"/>
      <c r="P906" s="164"/>
      <c r="Q906" s="164"/>
      <c r="R906" s="164"/>
      <c r="S906" s="164"/>
      <c r="T906" s="164"/>
      <c r="U906" s="164"/>
      <c r="V906" s="164"/>
      <c r="W906" s="164"/>
      <c r="X906" s="164"/>
      <c r="Y906" s="164"/>
      <c r="Z906" s="164"/>
    </row>
    <row r="907">
      <c r="A907" s="164"/>
      <c r="B907" s="164"/>
      <c r="C907" s="164"/>
      <c r="D907" s="164"/>
      <c r="E907" s="164"/>
      <c r="F907" s="164"/>
      <c r="G907" s="164"/>
      <c r="H907" s="164"/>
      <c r="I907" s="164"/>
      <c r="J907" s="164"/>
      <c r="K907" s="164"/>
      <c r="L907" s="164"/>
      <c r="M907" s="164"/>
      <c r="N907" s="164"/>
      <c r="O907" s="164"/>
      <c r="P907" s="164"/>
      <c r="Q907" s="164"/>
      <c r="R907" s="164"/>
      <c r="S907" s="164"/>
      <c r="T907" s="164"/>
      <c r="U907" s="164"/>
      <c r="V907" s="164"/>
      <c r="W907" s="164"/>
      <c r="X907" s="164"/>
      <c r="Y907" s="164"/>
      <c r="Z907" s="164"/>
    </row>
    <row r="908">
      <c r="A908" s="164"/>
      <c r="B908" s="164"/>
      <c r="C908" s="164"/>
      <c r="D908" s="164"/>
      <c r="E908" s="164"/>
      <c r="F908" s="164"/>
      <c r="G908" s="164"/>
      <c r="H908" s="164"/>
      <c r="I908" s="164"/>
      <c r="J908" s="164"/>
      <c r="K908" s="164"/>
      <c r="L908" s="164"/>
      <c r="M908" s="164"/>
      <c r="N908" s="164"/>
      <c r="O908" s="164"/>
      <c r="P908" s="164"/>
      <c r="Q908" s="164"/>
      <c r="R908" s="164"/>
      <c r="S908" s="164"/>
      <c r="T908" s="164"/>
      <c r="U908" s="164"/>
      <c r="V908" s="164"/>
      <c r="W908" s="164"/>
      <c r="X908" s="164"/>
      <c r="Y908" s="164"/>
      <c r="Z908" s="164"/>
    </row>
    <row r="909">
      <c r="A909" s="164"/>
      <c r="B909" s="164"/>
      <c r="C909" s="164"/>
      <c r="D909" s="164"/>
      <c r="E909" s="164"/>
      <c r="F909" s="164"/>
      <c r="G909" s="164"/>
      <c r="H909" s="164"/>
      <c r="I909" s="164"/>
      <c r="J909" s="164"/>
      <c r="K909" s="164"/>
      <c r="L909" s="164"/>
      <c r="M909" s="164"/>
      <c r="N909" s="164"/>
      <c r="O909" s="164"/>
      <c r="P909" s="164"/>
      <c r="Q909" s="164"/>
      <c r="R909" s="164"/>
      <c r="S909" s="164"/>
      <c r="T909" s="164"/>
      <c r="U909" s="164"/>
      <c r="V909" s="164"/>
      <c r="W909" s="164"/>
      <c r="X909" s="164"/>
      <c r="Y909" s="164"/>
      <c r="Z909" s="164"/>
    </row>
    <row r="910">
      <c r="A910" s="164"/>
      <c r="B910" s="164"/>
      <c r="C910" s="164"/>
      <c r="D910" s="164"/>
      <c r="E910" s="164"/>
      <c r="F910" s="164"/>
      <c r="G910" s="164"/>
      <c r="H910" s="164"/>
      <c r="I910" s="164"/>
      <c r="J910" s="164"/>
      <c r="K910" s="164"/>
      <c r="L910" s="164"/>
      <c r="M910" s="164"/>
      <c r="N910" s="164"/>
      <c r="O910" s="164"/>
      <c r="P910" s="164"/>
      <c r="Q910" s="164"/>
      <c r="R910" s="164"/>
      <c r="S910" s="164"/>
      <c r="T910" s="164"/>
      <c r="U910" s="164"/>
      <c r="V910" s="164"/>
      <c r="W910" s="164"/>
      <c r="X910" s="164"/>
      <c r="Y910" s="164"/>
      <c r="Z910" s="164"/>
    </row>
    <row r="911">
      <c r="A911" s="164"/>
      <c r="B911" s="164"/>
      <c r="C911" s="164"/>
      <c r="D911" s="164"/>
      <c r="E911" s="164"/>
      <c r="F911" s="164"/>
      <c r="G911" s="164"/>
      <c r="H911" s="164"/>
      <c r="I911" s="164"/>
      <c r="J911" s="164"/>
      <c r="K911" s="164"/>
      <c r="L911" s="164"/>
      <c r="M911" s="164"/>
      <c r="N911" s="164"/>
      <c r="O911" s="164"/>
      <c r="P911" s="164"/>
      <c r="Q911" s="164"/>
      <c r="R911" s="164"/>
      <c r="S911" s="164"/>
      <c r="T911" s="164"/>
      <c r="U911" s="164"/>
      <c r="V911" s="164"/>
      <c r="W911" s="164"/>
      <c r="X911" s="164"/>
      <c r="Y911" s="164"/>
      <c r="Z911" s="164"/>
    </row>
    <row r="912">
      <c r="A912" s="164"/>
      <c r="B912" s="164"/>
      <c r="C912" s="164"/>
      <c r="D912" s="164"/>
      <c r="E912" s="164"/>
      <c r="F912" s="164"/>
      <c r="G912" s="164"/>
      <c r="H912" s="164"/>
      <c r="I912" s="164"/>
      <c r="J912" s="164"/>
      <c r="K912" s="164"/>
      <c r="L912" s="164"/>
      <c r="M912" s="164"/>
      <c r="N912" s="164"/>
      <c r="O912" s="164"/>
      <c r="P912" s="164"/>
      <c r="Q912" s="164"/>
      <c r="R912" s="164"/>
      <c r="S912" s="164"/>
      <c r="T912" s="164"/>
      <c r="U912" s="164"/>
      <c r="V912" s="164"/>
      <c r="W912" s="164"/>
      <c r="X912" s="164"/>
      <c r="Y912" s="164"/>
      <c r="Z912" s="164"/>
    </row>
    <row r="913">
      <c r="A913" s="164"/>
      <c r="B913" s="164"/>
      <c r="C913" s="164"/>
      <c r="D913" s="164"/>
      <c r="E913" s="164"/>
      <c r="F913" s="164"/>
      <c r="G913" s="164"/>
      <c r="H913" s="164"/>
      <c r="I913" s="164"/>
      <c r="J913" s="164"/>
      <c r="K913" s="164"/>
      <c r="L913" s="164"/>
      <c r="M913" s="164"/>
      <c r="N913" s="164"/>
      <c r="O913" s="164"/>
      <c r="P913" s="164"/>
      <c r="Q913" s="164"/>
      <c r="R913" s="164"/>
      <c r="S913" s="164"/>
      <c r="T913" s="164"/>
      <c r="U913" s="164"/>
      <c r="V913" s="164"/>
      <c r="W913" s="164"/>
      <c r="X913" s="164"/>
      <c r="Y913" s="164"/>
      <c r="Z913" s="164"/>
    </row>
    <row r="914">
      <c r="A914" s="164"/>
      <c r="B914" s="164"/>
      <c r="C914" s="164"/>
      <c r="D914" s="164"/>
      <c r="E914" s="164"/>
      <c r="F914" s="164"/>
      <c r="G914" s="164"/>
      <c r="H914" s="164"/>
      <c r="I914" s="164"/>
      <c r="J914" s="164"/>
      <c r="K914" s="164"/>
      <c r="L914" s="164"/>
      <c r="M914" s="164"/>
      <c r="N914" s="164"/>
      <c r="O914" s="164"/>
      <c r="P914" s="164"/>
      <c r="Q914" s="164"/>
      <c r="R914" s="164"/>
      <c r="S914" s="164"/>
      <c r="T914" s="164"/>
      <c r="U914" s="164"/>
      <c r="V914" s="164"/>
      <c r="W914" s="164"/>
      <c r="X914" s="164"/>
      <c r="Y914" s="164"/>
      <c r="Z914" s="164"/>
    </row>
    <row r="915">
      <c r="A915" s="164"/>
      <c r="B915" s="164"/>
      <c r="C915" s="164"/>
      <c r="D915" s="164"/>
      <c r="E915" s="164"/>
      <c r="F915" s="164"/>
      <c r="G915" s="164"/>
      <c r="H915" s="164"/>
      <c r="I915" s="164"/>
      <c r="J915" s="164"/>
      <c r="K915" s="164"/>
      <c r="L915" s="164"/>
      <c r="M915" s="164"/>
      <c r="N915" s="164"/>
      <c r="O915" s="164"/>
      <c r="P915" s="164"/>
      <c r="Q915" s="164"/>
      <c r="R915" s="164"/>
      <c r="S915" s="164"/>
      <c r="T915" s="164"/>
      <c r="U915" s="164"/>
      <c r="V915" s="164"/>
      <c r="W915" s="164"/>
      <c r="X915" s="164"/>
      <c r="Y915" s="164"/>
      <c r="Z915" s="164"/>
    </row>
    <row r="916">
      <c r="A916" s="164"/>
      <c r="B916" s="164"/>
      <c r="C916" s="164"/>
      <c r="D916" s="164"/>
      <c r="E916" s="164"/>
      <c r="F916" s="164"/>
      <c r="G916" s="164"/>
      <c r="H916" s="164"/>
      <c r="I916" s="164"/>
      <c r="J916" s="164"/>
      <c r="K916" s="164"/>
      <c r="L916" s="164"/>
      <c r="M916" s="164"/>
      <c r="N916" s="164"/>
      <c r="O916" s="164"/>
      <c r="P916" s="164"/>
      <c r="Q916" s="164"/>
      <c r="R916" s="164"/>
      <c r="S916" s="164"/>
      <c r="T916" s="164"/>
      <c r="U916" s="164"/>
      <c r="V916" s="164"/>
      <c r="W916" s="164"/>
      <c r="X916" s="164"/>
      <c r="Y916" s="164"/>
      <c r="Z916" s="164"/>
    </row>
    <row r="917">
      <c r="A917" s="164"/>
      <c r="B917" s="164"/>
      <c r="C917" s="164"/>
      <c r="D917" s="164"/>
      <c r="E917" s="164"/>
      <c r="F917" s="164"/>
      <c r="G917" s="164"/>
      <c r="H917" s="164"/>
      <c r="I917" s="164"/>
      <c r="J917" s="164"/>
      <c r="K917" s="164"/>
      <c r="L917" s="164"/>
      <c r="M917" s="164"/>
      <c r="N917" s="164"/>
      <c r="O917" s="164"/>
      <c r="P917" s="164"/>
      <c r="Q917" s="164"/>
      <c r="R917" s="164"/>
      <c r="S917" s="164"/>
      <c r="T917" s="164"/>
      <c r="U917" s="164"/>
      <c r="V917" s="164"/>
      <c r="W917" s="164"/>
      <c r="X917" s="164"/>
      <c r="Y917" s="164"/>
      <c r="Z917" s="164"/>
    </row>
    <row r="918">
      <c r="A918" s="164"/>
      <c r="B918" s="164"/>
      <c r="C918" s="164"/>
      <c r="D918" s="164"/>
      <c r="E918" s="164"/>
      <c r="F918" s="164"/>
      <c r="G918" s="164"/>
      <c r="H918" s="164"/>
      <c r="I918" s="164"/>
      <c r="J918" s="164"/>
      <c r="K918" s="164"/>
      <c r="L918" s="164"/>
      <c r="M918" s="164"/>
      <c r="N918" s="164"/>
      <c r="O918" s="164"/>
      <c r="P918" s="164"/>
      <c r="Q918" s="164"/>
      <c r="R918" s="164"/>
      <c r="S918" s="164"/>
      <c r="T918" s="164"/>
      <c r="U918" s="164"/>
      <c r="V918" s="164"/>
      <c r="W918" s="164"/>
      <c r="X918" s="164"/>
      <c r="Y918" s="164"/>
      <c r="Z918" s="164"/>
    </row>
    <row r="919">
      <c r="A919" s="164"/>
      <c r="B919" s="164"/>
      <c r="C919" s="164"/>
      <c r="D919" s="164"/>
      <c r="E919" s="164"/>
      <c r="F919" s="164"/>
      <c r="G919" s="164"/>
      <c r="H919" s="164"/>
      <c r="I919" s="164"/>
      <c r="J919" s="164"/>
      <c r="K919" s="164"/>
      <c r="L919" s="164"/>
      <c r="M919" s="164"/>
      <c r="N919" s="164"/>
      <c r="O919" s="164"/>
      <c r="P919" s="164"/>
      <c r="Q919" s="164"/>
      <c r="R919" s="164"/>
      <c r="S919" s="164"/>
      <c r="T919" s="164"/>
      <c r="U919" s="164"/>
      <c r="V919" s="164"/>
      <c r="W919" s="164"/>
      <c r="X919" s="164"/>
      <c r="Y919" s="164"/>
      <c r="Z919" s="164"/>
    </row>
    <row r="920">
      <c r="A920" s="164"/>
      <c r="B920" s="164"/>
      <c r="C920" s="164"/>
      <c r="D920" s="164"/>
      <c r="E920" s="164"/>
      <c r="F920" s="164"/>
      <c r="G920" s="164"/>
      <c r="H920" s="164"/>
      <c r="I920" s="164"/>
      <c r="J920" s="164"/>
      <c r="K920" s="164"/>
      <c r="L920" s="164"/>
      <c r="M920" s="164"/>
      <c r="N920" s="164"/>
      <c r="O920" s="164"/>
      <c r="P920" s="164"/>
      <c r="Q920" s="164"/>
      <c r="R920" s="164"/>
      <c r="S920" s="164"/>
      <c r="T920" s="164"/>
      <c r="U920" s="164"/>
      <c r="V920" s="164"/>
      <c r="W920" s="164"/>
      <c r="X920" s="164"/>
      <c r="Y920" s="164"/>
      <c r="Z920" s="164"/>
    </row>
    <row r="921">
      <c r="A921" s="164"/>
      <c r="B921" s="164"/>
      <c r="C921" s="164"/>
      <c r="D921" s="164"/>
      <c r="E921" s="164"/>
      <c r="F921" s="164"/>
      <c r="G921" s="164"/>
      <c r="H921" s="164"/>
      <c r="I921" s="164"/>
      <c r="J921" s="164"/>
      <c r="K921" s="164"/>
      <c r="L921" s="164"/>
      <c r="M921" s="164"/>
      <c r="N921" s="164"/>
      <c r="O921" s="164"/>
      <c r="P921" s="164"/>
      <c r="Q921" s="164"/>
      <c r="R921" s="164"/>
      <c r="S921" s="164"/>
      <c r="T921" s="164"/>
      <c r="U921" s="164"/>
      <c r="V921" s="164"/>
      <c r="W921" s="164"/>
      <c r="X921" s="164"/>
      <c r="Y921" s="164"/>
      <c r="Z921" s="164"/>
    </row>
    <row r="922">
      <c r="A922" s="164"/>
      <c r="B922" s="164"/>
      <c r="C922" s="164"/>
      <c r="D922" s="164"/>
      <c r="E922" s="164"/>
      <c r="F922" s="164"/>
      <c r="G922" s="164"/>
      <c r="H922" s="164"/>
      <c r="I922" s="164"/>
      <c r="J922" s="164"/>
      <c r="K922" s="164"/>
      <c r="L922" s="164"/>
      <c r="M922" s="164"/>
      <c r="N922" s="164"/>
      <c r="O922" s="164"/>
      <c r="P922" s="164"/>
      <c r="Q922" s="164"/>
      <c r="R922" s="164"/>
      <c r="S922" s="164"/>
      <c r="T922" s="164"/>
      <c r="U922" s="164"/>
      <c r="V922" s="164"/>
      <c r="W922" s="164"/>
      <c r="X922" s="164"/>
      <c r="Y922" s="164"/>
      <c r="Z922" s="164"/>
    </row>
    <row r="923">
      <c r="A923" s="164"/>
      <c r="B923" s="164"/>
      <c r="C923" s="164"/>
      <c r="D923" s="164"/>
      <c r="E923" s="164"/>
      <c r="F923" s="164"/>
      <c r="G923" s="164"/>
      <c r="H923" s="164"/>
      <c r="I923" s="164"/>
      <c r="J923" s="164"/>
      <c r="K923" s="164"/>
      <c r="L923" s="164"/>
      <c r="M923" s="164"/>
      <c r="N923" s="164"/>
      <c r="O923" s="164"/>
      <c r="P923" s="164"/>
      <c r="Q923" s="164"/>
      <c r="R923" s="164"/>
      <c r="S923" s="164"/>
      <c r="T923" s="164"/>
      <c r="U923" s="164"/>
      <c r="V923" s="164"/>
      <c r="W923" s="164"/>
      <c r="X923" s="164"/>
      <c r="Y923" s="164"/>
      <c r="Z923" s="164"/>
    </row>
    <row r="924">
      <c r="A924" s="164"/>
      <c r="B924" s="164"/>
      <c r="C924" s="164"/>
      <c r="D924" s="164"/>
      <c r="E924" s="164"/>
      <c r="F924" s="164"/>
      <c r="G924" s="164"/>
      <c r="H924" s="164"/>
      <c r="I924" s="164"/>
      <c r="J924" s="164"/>
      <c r="K924" s="164"/>
      <c r="L924" s="164"/>
      <c r="M924" s="164"/>
      <c r="N924" s="164"/>
      <c r="O924" s="164"/>
      <c r="P924" s="164"/>
      <c r="Q924" s="164"/>
      <c r="R924" s="164"/>
      <c r="S924" s="164"/>
      <c r="T924" s="164"/>
      <c r="U924" s="164"/>
      <c r="V924" s="164"/>
      <c r="W924" s="164"/>
      <c r="X924" s="164"/>
      <c r="Y924" s="164"/>
      <c r="Z924" s="164"/>
    </row>
    <row r="925">
      <c r="A925" s="164"/>
      <c r="B925" s="164"/>
      <c r="C925" s="164"/>
      <c r="D925" s="164"/>
      <c r="E925" s="164"/>
      <c r="F925" s="164"/>
      <c r="G925" s="164"/>
      <c r="H925" s="164"/>
      <c r="I925" s="164"/>
      <c r="J925" s="164"/>
      <c r="K925" s="164"/>
      <c r="L925" s="164"/>
      <c r="M925" s="164"/>
      <c r="N925" s="164"/>
      <c r="O925" s="164"/>
      <c r="P925" s="164"/>
      <c r="Q925" s="164"/>
      <c r="R925" s="164"/>
      <c r="S925" s="164"/>
      <c r="T925" s="164"/>
      <c r="U925" s="164"/>
      <c r="V925" s="164"/>
      <c r="W925" s="164"/>
      <c r="X925" s="164"/>
      <c r="Y925" s="164"/>
      <c r="Z925" s="164"/>
    </row>
    <row r="926">
      <c r="A926" s="164"/>
      <c r="B926" s="164"/>
      <c r="C926" s="164"/>
      <c r="D926" s="164"/>
      <c r="E926" s="164"/>
      <c r="F926" s="164"/>
      <c r="G926" s="164"/>
      <c r="H926" s="164"/>
      <c r="I926" s="164"/>
      <c r="J926" s="164"/>
      <c r="K926" s="164"/>
      <c r="L926" s="164"/>
      <c r="M926" s="164"/>
      <c r="N926" s="164"/>
      <c r="O926" s="164"/>
      <c r="P926" s="164"/>
      <c r="Q926" s="164"/>
      <c r="R926" s="164"/>
      <c r="S926" s="164"/>
      <c r="T926" s="164"/>
      <c r="U926" s="164"/>
      <c r="V926" s="164"/>
      <c r="W926" s="164"/>
      <c r="X926" s="164"/>
      <c r="Y926" s="164"/>
      <c r="Z926" s="164"/>
    </row>
    <row r="927">
      <c r="A927" s="164"/>
      <c r="B927" s="164"/>
      <c r="C927" s="164"/>
      <c r="D927" s="164"/>
      <c r="E927" s="164"/>
      <c r="F927" s="164"/>
      <c r="G927" s="164"/>
      <c r="H927" s="164"/>
      <c r="I927" s="164"/>
      <c r="J927" s="164"/>
      <c r="K927" s="164"/>
      <c r="L927" s="164"/>
      <c r="M927" s="164"/>
      <c r="N927" s="164"/>
      <c r="O927" s="164"/>
      <c r="P927" s="164"/>
      <c r="Q927" s="164"/>
      <c r="R927" s="164"/>
      <c r="S927" s="164"/>
      <c r="T927" s="164"/>
      <c r="U927" s="164"/>
      <c r="V927" s="164"/>
      <c r="W927" s="164"/>
      <c r="X927" s="164"/>
      <c r="Y927" s="164"/>
      <c r="Z927" s="164"/>
    </row>
    <row r="928">
      <c r="A928" s="164"/>
      <c r="B928" s="164"/>
      <c r="C928" s="164"/>
      <c r="D928" s="164"/>
      <c r="E928" s="164"/>
      <c r="F928" s="164"/>
      <c r="G928" s="164"/>
      <c r="H928" s="164"/>
      <c r="I928" s="164"/>
      <c r="J928" s="164"/>
      <c r="K928" s="164"/>
      <c r="L928" s="164"/>
      <c r="M928" s="164"/>
      <c r="N928" s="164"/>
      <c r="O928" s="164"/>
      <c r="P928" s="164"/>
      <c r="Q928" s="164"/>
      <c r="R928" s="164"/>
      <c r="S928" s="164"/>
      <c r="T928" s="164"/>
      <c r="U928" s="164"/>
      <c r="V928" s="164"/>
      <c r="W928" s="164"/>
      <c r="X928" s="164"/>
      <c r="Y928" s="164"/>
      <c r="Z928" s="164"/>
    </row>
    <row r="929">
      <c r="A929" s="164"/>
      <c r="B929" s="164"/>
      <c r="C929" s="164"/>
      <c r="D929" s="164"/>
      <c r="E929" s="164"/>
      <c r="F929" s="164"/>
      <c r="G929" s="164"/>
      <c r="H929" s="164"/>
      <c r="I929" s="164"/>
      <c r="J929" s="164"/>
      <c r="K929" s="164"/>
      <c r="L929" s="164"/>
      <c r="M929" s="164"/>
      <c r="N929" s="164"/>
      <c r="O929" s="164"/>
      <c r="P929" s="164"/>
      <c r="Q929" s="164"/>
      <c r="R929" s="164"/>
      <c r="S929" s="164"/>
      <c r="T929" s="164"/>
      <c r="U929" s="164"/>
      <c r="V929" s="164"/>
      <c r="W929" s="164"/>
      <c r="X929" s="164"/>
      <c r="Y929" s="164"/>
      <c r="Z929" s="164"/>
    </row>
    <row r="930">
      <c r="A930" s="164"/>
      <c r="B930" s="164"/>
      <c r="C930" s="164"/>
      <c r="D930" s="164"/>
      <c r="E930" s="164"/>
      <c r="F930" s="164"/>
      <c r="G930" s="164"/>
      <c r="H930" s="164"/>
      <c r="I930" s="164"/>
      <c r="J930" s="164"/>
      <c r="K930" s="164"/>
      <c r="L930" s="164"/>
      <c r="M930" s="164"/>
      <c r="N930" s="164"/>
      <c r="O930" s="164"/>
      <c r="P930" s="164"/>
      <c r="Q930" s="164"/>
      <c r="R930" s="164"/>
      <c r="S930" s="164"/>
      <c r="T930" s="164"/>
      <c r="U930" s="164"/>
      <c r="V930" s="164"/>
      <c r="W930" s="164"/>
      <c r="X930" s="164"/>
      <c r="Y930" s="164"/>
      <c r="Z930" s="164"/>
    </row>
    <row r="931">
      <c r="A931" s="164"/>
      <c r="B931" s="164"/>
      <c r="C931" s="164"/>
      <c r="D931" s="164"/>
      <c r="E931" s="164"/>
      <c r="F931" s="164"/>
      <c r="G931" s="164"/>
      <c r="H931" s="164"/>
      <c r="I931" s="164"/>
      <c r="J931" s="164"/>
      <c r="K931" s="164"/>
      <c r="L931" s="164"/>
      <c r="M931" s="164"/>
      <c r="N931" s="164"/>
      <c r="O931" s="164"/>
      <c r="P931" s="164"/>
      <c r="Q931" s="164"/>
      <c r="R931" s="164"/>
      <c r="S931" s="164"/>
      <c r="T931" s="164"/>
      <c r="U931" s="164"/>
      <c r="V931" s="164"/>
      <c r="W931" s="164"/>
      <c r="X931" s="164"/>
      <c r="Y931" s="164"/>
      <c r="Z931" s="164"/>
    </row>
    <row r="932">
      <c r="A932" s="164"/>
      <c r="B932" s="164"/>
      <c r="C932" s="164"/>
      <c r="D932" s="164"/>
      <c r="E932" s="164"/>
      <c r="F932" s="164"/>
      <c r="G932" s="164"/>
      <c r="H932" s="164"/>
      <c r="I932" s="164"/>
      <c r="J932" s="164"/>
      <c r="K932" s="164"/>
      <c r="L932" s="164"/>
      <c r="M932" s="164"/>
      <c r="N932" s="164"/>
      <c r="O932" s="164"/>
      <c r="P932" s="164"/>
      <c r="Q932" s="164"/>
      <c r="R932" s="164"/>
      <c r="S932" s="164"/>
      <c r="T932" s="164"/>
      <c r="U932" s="164"/>
      <c r="V932" s="164"/>
      <c r="W932" s="164"/>
      <c r="X932" s="164"/>
      <c r="Y932" s="164"/>
      <c r="Z932" s="164"/>
    </row>
    <row r="933">
      <c r="A933" s="164"/>
      <c r="B933" s="164"/>
      <c r="C933" s="164"/>
      <c r="D933" s="164"/>
      <c r="E933" s="164"/>
      <c r="F933" s="164"/>
      <c r="G933" s="164"/>
      <c r="H933" s="164"/>
      <c r="I933" s="164"/>
      <c r="J933" s="164"/>
      <c r="K933" s="164"/>
      <c r="L933" s="164"/>
      <c r="M933" s="164"/>
      <c r="N933" s="164"/>
      <c r="O933" s="164"/>
      <c r="P933" s="164"/>
      <c r="Q933" s="164"/>
      <c r="R933" s="164"/>
      <c r="S933" s="164"/>
      <c r="T933" s="164"/>
      <c r="U933" s="164"/>
      <c r="V933" s="164"/>
      <c r="W933" s="164"/>
      <c r="X933" s="164"/>
      <c r="Y933" s="164"/>
      <c r="Z933" s="164"/>
    </row>
    <row r="934">
      <c r="A934" s="164"/>
      <c r="B934" s="164"/>
      <c r="C934" s="164"/>
      <c r="D934" s="164"/>
      <c r="E934" s="164"/>
      <c r="F934" s="164"/>
      <c r="G934" s="164"/>
      <c r="H934" s="164"/>
      <c r="I934" s="164"/>
      <c r="J934" s="164"/>
      <c r="K934" s="164"/>
      <c r="L934" s="164"/>
      <c r="M934" s="164"/>
      <c r="N934" s="164"/>
      <c r="O934" s="164"/>
      <c r="P934" s="164"/>
      <c r="Q934" s="164"/>
      <c r="R934" s="164"/>
      <c r="S934" s="164"/>
      <c r="T934" s="164"/>
      <c r="U934" s="164"/>
      <c r="V934" s="164"/>
      <c r="W934" s="164"/>
      <c r="X934" s="164"/>
      <c r="Y934" s="164"/>
      <c r="Z934" s="164"/>
    </row>
    <row r="935">
      <c r="A935" s="164"/>
      <c r="B935" s="164"/>
      <c r="C935" s="164"/>
      <c r="D935" s="164"/>
      <c r="E935" s="164"/>
      <c r="F935" s="164"/>
      <c r="G935" s="164"/>
      <c r="H935" s="164"/>
      <c r="I935" s="164"/>
      <c r="J935" s="164"/>
      <c r="K935" s="164"/>
      <c r="L935" s="164"/>
      <c r="M935" s="164"/>
      <c r="N935" s="164"/>
      <c r="O935" s="164"/>
      <c r="P935" s="164"/>
      <c r="Q935" s="164"/>
      <c r="R935" s="164"/>
      <c r="S935" s="164"/>
      <c r="T935" s="164"/>
      <c r="U935" s="164"/>
      <c r="V935" s="164"/>
      <c r="W935" s="164"/>
      <c r="X935" s="164"/>
      <c r="Y935" s="164"/>
      <c r="Z935" s="164"/>
    </row>
    <row r="936">
      <c r="A936" s="164"/>
      <c r="B936" s="164"/>
      <c r="C936" s="164"/>
      <c r="D936" s="164"/>
      <c r="E936" s="164"/>
      <c r="F936" s="164"/>
      <c r="G936" s="164"/>
      <c r="H936" s="164"/>
      <c r="I936" s="164"/>
      <c r="J936" s="164"/>
      <c r="K936" s="164"/>
      <c r="L936" s="164"/>
      <c r="M936" s="164"/>
      <c r="N936" s="164"/>
      <c r="O936" s="164"/>
      <c r="P936" s="164"/>
      <c r="Q936" s="164"/>
      <c r="R936" s="164"/>
      <c r="S936" s="164"/>
      <c r="T936" s="164"/>
      <c r="U936" s="164"/>
      <c r="V936" s="164"/>
      <c r="W936" s="164"/>
      <c r="X936" s="164"/>
      <c r="Y936" s="164"/>
      <c r="Z936" s="164"/>
    </row>
    <row r="937">
      <c r="A937" s="164"/>
      <c r="B937" s="164"/>
      <c r="C937" s="164"/>
      <c r="D937" s="164"/>
      <c r="E937" s="164"/>
      <c r="F937" s="164"/>
      <c r="G937" s="164"/>
      <c r="H937" s="164"/>
      <c r="I937" s="164"/>
      <c r="J937" s="164"/>
      <c r="K937" s="164"/>
      <c r="L937" s="164"/>
      <c r="M937" s="164"/>
      <c r="N937" s="164"/>
      <c r="O937" s="164"/>
      <c r="P937" s="164"/>
      <c r="Q937" s="164"/>
      <c r="R937" s="164"/>
      <c r="S937" s="164"/>
      <c r="T937" s="164"/>
      <c r="U937" s="164"/>
      <c r="V937" s="164"/>
      <c r="W937" s="164"/>
      <c r="X937" s="164"/>
      <c r="Y937" s="164"/>
      <c r="Z937" s="164"/>
    </row>
    <row r="938">
      <c r="A938" s="164"/>
      <c r="B938" s="164"/>
      <c r="C938" s="164"/>
      <c r="D938" s="164"/>
      <c r="E938" s="164"/>
      <c r="F938" s="164"/>
      <c r="G938" s="164"/>
      <c r="H938" s="164"/>
      <c r="I938" s="164"/>
      <c r="J938" s="164"/>
      <c r="K938" s="164"/>
      <c r="L938" s="164"/>
      <c r="M938" s="164"/>
      <c r="N938" s="164"/>
      <c r="O938" s="164"/>
      <c r="P938" s="164"/>
      <c r="Q938" s="164"/>
      <c r="R938" s="164"/>
      <c r="S938" s="164"/>
      <c r="T938" s="164"/>
      <c r="U938" s="164"/>
      <c r="V938" s="164"/>
      <c r="W938" s="164"/>
      <c r="X938" s="164"/>
      <c r="Y938" s="164"/>
      <c r="Z938" s="164"/>
    </row>
    <row r="939">
      <c r="A939" s="164"/>
      <c r="B939" s="164"/>
      <c r="C939" s="164"/>
      <c r="D939" s="164"/>
      <c r="E939" s="164"/>
      <c r="F939" s="164"/>
      <c r="G939" s="164"/>
      <c r="H939" s="164"/>
      <c r="I939" s="164"/>
      <c r="J939" s="164"/>
      <c r="K939" s="164"/>
      <c r="L939" s="164"/>
      <c r="M939" s="164"/>
      <c r="N939" s="164"/>
      <c r="O939" s="164"/>
      <c r="P939" s="164"/>
      <c r="Q939" s="164"/>
      <c r="R939" s="164"/>
      <c r="S939" s="164"/>
      <c r="T939" s="164"/>
      <c r="U939" s="164"/>
      <c r="V939" s="164"/>
      <c r="W939" s="164"/>
      <c r="X939" s="164"/>
      <c r="Y939" s="164"/>
      <c r="Z939" s="164"/>
    </row>
    <row r="940">
      <c r="A940" s="164"/>
      <c r="B940" s="164"/>
      <c r="C940" s="164"/>
      <c r="D940" s="164"/>
      <c r="E940" s="164"/>
      <c r="F940" s="164"/>
      <c r="G940" s="164"/>
      <c r="H940" s="164"/>
      <c r="I940" s="164"/>
      <c r="J940" s="164"/>
      <c r="K940" s="164"/>
      <c r="L940" s="164"/>
      <c r="M940" s="164"/>
      <c r="N940" s="164"/>
      <c r="O940" s="164"/>
      <c r="P940" s="164"/>
      <c r="Q940" s="164"/>
      <c r="R940" s="164"/>
      <c r="S940" s="164"/>
      <c r="T940" s="164"/>
      <c r="U940" s="164"/>
      <c r="V940" s="164"/>
      <c r="W940" s="164"/>
      <c r="X940" s="164"/>
      <c r="Y940" s="164"/>
      <c r="Z940" s="164"/>
    </row>
    <row r="941">
      <c r="A941" s="164"/>
      <c r="B941" s="164"/>
      <c r="C941" s="164"/>
      <c r="D941" s="164"/>
      <c r="E941" s="164"/>
      <c r="F941" s="164"/>
      <c r="G941" s="164"/>
      <c r="H941" s="164"/>
      <c r="I941" s="164"/>
      <c r="J941" s="164"/>
      <c r="K941" s="164"/>
      <c r="L941" s="164"/>
      <c r="M941" s="164"/>
      <c r="N941" s="164"/>
      <c r="O941" s="164"/>
      <c r="P941" s="164"/>
      <c r="Q941" s="164"/>
      <c r="R941" s="164"/>
      <c r="S941" s="164"/>
      <c r="T941" s="164"/>
      <c r="U941" s="164"/>
      <c r="V941" s="164"/>
      <c r="W941" s="164"/>
      <c r="X941" s="164"/>
      <c r="Y941" s="164"/>
      <c r="Z941" s="164"/>
    </row>
    <row r="942">
      <c r="A942" s="164"/>
      <c r="B942" s="164"/>
      <c r="C942" s="164"/>
      <c r="D942" s="164"/>
      <c r="E942" s="164"/>
      <c r="F942" s="164"/>
      <c r="G942" s="164"/>
      <c r="H942" s="164"/>
      <c r="I942" s="164"/>
      <c r="J942" s="164"/>
      <c r="K942" s="164"/>
      <c r="L942" s="164"/>
      <c r="M942" s="164"/>
      <c r="N942" s="164"/>
      <c r="O942" s="164"/>
      <c r="P942" s="164"/>
      <c r="Q942" s="164"/>
      <c r="R942" s="164"/>
      <c r="S942" s="164"/>
      <c r="T942" s="164"/>
      <c r="U942" s="164"/>
      <c r="V942" s="164"/>
      <c r="W942" s="164"/>
      <c r="X942" s="164"/>
      <c r="Y942" s="164"/>
      <c r="Z942" s="164"/>
    </row>
    <row r="943">
      <c r="A943" s="164"/>
      <c r="B943" s="164"/>
      <c r="C943" s="164"/>
      <c r="D943" s="164"/>
      <c r="E943" s="164"/>
      <c r="F943" s="164"/>
      <c r="G943" s="164"/>
      <c r="H943" s="164"/>
      <c r="I943" s="164"/>
      <c r="J943" s="164"/>
      <c r="K943" s="164"/>
      <c r="L943" s="164"/>
      <c r="M943" s="164"/>
      <c r="N943" s="164"/>
      <c r="O943" s="164"/>
      <c r="P943" s="164"/>
      <c r="Q943" s="164"/>
      <c r="R943" s="164"/>
      <c r="S943" s="164"/>
      <c r="T943" s="164"/>
      <c r="U943" s="164"/>
      <c r="V943" s="164"/>
      <c r="W943" s="164"/>
      <c r="X943" s="164"/>
      <c r="Y943" s="164"/>
      <c r="Z943" s="164"/>
    </row>
    <row r="944">
      <c r="A944" s="164"/>
      <c r="B944" s="164"/>
      <c r="C944" s="164"/>
      <c r="D944" s="164"/>
      <c r="E944" s="164"/>
      <c r="F944" s="164"/>
      <c r="G944" s="164"/>
      <c r="H944" s="164"/>
      <c r="I944" s="164"/>
      <c r="J944" s="164"/>
      <c r="K944" s="164"/>
      <c r="L944" s="164"/>
      <c r="M944" s="164"/>
      <c r="N944" s="164"/>
      <c r="O944" s="164"/>
      <c r="P944" s="164"/>
      <c r="Q944" s="164"/>
      <c r="R944" s="164"/>
      <c r="S944" s="164"/>
      <c r="T944" s="164"/>
      <c r="U944" s="164"/>
      <c r="V944" s="164"/>
      <c r="W944" s="164"/>
      <c r="X944" s="164"/>
      <c r="Y944" s="164"/>
      <c r="Z944" s="164"/>
    </row>
    <row r="945">
      <c r="A945" s="164"/>
      <c r="B945" s="164"/>
      <c r="C945" s="164"/>
      <c r="D945" s="164"/>
      <c r="E945" s="164"/>
      <c r="F945" s="164"/>
      <c r="G945" s="164"/>
      <c r="H945" s="164"/>
      <c r="I945" s="164"/>
      <c r="J945" s="164"/>
      <c r="K945" s="164"/>
      <c r="L945" s="164"/>
      <c r="M945" s="164"/>
      <c r="N945" s="164"/>
      <c r="O945" s="164"/>
      <c r="P945" s="164"/>
      <c r="Q945" s="164"/>
      <c r="R945" s="164"/>
      <c r="S945" s="164"/>
      <c r="T945" s="164"/>
      <c r="U945" s="164"/>
      <c r="V945" s="164"/>
      <c r="W945" s="164"/>
      <c r="X945" s="164"/>
      <c r="Y945" s="164"/>
      <c r="Z945" s="164"/>
    </row>
    <row r="946">
      <c r="A946" s="164"/>
      <c r="B946" s="164"/>
      <c r="C946" s="164"/>
      <c r="D946" s="164"/>
      <c r="E946" s="164"/>
      <c r="F946" s="164"/>
      <c r="G946" s="164"/>
      <c r="H946" s="164"/>
      <c r="I946" s="164"/>
      <c r="J946" s="164"/>
      <c r="K946" s="164"/>
      <c r="L946" s="164"/>
      <c r="M946" s="164"/>
      <c r="N946" s="164"/>
      <c r="O946" s="164"/>
      <c r="P946" s="164"/>
      <c r="Q946" s="164"/>
      <c r="R946" s="164"/>
      <c r="S946" s="164"/>
      <c r="T946" s="164"/>
      <c r="U946" s="164"/>
      <c r="V946" s="164"/>
      <c r="W946" s="164"/>
      <c r="X946" s="164"/>
      <c r="Y946" s="164"/>
      <c r="Z946" s="164"/>
    </row>
    <row r="947">
      <c r="A947" s="164"/>
      <c r="B947" s="164"/>
      <c r="C947" s="164"/>
      <c r="D947" s="164"/>
      <c r="E947" s="164"/>
      <c r="F947" s="164"/>
      <c r="G947" s="164"/>
      <c r="H947" s="164"/>
      <c r="I947" s="164"/>
      <c r="J947" s="164"/>
      <c r="K947" s="164"/>
      <c r="L947" s="164"/>
      <c r="M947" s="164"/>
      <c r="N947" s="164"/>
      <c r="O947" s="164"/>
      <c r="P947" s="164"/>
      <c r="Q947" s="164"/>
      <c r="R947" s="164"/>
      <c r="S947" s="164"/>
      <c r="T947" s="164"/>
      <c r="U947" s="164"/>
      <c r="V947" s="164"/>
      <c r="W947" s="164"/>
      <c r="X947" s="164"/>
      <c r="Y947" s="164"/>
      <c r="Z947" s="164"/>
    </row>
    <row r="948">
      <c r="A948" s="164"/>
      <c r="B948" s="164"/>
      <c r="C948" s="164"/>
      <c r="D948" s="164"/>
      <c r="E948" s="164"/>
      <c r="F948" s="164"/>
      <c r="G948" s="164"/>
      <c r="H948" s="164"/>
      <c r="I948" s="164"/>
      <c r="J948" s="164"/>
      <c r="K948" s="164"/>
      <c r="L948" s="164"/>
      <c r="M948" s="164"/>
      <c r="N948" s="164"/>
      <c r="O948" s="164"/>
      <c r="P948" s="164"/>
      <c r="Q948" s="164"/>
      <c r="R948" s="164"/>
      <c r="S948" s="164"/>
      <c r="T948" s="164"/>
      <c r="U948" s="164"/>
      <c r="V948" s="164"/>
      <c r="W948" s="164"/>
      <c r="X948" s="164"/>
      <c r="Y948" s="164"/>
      <c r="Z948" s="164"/>
    </row>
    <row r="949">
      <c r="A949" s="164"/>
      <c r="B949" s="164"/>
      <c r="C949" s="164"/>
      <c r="D949" s="164"/>
      <c r="E949" s="164"/>
      <c r="F949" s="164"/>
      <c r="G949" s="164"/>
      <c r="H949" s="164"/>
      <c r="I949" s="164"/>
      <c r="J949" s="164"/>
      <c r="K949" s="164"/>
      <c r="L949" s="164"/>
      <c r="M949" s="164"/>
      <c r="N949" s="164"/>
      <c r="O949" s="164"/>
      <c r="P949" s="164"/>
      <c r="Q949" s="164"/>
      <c r="R949" s="164"/>
      <c r="S949" s="164"/>
      <c r="T949" s="164"/>
      <c r="U949" s="164"/>
      <c r="V949" s="164"/>
      <c r="W949" s="164"/>
      <c r="X949" s="164"/>
      <c r="Y949" s="164"/>
      <c r="Z949" s="164"/>
    </row>
    <row r="950">
      <c r="A950" s="164"/>
      <c r="B950" s="164"/>
      <c r="C950" s="164"/>
      <c r="D950" s="164"/>
      <c r="E950" s="164"/>
      <c r="F950" s="164"/>
      <c r="G950" s="164"/>
      <c r="H950" s="164"/>
      <c r="I950" s="164"/>
      <c r="J950" s="164"/>
      <c r="K950" s="164"/>
      <c r="L950" s="164"/>
      <c r="M950" s="164"/>
      <c r="N950" s="164"/>
      <c r="O950" s="164"/>
      <c r="P950" s="164"/>
      <c r="Q950" s="164"/>
      <c r="R950" s="164"/>
      <c r="S950" s="164"/>
      <c r="T950" s="164"/>
      <c r="U950" s="164"/>
      <c r="V950" s="164"/>
      <c r="W950" s="164"/>
      <c r="X950" s="164"/>
      <c r="Y950" s="164"/>
      <c r="Z950" s="164"/>
    </row>
    <row r="951">
      <c r="A951" s="164"/>
      <c r="B951" s="164"/>
      <c r="C951" s="164"/>
      <c r="D951" s="164"/>
      <c r="E951" s="164"/>
      <c r="F951" s="164"/>
      <c r="G951" s="164"/>
      <c r="H951" s="164"/>
      <c r="I951" s="164"/>
      <c r="J951" s="164"/>
      <c r="K951" s="164"/>
      <c r="L951" s="164"/>
      <c r="M951" s="164"/>
      <c r="N951" s="164"/>
      <c r="O951" s="164"/>
      <c r="P951" s="164"/>
      <c r="Q951" s="164"/>
      <c r="R951" s="164"/>
      <c r="S951" s="164"/>
      <c r="T951" s="164"/>
      <c r="U951" s="164"/>
      <c r="V951" s="164"/>
      <c r="W951" s="164"/>
      <c r="X951" s="164"/>
      <c r="Y951" s="164"/>
      <c r="Z951" s="164"/>
    </row>
    <row r="952">
      <c r="A952" s="164"/>
      <c r="B952" s="164"/>
      <c r="C952" s="164"/>
      <c r="D952" s="164"/>
      <c r="E952" s="164"/>
      <c r="F952" s="164"/>
      <c r="G952" s="164"/>
      <c r="H952" s="164"/>
      <c r="I952" s="164"/>
      <c r="J952" s="164"/>
      <c r="K952" s="164"/>
      <c r="L952" s="164"/>
      <c r="M952" s="164"/>
      <c r="N952" s="164"/>
      <c r="O952" s="164"/>
      <c r="P952" s="164"/>
      <c r="Q952" s="164"/>
      <c r="R952" s="164"/>
      <c r="S952" s="164"/>
      <c r="T952" s="164"/>
      <c r="U952" s="164"/>
      <c r="V952" s="164"/>
      <c r="W952" s="164"/>
      <c r="X952" s="164"/>
      <c r="Y952" s="164"/>
      <c r="Z952" s="164"/>
    </row>
    <row r="953">
      <c r="A953" s="164"/>
      <c r="B953" s="164"/>
      <c r="C953" s="164"/>
      <c r="D953" s="164"/>
      <c r="E953" s="164"/>
      <c r="F953" s="164"/>
      <c r="G953" s="164"/>
      <c r="H953" s="164"/>
      <c r="I953" s="164"/>
      <c r="J953" s="164"/>
      <c r="K953" s="164"/>
      <c r="L953" s="164"/>
      <c r="M953" s="164"/>
      <c r="N953" s="164"/>
      <c r="O953" s="164"/>
      <c r="P953" s="164"/>
      <c r="Q953" s="164"/>
      <c r="R953" s="164"/>
      <c r="S953" s="164"/>
      <c r="T953" s="164"/>
      <c r="U953" s="164"/>
      <c r="V953" s="164"/>
      <c r="W953" s="164"/>
      <c r="X953" s="164"/>
      <c r="Y953" s="164"/>
      <c r="Z953" s="164"/>
    </row>
    <row r="954">
      <c r="A954" s="164"/>
      <c r="B954" s="164"/>
      <c r="C954" s="164"/>
      <c r="D954" s="164"/>
      <c r="E954" s="164"/>
      <c r="F954" s="164"/>
      <c r="G954" s="164"/>
      <c r="H954" s="164"/>
      <c r="I954" s="164"/>
      <c r="J954" s="164"/>
      <c r="K954" s="164"/>
      <c r="L954" s="164"/>
      <c r="M954" s="164"/>
      <c r="N954" s="164"/>
      <c r="O954" s="164"/>
      <c r="P954" s="164"/>
      <c r="Q954" s="164"/>
      <c r="R954" s="164"/>
      <c r="S954" s="164"/>
      <c r="T954" s="164"/>
      <c r="U954" s="164"/>
      <c r="V954" s="164"/>
      <c r="W954" s="164"/>
      <c r="X954" s="164"/>
      <c r="Y954" s="164"/>
      <c r="Z954" s="164"/>
    </row>
    <row r="955">
      <c r="A955" s="164"/>
      <c r="B955" s="164"/>
      <c r="C955" s="164"/>
      <c r="D955" s="164"/>
      <c r="E955" s="164"/>
      <c r="F955" s="164"/>
      <c r="G955" s="164"/>
      <c r="H955" s="164"/>
      <c r="I955" s="164"/>
      <c r="J955" s="164"/>
      <c r="K955" s="164"/>
      <c r="L955" s="164"/>
      <c r="M955" s="164"/>
      <c r="N955" s="164"/>
      <c r="O955" s="164"/>
      <c r="P955" s="164"/>
      <c r="Q955" s="164"/>
      <c r="R955" s="164"/>
      <c r="S955" s="164"/>
      <c r="T955" s="164"/>
      <c r="U955" s="164"/>
      <c r="V955" s="164"/>
      <c r="W955" s="164"/>
      <c r="X955" s="164"/>
      <c r="Y955" s="164"/>
      <c r="Z955" s="164"/>
    </row>
    <row r="956">
      <c r="A956" s="164"/>
      <c r="B956" s="164"/>
      <c r="C956" s="164"/>
      <c r="D956" s="164"/>
      <c r="E956" s="164"/>
      <c r="F956" s="164"/>
      <c r="G956" s="164"/>
      <c r="H956" s="164"/>
      <c r="I956" s="164"/>
      <c r="J956" s="164"/>
      <c r="K956" s="164"/>
      <c r="L956" s="164"/>
      <c r="M956" s="164"/>
      <c r="N956" s="164"/>
      <c r="O956" s="164"/>
      <c r="P956" s="164"/>
      <c r="Q956" s="164"/>
      <c r="R956" s="164"/>
      <c r="S956" s="164"/>
      <c r="T956" s="164"/>
      <c r="U956" s="164"/>
      <c r="V956" s="164"/>
      <c r="W956" s="164"/>
      <c r="X956" s="164"/>
      <c r="Y956" s="164"/>
      <c r="Z956" s="164"/>
    </row>
    <row r="957">
      <c r="A957" s="164"/>
      <c r="B957" s="164"/>
      <c r="C957" s="164"/>
      <c r="D957" s="164"/>
      <c r="E957" s="164"/>
      <c r="F957" s="164"/>
      <c r="G957" s="164"/>
      <c r="H957" s="164"/>
      <c r="I957" s="164"/>
      <c r="J957" s="164"/>
      <c r="K957" s="164"/>
      <c r="L957" s="164"/>
      <c r="M957" s="164"/>
      <c r="N957" s="164"/>
      <c r="O957" s="164"/>
      <c r="P957" s="164"/>
      <c r="Q957" s="164"/>
      <c r="R957" s="164"/>
      <c r="S957" s="164"/>
      <c r="T957" s="164"/>
      <c r="U957" s="164"/>
      <c r="V957" s="164"/>
      <c r="W957" s="164"/>
      <c r="X957" s="164"/>
      <c r="Y957" s="164"/>
      <c r="Z957" s="164"/>
    </row>
    <row r="958">
      <c r="A958" s="164"/>
      <c r="B958" s="164"/>
      <c r="C958" s="164"/>
      <c r="D958" s="164"/>
      <c r="E958" s="164"/>
      <c r="F958" s="164"/>
      <c r="G958" s="164"/>
      <c r="H958" s="164"/>
      <c r="I958" s="164"/>
      <c r="J958" s="164"/>
      <c r="K958" s="164"/>
      <c r="L958" s="164"/>
      <c r="M958" s="164"/>
      <c r="N958" s="164"/>
      <c r="O958" s="164"/>
      <c r="P958" s="164"/>
      <c r="Q958" s="164"/>
      <c r="R958" s="164"/>
      <c r="S958" s="164"/>
      <c r="T958" s="164"/>
      <c r="U958" s="164"/>
      <c r="V958" s="164"/>
      <c r="W958" s="164"/>
      <c r="X958" s="164"/>
      <c r="Y958" s="164"/>
      <c r="Z958" s="164"/>
    </row>
    <row r="959">
      <c r="A959" s="164"/>
      <c r="B959" s="164"/>
      <c r="C959" s="164"/>
      <c r="D959" s="164"/>
      <c r="E959" s="164"/>
      <c r="F959" s="164"/>
      <c r="G959" s="164"/>
      <c r="H959" s="164"/>
      <c r="I959" s="164"/>
      <c r="J959" s="164"/>
      <c r="K959" s="164"/>
      <c r="L959" s="164"/>
      <c r="M959" s="164"/>
      <c r="N959" s="164"/>
      <c r="O959" s="164"/>
      <c r="P959" s="164"/>
      <c r="Q959" s="164"/>
      <c r="R959" s="164"/>
      <c r="S959" s="164"/>
      <c r="T959" s="164"/>
      <c r="U959" s="164"/>
      <c r="V959" s="164"/>
      <c r="W959" s="164"/>
      <c r="X959" s="164"/>
      <c r="Y959" s="164"/>
      <c r="Z959" s="164"/>
    </row>
    <row r="960">
      <c r="A960" s="164"/>
      <c r="B960" s="164"/>
      <c r="C960" s="164"/>
      <c r="D960" s="164"/>
      <c r="E960" s="164"/>
      <c r="F960" s="164"/>
      <c r="G960" s="164"/>
      <c r="H960" s="164"/>
      <c r="I960" s="164"/>
      <c r="J960" s="164"/>
      <c r="K960" s="164"/>
      <c r="L960" s="164"/>
      <c r="M960" s="164"/>
      <c r="N960" s="164"/>
      <c r="O960" s="164"/>
      <c r="P960" s="164"/>
      <c r="Q960" s="164"/>
      <c r="R960" s="164"/>
      <c r="S960" s="164"/>
      <c r="T960" s="164"/>
      <c r="U960" s="164"/>
      <c r="V960" s="164"/>
      <c r="W960" s="164"/>
      <c r="X960" s="164"/>
      <c r="Y960" s="164"/>
      <c r="Z960" s="164"/>
    </row>
    <row r="961">
      <c r="A961" s="164"/>
      <c r="B961" s="164"/>
      <c r="C961" s="164"/>
      <c r="D961" s="164"/>
      <c r="E961" s="164"/>
      <c r="F961" s="164"/>
      <c r="G961" s="164"/>
      <c r="H961" s="164"/>
      <c r="I961" s="164"/>
      <c r="J961" s="164"/>
      <c r="K961" s="164"/>
      <c r="L961" s="164"/>
      <c r="M961" s="164"/>
      <c r="N961" s="164"/>
      <c r="O961" s="164"/>
      <c r="P961" s="164"/>
      <c r="Q961" s="164"/>
      <c r="R961" s="164"/>
      <c r="S961" s="164"/>
      <c r="T961" s="164"/>
      <c r="U961" s="164"/>
      <c r="V961" s="164"/>
      <c r="W961" s="164"/>
      <c r="X961" s="164"/>
      <c r="Y961" s="164"/>
      <c r="Z961" s="164"/>
    </row>
    <row r="962">
      <c r="A962" s="164"/>
      <c r="B962" s="164"/>
      <c r="C962" s="164"/>
      <c r="D962" s="164"/>
      <c r="E962" s="164"/>
      <c r="F962" s="164"/>
      <c r="G962" s="164"/>
      <c r="H962" s="164"/>
      <c r="I962" s="164"/>
      <c r="J962" s="164"/>
      <c r="K962" s="164"/>
      <c r="L962" s="164"/>
      <c r="M962" s="164"/>
      <c r="N962" s="164"/>
      <c r="O962" s="164"/>
      <c r="P962" s="164"/>
      <c r="Q962" s="164"/>
      <c r="R962" s="164"/>
      <c r="S962" s="164"/>
      <c r="T962" s="164"/>
      <c r="U962" s="164"/>
      <c r="V962" s="164"/>
      <c r="W962" s="164"/>
      <c r="X962" s="164"/>
      <c r="Y962" s="164"/>
      <c r="Z962" s="164"/>
    </row>
    <row r="963">
      <c r="A963" s="164"/>
      <c r="B963" s="164"/>
      <c r="C963" s="164"/>
      <c r="D963" s="164"/>
      <c r="E963" s="164"/>
      <c r="F963" s="164"/>
      <c r="G963" s="164"/>
      <c r="H963" s="164"/>
      <c r="I963" s="164"/>
      <c r="J963" s="164"/>
      <c r="K963" s="164"/>
      <c r="L963" s="164"/>
      <c r="M963" s="164"/>
      <c r="N963" s="164"/>
      <c r="O963" s="164"/>
      <c r="P963" s="164"/>
      <c r="Q963" s="164"/>
      <c r="R963" s="164"/>
      <c r="S963" s="164"/>
      <c r="T963" s="164"/>
      <c r="U963" s="164"/>
      <c r="V963" s="164"/>
      <c r="W963" s="164"/>
      <c r="X963" s="164"/>
      <c r="Y963" s="164"/>
      <c r="Z963" s="164"/>
    </row>
    <row r="964">
      <c r="A964" s="164"/>
      <c r="B964" s="164"/>
      <c r="C964" s="164"/>
      <c r="D964" s="164"/>
      <c r="E964" s="164"/>
      <c r="F964" s="164"/>
      <c r="G964" s="164"/>
      <c r="H964" s="164"/>
      <c r="I964" s="164"/>
      <c r="J964" s="164"/>
      <c r="K964" s="164"/>
      <c r="L964" s="164"/>
      <c r="M964" s="164"/>
      <c r="N964" s="164"/>
      <c r="O964" s="164"/>
      <c r="P964" s="164"/>
      <c r="Q964" s="164"/>
      <c r="R964" s="164"/>
      <c r="S964" s="164"/>
      <c r="T964" s="164"/>
      <c r="U964" s="164"/>
      <c r="V964" s="164"/>
      <c r="W964" s="164"/>
      <c r="X964" s="164"/>
      <c r="Y964" s="164"/>
      <c r="Z964" s="164"/>
    </row>
    <row r="965">
      <c r="A965" s="164"/>
      <c r="B965" s="164"/>
      <c r="C965" s="164"/>
      <c r="D965" s="164"/>
      <c r="E965" s="164"/>
      <c r="F965" s="164"/>
      <c r="G965" s="164"/>
      <c r="H965" s="164"/>
      <c r="I965" s="164"/>
      <c r="J965" s="164"/>
      <c r="K965" s="164"/>
      <c r="L965" s="164"/>
      <c r="M965" s="164"/>
      <c r="N965" s="164"/>
      <c r="O965" s="164"/>
      <c r="P965" s="164"/>
      <c r="Q965" s="164"/>
      <c r="R965" s="164"/>
      <c r="S965" s="164"/>
      <c r="T965" s="164"/>
      <c r="U965" s="164"/>
      <c r="V965" s="164"/>
      <c r="W965" s="164"/>
      <c r="X965" s="164"/>
      <c r="Y965" s="164"/>
      <c r="Z965" s="164"/>
    </row>
    <row r="966">
      <c r="A966" s="164"/>
      <c r="B966" s="164"/>
      <c r="C966" s="164"/>
      <c r="D966" s="164"/>
      <c r="E966" s="164"/>
      <c r="F966" s="164"/>
      <c r="G966" s="164"/>
      <c r="H966" s="164"/>
      <c r="I966" s="164"/>
      <c r="J966" s="164"/>
      <c r="K966" s="164"/>
      <c r="L966" s="164"/>
      <c r="M966" s="164"/>
      <c r="N966" s="164"/>
      <c r="O966" s="164"/>
      <c r="P966" s="164"/>
      <c r="Q966" s="164"/>
      <c r="R966" s="164"/>
      <c r="S966" s="164"/>
      <c r="T966" s="164"/>
      <c r="U966" s="164"/>
      <c r="V966" s="164"/>
      <c r="W966" s="164"/>
      <c r="X966" s="164"/>
      <c r="Y966" s="164"/>
      <c r="Z966" s="164"/>
    </row>
    <row r="967">
      <c r="A967" s="164"/>
      <c r="B967" s="164"/>
      <c r="C967" s="164"/>
      <c r="D967" s="164"/>
      <c r="E967" s="164"/>
      <c r="F967" s="164"/>
      <c r="G967" s="164"/>
      <c r="H967" s="164"/>
      <c r="I967" s="164"/>
      <c r="J967" s="164"/>
      <c r="K967" s="164"/>
      <c r="L967" s="164"/>
      <c r="M967" s="164"/>
      <c r="N967" s="164"/>
      <c r="O967" s="164"/>
      <c r="P967" s="164"/>
      <c r="Q967" s="164"/>
      <c r="R967" s="164"/>
      <c r="S967" s="164"/>
      <c r="T967" s="164"/>
      <c r="U967" s="164"/>
      <c r="V967" s="164"/>
      <c r="W967" s="164"/>
      <c r="X967" s="164"/>
      <c r="Y967" s="164"/>
      <c r="Z967" s="164"/>
    </row>
    <row r="968">
      <c r="A968" s="164"/>
      <c r="B968" s="164"/>
      <c r="C968" s="164"/>
      <c r="D968" s="164"/>
      <c r="E968" s="164"/>
      <c r="F968" s="164"/>
      <c r="G968" s="164"/>
      <c r="H968" s="164"/>
      <c r="I968" s="164"/>
      <c r="J968" s="164"/>
      <c r="K968" s="164"/>
      <c r="L968" s="164"/>
      <c r="M968" s="164"/>
      <c r="N968" s="164"/>
      <c r="O968" s="164"/>
      <c r="P968" s="164"/>
      <c r="Q968" s="164"/>
      <c r="R968" s="164"/>
      <c r="S968" s="164"/>
      <c r="T968" s="164"/>
      <c r="U968" s="164"/>
      <c r="V968" s="164"/>
      <c r="W968" s="164"/>
      <c r="X968" s="164"/>
      <c r="Y968" s="164"/>
      <c r="Z968" s="164"/>
    </row>
    <row r="969">
      <c r="A969" s="164"/>
      <c r="B969" s="164"/>
      <c r="C969" s="164"/>
      <c r="D969" s="164"/>
      <c r="E969" s="164"/>
      <c r="F969" s="164"/>
      <c r="G969" s="164"/>
      <c r="H969" s="164"/>
      <c r="I969" s="164"/>
      <c r="J969" s="164"/>
      <c r="K969" s="164"/>
      <c r="L969" s="164"/>
      <c r="M969" s="164"/>
      <c r="N969" s="164"/>
      <c r="O969" s="164"/>
      <c r="P969" s="164"/>
      <c r="Q969" s="164"/>
      <c r="R969" s="164"/>
      <c r="S969" s="164"/>
      <c r="T969" s="164"/>
      <c r="U969" s="164"/>
      <c r="V969" s="164"/>
      <c r="W969" s="164"/>
      <c r="X969" s="164"/>
      <c r="Y969" s="164"/>
      <c r="Z969" s="164"/>
    </row>
    <row r="970">
      <c r="A970" s="164"/>
      <c r="B970" s="164"/>
      <c r="C970" s="164"/>
      <c r="D970" s="164"/>
      <c r="E970" s="164"/>
      <c r="F970" s="164"/>
      <c r="G970" s="164"/>
      <c r="H970" s="164"/>
      <c r="I970" s="164"/>
      <c r="J970" s="164"/>
      <c r="K970" s="164"/>
      <c r="L970" s="164"/>
      <c r="M970" s="164"/>
      <c r="N970" s="164"/>
      <c r="O970" s="164"/>
      <c r="P970" s="164"/>
      <c r="Q970" s="164"/>
      <c r="R970" s="164"/>
      <c r="S970" s="164"/>
      <c r="T970" s="164"/>
      <c r="U970" s="164"/>
      <c r="V970" s="164"/>
      <c r="W970" s="164"/>
      <c r="X970" s="164"/>
      <c r="Y970" s="164"/>
      <c r="Z970" s="164"/>
    </row>
    <row r="971">
      <c r="A971" s="164"/>
      <c r="B971" s="164"/>
      <c r="C971" s="164"/>
      <c r="D971" s="164"/>
      <c r="E971" s="164"/>
      <c r="F971" s="164"/>
      <c r="G971" s="164"/>
      <c r="H971" s="164"/>
      <c r="I971" s="164"/>
      <c r="J971" s="164"/>
      <c r="K971" s="164"/>
      <c r="L971" s="164"/>
      <c r="M971" s="164"/>
      <c r="N971" s="164"/>
      <c r="O971" s="164"/>
      <c r="P971" s="164"/>
      <c r="Q971" s="164"/>
      <c r="R971" s="164"/>
      <c r="S971" s="164"/>
      <c r="T971" s="164"/>
      <c r="U971" s="164"/>
      <c r="V971" s="164"/>
      <c r="W971" s="164"/>
      <c r="X971" s="164"/>
      <c r="Y971" s="164"/>
      <c r="Z971" s="164"/>
    </row>
    <row r="972">
      <c r="A972" s="164"/>
      <c r="B972" s="164"/>
      <c r="C972" s="164"/>
      <c r="D972" s="164"/>
      <c r="E972" s="164"/>
      <c r="F972" s="164"/>
      <c r="G972" s="164"/>
      <c r="H972" s="164"/>
      <c r="I972" s="164"/>
      <c r="J972" s="164"/>
      <c r="K972" s="164"/>
      <c r="L972" s="164"/>
      <c r="M972" s="164"/>
      <c r="N972" s="164"/>
      <c r="O972" s="164"/>
      <c r="P972" s="164"/>
      <c r="Q972" s="164"/>
      <c r="R972" s="164"/>
      <c r="S972" s="164"/>
      <c r="T972" s="164"/>
      <c r="U972" s="164"/>
      <c r="V972" s="164"/>
      <c r="W972" s="164"/>
      <c r="X972" s="164"/>
      <c r="Y972" s="164"/>
      <c r="Z972" s="164"/>
    </row>
    <row r="973">
      <c r="A973" s="164"/>
      <c r="B973" s="164"/>
      <c r="C973" s="164"/>
      <c r="D973" s="164"/>
      <c r="E973" s="164"/>
      <c r="F973" s="164"/>
      <c r="G973" s="164"/>
      <c r="H973" s="164"/>
      <c r="I973" s="164"/>
      <c r="J973" s="164"/>
      <c r="K973" s="164"/>
      <c r="L973" s="164"/>
      <c r="M973" s="164"/>
      <c r="N973" s="164"/>
      <c r="O973" s="164"/>
      <c r="P973" s="164"/>
      <c r="Q973" s="164"/>
      <c r="R973" s="164"/>
      <c r="S973" s="164"/>
      <c r="T973" s="164"/>
      <c r="U973" s="164"/>
      <c r="V973" s="164"/>
      <c r="W973" s="164"/>
      <c r="X973" s="164"/>
      <c r="Y973" s="164"/>
      <c r="Z973" s="164"/>
    </row>
    <row r="974">
      <c r="A974" s="164"/>
      <c r="B974" s="164"/>
      <c r="C974" s="164"/>
      <c r="D974" s="164"/>
      <c r="E974" s="164"/>
      <c r="F974" s="164"/>
      <c r="G974" s="164"/>
      <c r="H974" s="164"/>
      <c r="I974" s="164"/>
      <c r="J974" s="164"/>
      <c r="K974" s="164"/>
      <c r="L974" s="164"/>
      <c r="M974" s="164"/>
      <c r="N974" s="164"/>
      <c r="O974" s="164"/>
      <c r="P974" s="164"/>
      <c r="Q974" s="164"/>
      <c r="R974" s="164"/>
      <c r="S974" s="164"/>
      <c r="T974" s="164"/>
      <c r="U974" s="164"/>
      <c r="V974" s="164"/>
      <c r="W974" s="164"/>
      <c r="X974" s="164"/>
      <c r="Y974" s="164"/>
      <c r="Z974" s="164"/>
    </row>
    <row r="975">
      <c r="A975" s="164"/>
      <c r="B975" s="164"/>
      <c r="C975" s="164"/>
      <c r="D975" s="164"/>
      <c r="E975" s="164"/>
      <c r="F975" s="164"/>
      <c r="G975" s="164"/>
      <c r="H975" s="164"/>
      <c r="I975" s="164"/>
      <c r="J975" s="164"/>
      <c r="K975" s="164"/>
      <c r="L975" s="164"/>
      <c r="M975" s="164"/>
      <c r="N975" s="164"/>
      <c r="O975" s="164"/>
      <c r="P975" s="164"/>
      <c r="Q975" s="164"/>
      <c r="R975" s="164"/>
      <c r="S975" s="164"/>
      <c r="T975" s="164"/>
      <c r="U975" s="164"/>
      <c r="V975" s="164"/>
      <c r="W975" s="164"/>
      <c r="X975" s="164"/>
      <c r="Y975" s="164"/>
      <c r="Z975" s="164"/>
    </row>
    <row r="976">
      <c r="A976" s="164"/>
      <c r="B976" s="164"/>
      <c r="C976" s="164"/>
      <c r="D976" s="164"/>
      <c r="E976" s="164"/>
      <c r="F976" s="164"/>
      <c r="G976" s="164"/>
      <c r="H976" s="164"/>
      <c r="I976" s="164"/>
      <c r="J976" s="164"/>
      <c r="K976" s="164"/>
      <c r="L976" s="164"/>
      <c r="M976" s="164"/>
      <c r="N976" s="164"/>
      <c r="O976" s="164"/>
      <c r="P976" s="164"/>
      <c r="Q976" s="164"/>
      <c r="R976" s="164"/>
      <c r="S976" s="164"/>
      <c r="T976" s="164"/>
      <c r="U976" s="164"/>
      <c r="V976" s="164"/>
      <c r="W976" s="164"/>
      <c r="X976" s="164"/>
      <c r="Y976" s="164"/>
      <c r="Z976" s="164"/>
    </row>
    <row r="977">
      <c r="A977" s="164"/>
      <c r="B977" s="164"/>
      <c r="C977" s="164"/>
      <c r="D977" s="164"/>
      <c r="E977" s="164"/>
      <c r="F977" s="164"/>
      <c r="G977" s="164"/>
      <c r="H977" s="164"/>
      <c r="I977" s="164"/>
      <c r="J977" s="164"/>
      <c r="K977" s="164"/>
      <c r="L977" s="164"/>
      <c r="M977" s="164"/>
      <c r="N977" s="164"/>
      <c r="O977" s="164"/>
      <c r="P977" s="164"/>
      <c r="Q977" s="164"/>
      <c r="R977" s="164"/>
      <c r="S977" s="164"/>
      <c r="T977" s="164"/>
      <c r="U977" s="164"/>
      <c r="V977" s="164"/>
      <c r="W977" s="164"/>
      <c r="X977" s="164"/>
      <c r="Y977" s="164"/>
      <c r="Z977" s="164"/>
    </row>
    <row r="978">
      <c r="A978" s="164"/>
      <c r="B978" s="164"/>
      <c r="C978" s="164"/>
      <c r="D978" s="164"/>
      <c r="E978" s="164"/>
      <c r="F978" s="164"/>
      <c r="G978" s="164"/>
      <c r="H978" s="164"/>
      <c r="I978" s="164"/>
      <c r="J978" s="164"/>
      <c r="K978" s="164"/>
      <c r="L978" s="164"/>
      <c r="M978" s="164"/>
      <c r="N978" s="164"/>
      <c r="O978" s="164"/>
      <c r="P978" s="164"/>
      <c r="Q978" s="164"/>
      <c r="R978" s="164"/>
      <c r="S978" s="164"/>
      <c r="T978" s="164"/>
      <c r="U978" s="164"/>
      <c r="V978" s="164"/>
      <c r="W978" s="164"/>
      <c r="X978" s="164"/>
      <c r="Y978" s="164"/>
      <c r="Z978" s="164"/>
    </row>
    <row r="979">
      <c r="A979" s="164"/>
      <c r="B979" s="164"/>
      <c r="C979" s="164"/>
      <c r="D979" s="164"/>
      <c r="E979" s="164"/>
      <c r="F979" s="164"/>
      <c r="G979" s="164"/>
      <c r="H979" s="164"/>
      <c r="I979" s="164"/>
      <c r="J979" s="164"/>
      <c r="K979" s="164"/>
      <c r="L979" s="164"/>
      <c r="M979" s="164"/>
      <c r="N979" s="164"/>
      <c r="O979" s="164"/>
      <c r="P979" s="164"/>
      <c r="Q979" s="164"/>
      <c r="R979" s="164"/>
      <c r="S979" s="164"/>
      <c r="T979" s="164"/>
      <c r="U979" s="164"/>
      <c r="V979" s="164"/>
      <c r="W979" s="164"/>
      <c r="X979" s="164"/>
      <c r="Y979" s="164"/>
      <c r="Z979" s="164"/>
    </row>
    <row r="980">
      <c r="A980" s="164"/>
      <c r="B980" s="164"/>
      <c r="C980" s="164"/>
      <c r="D980" s="164"/>
      <c r="E980" s="164"/>
      <c r="F980" s="164"/>
      <c r="G980" s="164"/>
      <c r="H980" s="164"/>
      <c r="I980" s="164"/>
      <c r="J980" s="164"/>
      <c r="K980" s="164"/>
      <c r="L980" s="164"/>
      <c r="M980" s="164"/>
      <c r="N980" s="164"/>
      <c r="O980" s="164"/>
      <c r="P980" s="164"/>
      <c r="Q980" s="164"/>
      <c r="R980" s="164"/>
      <c r="S980" s="164"/>
      <c r="T980" s="164"/>
      <c r="U980" s="164"/>
      <c r="V980" s="164"/>
      <c r="W980" s="164"/>
      <c r="X980" s="164"/>
      <c r="Y980" s="164"/>
      <c r="Z980" s="164"/>
    </row>
    <row r="981">
      <c r="A981" s="164"/>
      <c r="B981" s="164"/>
      <c r="C981" s="164"/>
      <c r="D981" s="164"/>
      <c r="E981" s="164"/>
      <c r="F981" s="164"/>
      <c r="G981" s="164"/>
      <c r="H981" s="164"/>
      <c r="I981" s="164"/>
      <c r="J981" s="164"/>
      <c r="K981" s="164"/>
      <c r="L981" s="164"/>
      <c r="M981" s="164"/>
      <c r="N981" s="164"/>
      <c r="O981" s="164"/>
      <c r="P981" s="164"/>
      <c r="Q981" s="164"/>
      <c r="R981" s="164"/>
      <c r="S981" s="164"/>
      <c r="T981" s="164"/>
      <c r="U981" s="164"/>
      <c r="V981" s="164"/>
      <c r="W981" s="164"/>
      <c r="X981" s="164"/>
      <c r="Y981" s="164"/>
      <c r="Z981" s="164"/>
    </row>
    <row r="982">
      <c r="A982" s="164"/>
      <c r="B982" s="164"/>
      <c r="C982" s="164"/>
      <c r="D982" s="164"/>
      <c r="E982" s="164"/>
      <c r="F982" s="164"/>
      <c r="G982" s="164"/>
      <c r="H982" s="164"/>
      <c r="I982" s="164"/>
      <c r="J982" s="164"/>
      <c r="K982" s="164"/>
      <c r="L982" s="164"/>
      <c r="M982" s="164"/>
      <c r="N982" s="164"/>
      <c r="O982" s="164"/>
      <c r="P982" s="164"/>
      <c r="Q982" s="164"/>
      <c r="R982" s="164"/>
      <c r="S982" s="164"/>
      <c r="T982" s="164"/>
      <c r="U982" s="164"/>
      <c r="V982" s="164"/>
      <c r="W982" s="164"/>
      <c r="X982" s="164"/>
      <c r="Y982" s="164"/>
      <c r="Z982" s="164"/>
    </row>
    <row r="983">
      <c r="A983" s="164"/>
      <c r="B983" s="164"/>
      <c r="C983" s="164"/>
      <c r="D983" s="164"/>
      <c r="E983" s="164"/>
      <c r="F983" s="164"/>
      <c r="G983" s="164"/>
      <c r="H983" s="164"/>
      <c r="I983" s="164"/>
      <c r="J983" s="164"/>
      <c r="K983" s="164"/>
      <c r="L983" s="164"/>
      <c r="M983" s="164"/>
      <c r="N983" s="164"/>
      <c r="O983" s="164"/>
      <c r="P983" s="164"/>
      <c r="Q983" s="164"/>
      <c r="R983" s="164"/>
      <c r="S983" s="164"/>
      <c r="T983" s="164"/>
      <c r="U983" s="164"/>
      <c r="V983" s="164"/>
      <c r="W983" s="164"/>
      <c r="X983" s="164"/>
      <c r="Y983" s="164"/>
      <c r="Z983" s="164"/>
    </row>
    <row r="984">
      <c r="A984" s="164"/>
      <c r="B984" s="164"/>
      <c r="C984" s="164"/>
      <c r="D984" s="164"/>
      <c r="E984" s="164"/>
      <c r="F984" s="164"/>
      <c r="G984" s="164"/>
      <c r="H984" s="164"/>
      <c r="I984" s="164"/>
      <c r="J984" s="164"/>
      <c r="K984" s="164"/>
      <c r="L984" s="164"/>
      <c r="M984" s="164"/>
      <c r="N984" s="164"/>
      <c r="O984" s="164"/>
      <c r="P984" s="164"/>
      <c r="Q984" s="164"/>
      <c r="R984" s="164"/>
      <c r="S984" s="164"/>
      <c r="T984" s="164"/>
      <c r="U984" s="164"/>
      <c r="V984" s="164"/>
      <c r="W984" s="164"/>
      <c r="X984" s="164"/>
      <c r="Y984" s="164"/>
      <c r="Z984" s="164"/>
    </row>
    <row r="985">
      <c r="A985" s="164"/>
      <c r="B985" s="164"/>
      <c r="C985" s="164"/>
      <c r="D985" s="164"/>
      <c r="E985" s="164"/>
      <c r="F985" s="164"/>
      <c r="G985" s="164"/>
      <c r="H985" s="164"/>
      <c r="I985" s="164"/>
      <c r="J985" s="164"/>
      <c r="K985" s="164"/>
      <c r="L985" s="164"/>
      <c r="M985" s="164"/>
      <c r="N985" s="164"/>
      <c r="O985" s="164"/>
      <c r="P985" s="164"/>
      <c r="Q985" s="164"/>
      <c r="R985" s="164"/>
      <c r="S985" s="164"/>
      <c r="T985" s="164"/>
      <c r="U985" s="164"/>
      <c r="V985" s="164"/>
      <c r="W985" s="164"/>
      <c r="X985" s="164"/>
      <c r="Y985" s="164"/>
      <c r="Z985" s="164"/>
    </row>
    <row r="986">
      <c r="A986" s="164"/>
      <c r="B986" s="164"/>
      <c r="C986" s="164"/>
      <c r="D986" s="164"/>
      <c r="E986" s="164"/>
      <c r="F986" s="164"/>
      <c r="G986" s="164"/>
      <c r="H986" s="164"/>
      <c r="I986" s="164"/>
      <c r="J986" s="164"/>
      <c r="K986" s="164"/>
      <c r="L986" s="164"/>
      <c r="M986" s="164"/>
      <c r="N986" s="164"/>
      <c r="O986" s="164"/>
      <c r="P986" s="164"/>
      <c r="Q986" s="164"/>
      <c r="R986" s="164"/>
      <c r="S986" s="164"/>
      <c r="T986" s="164"/>
      <c r="U986" s="164"/>
      <c r="V986" s="164"/>
      <c r="W986" s="164"/>
      <c r="X986" s="164"/>
      <c r="Y986" s="164"/>
      <c r="Z986" s="164"/>
    </row>
    <row r="987">
      <c r="A987" s="164"/>
      <c r="B987" s="164"/>
      <c r="C987" s="164"/>
      <c r="D987" s="164"/>
      <c r="E987" s="164"/>
      <c r="F987" s="164"/>
      <c r="G987" s="164"/>
      <c r="H987" s="164"/>
      <c r="I987" s="164"/>
      <c r="J987" s="164"/>
      <c r="K987" s="164"/>
      <c r="L987" s="164"/>
      <c r="M987" s="164"/>
      <c r="N987" s="164"/>
      <c r="O987" s="164"/>
      <c r="P987" s="164"/>
      <c r="Q987" s="164"/>
      <c r="R987" s="164"/>
      <c r="S987" s="164"/>
      <c r="T987" s="164"/>
      <c r="U987" s="164"/>
      <c r="V987" s="164"/>
      <c r="W987" s="164"/>
      <c r="X987" s="164"/>
      <c r="Y987" s="164"/>
      <c r="Z987" s="164"/>
    </row>
    <row r="988">
      <c r="A988" s="164"/>
      <c r="B988" s="164"/>
      <c r="C988" s="164"/>
      <c r="D988" s="164"/>
      <c r="E988" s="164"/>
      <c r="F988" s="164"/>
      <c r="G988" s="164"/>
      <c r="H988" s="164"/>
      <c r="I988" s="164"/>
      <c r="J988" s="164"/>
      <c r="K988" s="164"/>
      <c r="L988" s="164"/>
      <c r="M988" s="164"/>
      <c r="N988" s="164"/>
      <c r="O988" s="164"/>
      <c r="P988" s="164"/>
      <c r="Q988" s="164"/>
      <c r="R988" s="164"/>
      <c r="S988" s="164"/>
      <c r="T988" s="164"/>
      <c r="U988" s="164"/>
      <c r="V988" s="164"/>
      <c r="W988" s="164"/>
      <c r="X988" s="164"/>
      <c r="Y988" s="164"/>
      <c r="Z988" s="164"/>
    </row>
    <row r="989">
      <c r="A989" s="164"/>
      <c r="B989" s="164"/>
      <c r="C989" s="164"/>
      <c r="D989" s="164"/>
      <c r="E989" s="164"/>
      <c r="F989" s="164"/>
      <c r="G989" s="164"/>
      <c r="H989" s="164"/>
      <c r="I989" s="164"/>
      <c r="J989" s="164"/>
      <c r="K989" s="164"/>
      <c r="L989" s="164"/>
      <c r="M989" s="164"/>
      <c r="N989" s="164"/>
      <c r="O989" s="164"/>
      <c r="P989" s="164"/>
      <c r="Q989" s="164"/>
      <c r="R989" s="164"/>
      <c r="S989" s="164"/>
      <c r="T989" s="164"/>
      <c r="U989" s="164"/>
      <c r="V989" s="164"/>
      <c r="W989" s="164"/>
      <c r="X989" s="164"/>
      <c r="Y989" s="164"/>
      <c r="Z989" s="164"/>
    </row>
    <row r="990">
      <c r="A990" s="164"/>
      <c r="B990" s="164"/>
      <c r="C990" s="164"/>
      <c r="D990" s="164"/>
      <c r="E990" s="164"/>
      <c r="F990" s="164"/>
      <c r="G990" s="164"/>
      <c r="H990" s="164"/>
      <c r="I990" s="164"/>
      <c r="J990" s="164"/>
      <c r="K990" s="164"/>
      <c r="L990" s="164"/>
      <c r="M990" s="164"/>
      <c r="N990" s="164"/>
      <c r="O990" s="164"/>
      <c r="P990" s="164"/>
      <c r="Q990" s="164"/>
      <c r="R990" s="164"/>
      <c r="S990" s="164"/>
      <c r="T990" s="164"/>
      <c r="U990" s="164"/>
      <c r="V990" s="164"/>
      <c r="W990" s="164"/>
      <c r="X990" s="164"/>
      <c r="Y990" s="164"/>
      <c r="Z990" s="164"/>
    </row>
    <row r="991">
      <c r="A991" s="164"/>
      <c r="B991" s="164"/>
      <c r="C991" s="164"/>
      <c r="D991" s="164"/>
      <c r="E991" s="164"/>
      <c r="F991" s="164"/>
      <c r="G991" s="164"/>
      <c r="H991" s="164"/>
      <c r="I991" s="164"/>
      <c r="J991" s="164"/>
      <c r="K991" s="164"/>
      <c r="L991" s="164"/>
      <c r="M991" s="164"/>
      <c r="N991" s="164"/>
      <c r="O991" s="164"/>
      <c r="P991" s="164"/>
      <c r="Q991" s="164"/>
      <c r="R991" s="164"/>
      <c r="S991" s="164"/>
      <c r="T991" s="164"/>
      <c r="U991" s="164"/>
      <c r="V991" s="164"/>
      <c r="W991" s="164"/>
      <c r="X991" s="164"/>
      <c r="Y991" s="164"/>
      <c r="Z991" s="164"/>
    </row>
    <row r="992">
      <c r="A992" s="164"/>
      <c r="B992" s="164"/>
      <c r="C992" s="164"/>
      <c r="D992" s="164"/>
      <c r="E992" s="164"/>
      <c r="F992" s="164"/>
      <c r="G992" s="164"/>
      <c r="H992" s="164"/>
      <c r="I992" s="164"/>
      <c r="J992" s="164"/>
      <c r="K992" s="164"/>
      <c r="L992" s="164"/>
      <c r="M992" s="164"/>
      <c r="N992" s="164"/>
      <c r="O992" s="164"/>
      <c r="P992" s="164"/>
      <c r="Q992" s="164"/>
      <c r="R992" s="164"/>
      <c r="S992" s="164"/>
      <c r="T992" s="164"/>
      <c r="U992" s="164"/>
      <c r="V992" s="164"/>
      <c r="W992" s="164"/>
      <c r="X992" s="164"/>
      <c r="Y992" s="164"/>
      <c r="Z992" s="164"/>
    </row>
    <row r="993">
      <c r="A993" s="164"/>
      <c r="B993" s="164"/>
      <c r="C993" s="164"/>
      <c r="D993" s="164"/>
      <c r="E993" s="164"/>
      <c r="F993" s="164"/>
      <c r="G993" s="164"/>
      <c r="H993" s="164"/>
      <c r="I993" s="164"/>
      <c r="J993" s="164"/>
      <c r="K993" s="164"/>
      <c r="L993" s="164"/>
      <c r="M993" s="164"/>
      <c r="N993" s="164"/>
      <c r="O993" s="164"/>
      <c r="P993" s="164"/>
      <c r="Q993" s="164"/>
      <c r="R993" s="164"/>
      <c r="S993" s="164"/>
      <c r="T993" s="164"/>
      <c r="U993" s="164"/>
      <c r="V993" s="164"/>
      <c r="W993" s="164"/>
      <c r="X993" s="164"/>
      <c r="Y993" s="164"/>
      <c r="Z993" s="164"/>
    </row>
    <row r="994">
      <c r="A994" s="164"/>
      <c r="B994" s="164"/>
      <c r="C994" s="164"/>
      <c r="D994" s="164"/>
      <c r="E994" s="164"/>
      <c r="F994" s="164"/>
      <c r="G994" s="164"/>
      <c r="H994" s="164"/>
      <c r="I994" s="164"/>
      <c r="J994" s="164"/>
      <c r="K994" s="164"/>
      <c r="L994" s="164"/>
      <c r="M994" s="164"/>
      <c r="N994" s="164"/>
      <c r="O994" s="164"/>
      <c r="P994" s="164"/>
      <c r="Q994" s="164"/>
      <c r="R994" s="164"/>
      <c r="S994" s="164"/>
      <c r="T994" s="164"/>
      <c r="U994" s="164"/>
      <c r="V994" s="164"/>
      <c r="W994" s="164"/>
      <c r="X994" s="164"/>
      <c r="Y994" s="164"/>
      <c r="Z994" s="164"/>
    </row>
    <row r="995">
      <c r="A995" s="164"/>
      <c r="B995" s="164"/>
      <c r="C995" s="164"/>
      <c r="D995" s="164"/>
      <c r="E995" s="164"/>
      <c r="F995" s="164"/>
      <c r="G995" s="164"/>
      <c r="H995" s="164"/>
      <c r="I995" s="164"/>
      <c r="J995" s="164"/>
      <c r="K995" s="164"/>
      <c r="L995" s="164"/>
      <c r="M995" s="164"/>
      <c r="N995" s="164"/>
      <c r="O995" s="164"/>
      <c r="P995" s="164"/>
      <c r="Q995" s="164"/>
      <c r="R995" s="164"/>
      <c r="S995" s="164"/>
      <c r="T995" s="164"/>
      <c r="U995" s="164"/>
      <c r="V995" s="164"/>
      <c r="W995" s="164"/>
      <c r="X995" s="164"/>
      <c r="Y995" s="164"/>
      <c r="Z995" s="164"/>
    </row>
    <row r="996">
      <c r="A996" s="164"/>
      <c r="B996" s="164"/>
      <c r="C996" s="164"/>
      <c r="D996" s="164"/>
      <c r="E996" s="164"/>
      <c r="F996" s="164"/>
      <c r="G996" s="164"/>
      <c r="H996" s="164"/>
      <c r="I996" s="164"/>
      <c r="J996" s="164"/>
      <c r="K996" s="164"/>
      <c r="L996" s="164"/>
      <c r="M996" s="164"/>
      <c r="N996" s="164"/>
      <c r="O996" s="164"/>
      <c r="P996" s="164"/>
      <c r="Q996" s="164"/>
      <c r="R996" s="164"/>
      <c r="S996" s="164"/>
      <c r="T996" s="164"/>
      <c r="U996" s="164"/>
      <c r="V996" s="164"/>
      <c r="W996" s="164"/>
      <c r="X996" s="164"/>
      <c r="Y996" s="164"/>
      <c r="Z996" s="164"/>
    </row>
    <row r="997">
      <c r="A997" s="164"/>
      <c r="B997" s="164"/>
      <c r="C997" s="164"/>
      <c r="D997" s="164"/>
      <c r="E997" s="164"/>
      <c r="F997" s="164"/>
      <c r="G997" s="164"/>
      <c r="H997" s="164"/>
      <c r="I997" s="164"/>
      <c r="J997" s="164"/>
      <c r="K997" s="164"/>
      <c r="L997" s="164"/>
      <c r="M997" s="164"/>
      <c r="N997" s="164"/>
      <c r="O997" s="164"/>
      <c r="P997" s="164"/>
      <c r="Q997" s="164"/>
      <c r="R997" s="164"/>
      <c r="S997" s="164"/>
      <c r="T997" s="164"/>
      <c r="U997" s="164"/>
      <c r="V997" s="164"/>
      <c r="W997" s="164"/>
      <c r="X997" s="164"/>
      <c r="Y997" s="164"/>
      <c r="Z997" s="164"/>
    </row>
    <row r="998">
      <c r="A998" s="164"/>
      <c r="B998" s="164"/>
      <c r="C998" s="164"/>
      <c r="D998" s="164"/>
      <c r="E998" s="164"/>
      <c r="F998" s="164"/>
      <c r="G998" s="164"/>
      <c r="H998" s="164"/>
      <c r="I998" s="164"/>
      <c r="J998" s="164"/>
      <c r="K998" s="164"/>
      <c r="L998" s="164"/>
      <c r="M998" s="164"/>
      <c r="N998" s="164"/>
      <c r="O998" s="164"/>
      <c r="P998" s="164"/>
      <c r="Q998" s="164"/>
      <c r="R998" s="164"/>
      <c r="S998" s="164"/>
      <c r="T998" s="164"/>
      <c r="U998" s="164"/>
      <c r="V998" s="164"/>
      <c r="W998" s="164"/>
      <c r="X998" s="164"/>
      <c r="Y998" s="164"/>
      <c r="Z998" s="164"/>
    </row>
    <row r="999">
      <c r="A999" s="164"/>
      <c r="B999" s="164"/>
      <c r="C999" s="164"/>
      <c r="D999" s="164"/>
      <c r="E999" s="164"/>
      <c r="F999" s="164"/>
      <c r="G999" s="164"/>
      <c r="H999" s="164"/>
      <c r="I999" s="164"/>
      <c r="J999" s="164"/>
      <c r="K999" s="164"/>
      <c r="L999" s="164"/>
      <c r="M999" s="164"/>
      <c r="N999" s="164"/>
      <c r="O999" s="164"/>
      <c r="P999" s="164"/>
      <c r="Q999" s="164"/>
      <c r="R999" s="164"/>
      <c r="S999" s="164"/>
      <c r="T999" s="164"/>
      <c r="U999" s="164"/>
      <c r="V999" s="164"/>
      <c r="W999" s="164"/>
      <c r="X999" s="164"/>
      <c r="Y999" s="164"/>
      <c r="Z999" s="164"/>
    </row>
    <row r="1000">
      <c r="A1000" s="164"/>
      <c r="B1000" s="164"/>
      <c r="C1000" s="164"/>
      <c r="D1000" s="164"/>
      <c r="E1000" s="164"/>
      <c r="F1000" s="164"/>
      <c r="G1000" s="164"/>
      <c r="H1000" s="164"/>
      <c r="I1000" s="164"/>
      <c r="J1000" s="164"/>
      <c r="K1000" s="164"/>
      <c r="L1000" s="164"/>
      <c r="M1000" s="164"/>
      <c r="N1000" s="164"/>
      <c r="O1000" s="164"/>
      <c r="P1000" s="164"/>
      <c r="Q1000" s="164"/>
      <c r="R1000" s="164"/>
      <c r="S1000" s="164"/>
      <c r="T1000" s="164"/>
      <c r="U1000" s="164"/>
      <c r="V1000" s="164"/>
      <c r="W1000" s="164"/>
      <c r="X1000" s="164"/>
      <c r="Y1000" s="164"/>
      <c r="Z1000" s="164"/>
    </row>
  </sheetData>
  <mergeCells count="2">
    <mergeCell ref="A2:A7"/>
    <mergeCell ref="A8:A18"/>
  </mergeCells>
  <drawing r:id="rId2"/>
  <legacyDrawing r:id="rId3"/>
  <tableParts count="3">
    <tablePart r:id="rId7"/>
    <tablePart r:id="rId8"/>
    <tablePart r:id="rId9"/>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8" width="18.88"/>
  </cols>
  <sheetData>
    <row r="1">
      <c r="A1" s="1636" t="s">
        <v>2579</v>
      </c>
      <c r="B1" s="1637" t="s">
        <v>2580</v>
      </c>
    </row>
  </sheetData>
  <drawing r:id="rId1"/>
</worksheet>
</file>