
<file path=[Content_Types].xml><?xml version="1.0" encoding="utf-8"?>
<Types xmlns="http://schemas.openxmlformats.org/package/2006/content-types">
  <Default Extension="png" ContentType="image/png"/>
  <Default Extension="jpeg" ContentType="image/jpe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盾牌" sheetId="3" r:id="rId1"/>
    <sheet name="防具" sheetId="5" r:id="rId2"/>
  </sheets>
  <definedNames>
    <definedName name="_xlnm._FilterDatabase" localSheetId="0" hidden="1">盾牌!$A$1:$Q$44</definedName>
    <definedName name="_xlnm._FilterDatabase" localSheetId="1" hidden="1">防具!$A$1:$W$294</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20" name="ID_BCC764EE96624A22B9B17AA953F093CB" descr="游民星空"/>
        <xdr:cNvPicPr>
          <a:picLocks noChangeAspect="1"/>
        </xdr:cNvPicPr>
      </xdr:nvPicPr>
      <xdr:blipFill>
        <a:blip r:embed="rId1" r:link="rId2"/>
        <a:stretch>
          <a:fillRect/>
        </a:stretch>
      </xdr:blipFill>
      <xdr:spPr>
        <a:xfrm>
          <a:off x="0" y="258471670"/>
          <a:ext cx="762000" cy="857250"/>
        </a:xfrm>
        <a:prstGeom prst="rect">
          <a:avLst/>
        </a:prstGeom>
        <a:noFill/>
        <a:ln w="9525">
          <a:noFill/>
        </a:ln>
      </xdr:spPr>
    </xdr:pic>
  </etc:cellImage>
  <etc:cellImage>
    <xdr:pic>
      <xdr:nvPicPr>
        <xdr:cNvPr id="319" name="ID_4D670DD580C64A8DA2F2BF45F4ED3C9D" descr="游民星空"/>
        <xdr:cNvPicPr>
          <a:picLocks noChangeAspect="1"/>
        </xdr:cNvPicPr>
      </xdr:nvPicPr>
      <xdr:blipFill>
        <a:blip r:embed="rId3" r:link="rId2"/>
        <a:stretch>
          <a:fillRect/>
        </a:stretch>
      </xdr:blipFill>
      <xdr:spPr>
        <a:xfrm>
          <a:off x="0" y="257517900"/>
          <a:ext cx="762000" cy="857250"/>
        </a:xfrm>
        <a:prstGeom prst="rect">
          <a:avLst/>
        </a:prstGeom>
        <a:noFill/>
        <a:ln w="9525">
          <a:noFill/>
        </a:ln>
      </xdr:spPr>
    </xdr:pic>
  </etc:cellImage>
  <etc:cellImage>
    <xdr:pic>
      <xdr:nvPicPr>
        <xdr:cNvPr id="318" name="ID_AAEA7E4947714422BC886C8FA89AF6FE" descr="游民星空"/>
        <xdr:cNvPicPr>
          <a:picLocks noChangeAspect="1"/>
        </xdr:cNvPicPr>
      </xdr:nvPicPr>
      <xdr:blipFill>
        <a:blip r:embed="rId4" r:link="rId2"/>
        <a:stretch>
          <a:fillRect/>
        </a:stretch>
      </xdr:blipFill>
      <xdr:spPr>
        <a:xfrm>
          <a:off x="0" y="256564130"/>
          <a:ext cx="762000" cy="952500"/>
        </a:xfrm>
        <a:prstGeom prst="rect">
          <a:avLst/>
        </a:prstGeom>
        <a:noFill/>
        <a:ln w="9525">
          <a:noFill/>
        </a:ln>
      </xdr:spPr>
    </xdr:pic>
  </etc:cellImage>
  <etc:cellImage>
    <xdr:pic>
      <xdr:nvPicPr>
        <xdr:cNvPr id="314" name="ID_BA69EC46D1464D39A37C423CBEB0D742" descr="游民星空"/>
        <xdr:cNvPicPr>
          <a:picLocks noChangeAspect="1"/>
        </xdr:cNvPicPr>
      </xdr:nvPicPr>
      <xdr:blipFill>
        <a:blip r:embed="rId5" r:link="rId2"/>
        <a:stretch>
          <a:fillRect/>
        </a:stretch>
      </xdr:blipFill>
      <xdr:spPr>
        <a:xfrm>
          <a:off x="0" y="254656590"/>
          <a:ext cx="762000" cy="952500"/>
        </a:xfrm>
        <a:prstGeom prst="rect">
          <a:avLst/>
        </a:prstGeom>
        <a:noFill/>
        <a:ln w="9525">
          <a:noFill/>
        </a:ln>
      </xdr:spPr>
    </xdr:pic>
  </etc:cellImage>
  <etc:cellImage>
    <xdr:pic>
      <xdr:nvPicPr>
        <xdr:cNvPr id="313" name="ID_BA0392525A1F4E1095A7D8EB4D05F18A" descr="游民星空"/>
        <xdr:cNvPicPr>
          <a:picLocks noChangeAspect="1"/>
        </xdr:cNvPicPr>
      </xdr:nvPicPr>
      <xdr:blipFill>
        <a:blip r:embed="rId6" r:link="rId2"/>
        <a:stretch>
          <a:fillRect/>
        </a:stretch>
      </xdr:blipFill>
      <xdr:spPr>
        <a:xfrm>
          <a:off x="0" y="253702820"/>
          <a:ext cx="762000" cy="952500"/>
        </a:xfrm>
        <a:prstGeom prst="rect">
          <a:avLst/>
        </a:prstGeom>
        <a:noFill/>
        <a:ln w="9525">
          <a:noFill/>
        </a:ln>
      </xdr:spPr>
    </xdr:pic>
  </etc:cellImage>
  <etc:cellImage>
    <xdr:pic>
      <xdr:nvPicPr>
        <xdr:cNvPr id="312" name="ID_C4E61B3FFCE241DDB4150719D3B93195" descr="游民星空"/>
        <xdr:cNvPicPr>
          <a:picLocks noChangeAspect="1"/>
        </xdr:cNvPicPr>
      </xdr:nvPicPr>
      <xdr:blipFill>
        <a:blip r:embed="rId7" r:link="rId2"/>
        <a:stretch>
          <a:fillRect/>
        </a:stretch>
      </xdr:blipFill>
      <xdr:spPr>
        <a:xfrm>
          <a:off x="0" y="252749050"/>
          <a:ext cx="762000" cy="952500"/>
        </a:xfrm>
        <a:prstGeom prst="rect">
          <a:avLst/>
        </a:prstGeom>
        <a:noFill/>
        <a:ln w="9525">
          <a:noFill/>
        </a:ln>
      </xdr:spPr>
    </xdr:pic>
  </etc:cellImage>
  <etc:cellImage>
    <xdr:pic>
      <xdr:nvPicPr>
        <xdr:cNvPr id="295" name="ID_40C1E39845104829B6807919DC31C87F" descr="游民星空"/>
        <xdr:cNvPicPr>
          <a:picLocks noChangeAspect="1"/>
        </xdr:cNvPicPr>
      </xdr:nvPicPr>
      <xdr:blipFill>
        <a:blip r:embed="rId8" r:link="rId2"/>
        <a:stretch>
          <a:fillRect/>
        </a:stretch>
      </xdr:blipFill>
      <xdr:spPr>
        <a:xfrm>
          <a:off x="0" y="250841510"/>
          <a:ext cx="762000" cy="952500"/>
        </a:xfrm>
        <a:prstGeom prst="rect">
          <a:avLst/>
        </a:prstGeom>
        <a:noFill/>
        <a:ln w="9525">
          <a:noFill/>
        </a:ln>
      </xdr:spPr>
    </xdr:pic>
  </etc:cellImage>
  <etc:cellImage>
    <xdr:pic>
      <xdr:nvPicPr>
        <xdr:cNvPr id="294" name="ID_1A738C43718042A6A3B9D49B6CE6CE81" descr="游民星空"/>
        <xdr:cNvPicPr>
          <a:picLocks noChangeAspect="1"/>
        </xdr:cNvPicPr>
      </xdr:nvPicPr>
      <xdr:blipFill>
        <a:blip r:embed="rId9" r:link="rId2"/>
        <a:stretch>
          <a:fillRect/>
        </a:stretch>
      </xdr:blipFill>
      <xdr:spPr>
        <a:xfrm>
          <a:off x="0" y="249887740"/>
          <a:ext cx="762000" cy="952500"/>
        </a:xfrm>
        <a:prstGeom prst="rect">
          <a:avLst/>
        </a:prstGeom>
        <a:noFill/>
        <a:ln w="9525">
          <a:noFill/>
        </a:ln>
      </xdr:spPr>
    </xdr:pic>
  </etc:cellImage>
  <etc:cellImage>
    <xdr:pic>
      <xdr:nvPicPr>
        <xdr:cNvPr id="316" name="ID_44652169B2214F31AD03EB7C7F065D31" descr="游民星空"/>
        <xdr:cNvPicPr>
          <a:picLocks noChangeAspect="1"/>
        </xdr:cNvPicPr>
      </xdr:nvPicPr>
      <xdr:blipFill>
        <a:blip r:embed="rId10" r:link="rId2"/>
        <a:stretch>
          <a:fillRect/>
        </a:stretch>
      </xdr:blipFill>
      <xdr:spPr>
        <a:xfrm>
          <a:off x="0" y="247980200"/>
          <a:ext cx="762000" cy="952500"/>
        </a:xfrm>
        <a:prstGeom prst="rect">
          <a:avLst/>
        </a:prstGeom>
        <a:noFill/>
        <a:ln w="9525">
          <a:noFill/>
        </a:ln>
      </xdr:spPr>
    </xdr:pic>
  </etc:cellImage>
  <etc:cellImage>
    <xdr:pic>
      <xdr:nvPicPr>
        <xdr:cNvPr id="315" name="ID_5751E675BF4C478B93619E8B04E0B81F" descr="游民星空"/>
        <xdr:cNvPicPr>
          <a:picLocks noChangeAspect="1"/>
        </xdr:cNvPicPr>
      </xdr:nvPicPr>
      <xdr:blipFill>
        <a:blip r:embed="rId11" r:link="rId2"/>
        <a:stretch>
          <a:fillRect/>
        </a:stretch>
      </xdr:blipFill>
      <xdr:spPr>
        <a:xfrm>
          <a:off x="0" y="247026430"/>
          <a:ext cx="762000" cy="857250"/>
        </a:xfrm>
        <a:prstGeom prst="rect">
          <a:avLst/>
        </a:prstGeom>
        <a:noFill/>
        <a:ln w="9525">
          <a:noFill/>
        </a:ln>
      </xdr:spPr>
    </xdr:pic>
  </etc:cellImage>
  <etc:cellImage>
    <xdr:pic>
      <xdr:nvPicPr>
        <xdr:cNvPr id="417" name="ID_5A5AD9FA4E2547A19FB6A397B3D355DF" descr="游民星空"/>
        <xdr:cNvPicPr>
          <a:picLocks noChangeAspect="1"/>
        </xdr:cNvPicPr>
      </xdr:nvPicPr>
      <xdr:blipFill>
        <a:blip r:embed="rId12" r:link="rId2"/>
        <a:stretch>
          <a:fillRect/>
        </a:stretch>
      </xdr:blipFill>
      <xdr:spPr>
        <a:xfrm>
          <a:off x="0" y="245118890"/>
          <a:ext cx="762000" cy="952500"/>
        </a:xfrm>
        <a:prstGeom prst="rect">
          <a:avLst/>
        </a:prstGeom>
        <a:noFill/>
        <a:ln w="9525">
          <a:noFill/>
        </a:ln>
      </xdr:spPr>
    </xdr:pic>
  </etc:cellImage>
  <etc:cellImage>
    <xdr:pic>
      <xdr:nvPicPr>
        <xdr:cNvPr id="288" name="ID_7723891B9E2F4EBF9366618A31E3042D" descr="游民星空"/>
        <xdr:cNvPicPr>
          <a:picLocks noChangeAspect="1"/>
        </xdr:cNvPicPr>
      </xdr:nvPicPr>
      <xdr:blipFill>
        <a:blip r:embed="rId13" r:link="rId2"/>
        <a:stretch>
          <a:fillRect/>
        </a:stretch>
      </xdr:blipFill>
      <xdr:spPr>
        <a:xfrm>
          <a:off x="0" y="243211350"/>
          <a:ext cx="762000" cy="952500"/>
        </a:xfrm>
        <a:prstGeom prst="rect">
          <a:avLst/>
        </a:prstGeom>
        <a:noFill/>
        <a:ln w="9525">
          <a:noFill/>
        </a:ln>
      </xdr:spPr>
    </xdr:pic>
  </etc:cellImage>
  <etc:cellImage>
    <xdr:pic>
      <xdr:nvPicPr>
        <xdr:cNvPr id="157" name="ID_C7D15F6718C84D089ADBA52BCDF3B7E8" descr="游民星空"/>
        <xdr:cNvPicPr>
          <a:picLocks noChangeAspect="1"/>
        </xdr:cNvPicPr>
      </xdr:nvPicPr>
      <xdr:blipFill>
        <a:blip r:embed="rId14" r:link="rId2"/>
        <a:stretch>
          <a:fillRect/>
        </a:stretch>
      </xdr:blipFill>
      <xdr:spPr>
        <a:xfrm>
          <a:off x="0" y="244165120"/>
          <a:ext cx="762000" cy="952500"/>
        </a:xfrm>
        <a:prstGeom prst="rect">
          <a:avLst/>
        </a:prstGeom>
        <a:noFill/>
        <a:ln w="9525">
          <a:noFill/>
        </a:ln>
      </xdr:spPr>
    </xdr:pic>
  </etc:cellImage>
  <etc:cellImage>
    <xdr:pic>
      <xdr:nvPicPr>
        <xdr:cNvPr id="414" name="ID_3EEF7987F6624CB8AC18ECA830E88737" descr="游民星空"/>
        <xdr:cNvPicPr>
          <a:picLocks noChangeAspect="1"/>
        </xdr:cNvPicPr>
      </xdr:nvPicPr>
      <xdr:blipFill>
        <a:blip r:embed="rId15" r:link="rId2"/>
        <a:stretch>
          <a:fillRect/>
        </a:stretch>
      </xdr:blipFill>
      <xdr:spPr>
        <a:xfrm>
          <a:off x="0" y="241303810"/>
          <a:ext cx="762000" cy="952500"/>
        </a:xfrm>
        <a:prstGeom prst="rect">
          <a:avLst/>
        </a:prstGeom>
        <a:noFill/>
        <a:ln w="9525">
          <a:noFill/>
        </a:ln>
      </xdr:spPr>
    </xdr:pic>
  </etc:cellImage>
  <etc:cellImage>
    <xdr:pic>
      <xdr:nvPicPr>
        <xdr:cNvPr id="285" name="ID_B6F1033FC043431BB02590745D318EEF" descr="游民星空"/>
        <xdr:cNvPicPr>
          <a:picLocks noChangeAspect="1"/>
        </xdr:cNvPicPr>
      </xdr:nvPicPr>
      <xdr:blipFill>
        <a:blip r:embed="rId16" r:link="rId2"/>
        <a:stretch>
          <a:fillRect/>
        </a:stretch>
      </xdr:blipFill>
      <xdr:spPr>
        <a:xfrm>
          <a:off x="0" y="239396270"/>
          <a:ext cx="762000" cy="952500"/>
        </a:xfrm>
        <a:prstGeom prst="rect">
          <a:avLst/>
        </a:prstGeom>
        <a:noFill/>
        <a:ln w="9525">
          <a:noFill/>
        </a:ln>
      </xdr:spPr>
    </xdr:pic>
  </etc:cellImage>
  <etc:cellImage>
    <xdr:pic>
      <xdr:nvPicPr>
        <xdr:cNvPr id="413" name="ID_1BE9CEAB9F164F12BC5AF80828A18A67" descr="游民星空"/>
        <xdr:cNvPicPr>
          <a:picLocks noChangeAspect="1"/>
        </xdr:cNvPicPr>
      </xdr:nvPicPr>
      <xdr:blipFill>
        <a:blip r:embed="rId17" r:link="rId2"/>
        <a:stretch>
          <a:fillRect/>
        </a:stretch>
      </xdr:blipFill>
      <xdr:spPr>
        <a:xfrm>
          <a:off x="0" y="237488730"/>
          <a:ext cx="762000" cy="952500"/>
        </a:xfrm>
        <a:prstGeom prst="rect">
          <a:avLst/>
        </a:prstGeom>
        <a:noFill/>
        <a:ln w="9525">
          <a:noFill/>
        </a:ln>
      </xdr:spPr>
    </xdr:pic>
  </etc:cellImage>
  <etc:cellImage>
    <xdr:pic>
      <xdr:nvPicPr>
        <xdr:cNvPr id="284" name="ID_E01F8BD1DB74476D830AF5C3C8BBD4A4" descr="游民星空"/>
        <xdr:cNvPicPr>
          <a:picLocks noChangeAspect="1"/>
        </xdr:cNvPicPr>
      </xdr:nvPicPr>
      <xdr:blipFill>
        <a:blip r:embed="rId18" r:link="rId2"/>
        <a:stretch>
          <a:fillRect/>
        </a:stretch>
      </xdr:blipFill>
      <xdr:spPr>
        <a:xfrm>
          <a:off x="0" y="235581190"/>
          <a:ext cx="762000" cy="952500"/>
        </a:xfrm>
        <a:prstGeom prst="rect">
          <a:avLst/>
        </a:prstGeom>
        <a:noFill/>
        <a:ln w="9525">
          <a:noFill/>
        </a:ln>
      </xdr:spPr>
    </xdr:pic>
  </etc:cellImage>
  <etc:cellImage>
    <xdr:pic>
      <xdr:nvPicPr>
        <xdr:cNvPr id="437" name="ID_7C5D68A88C2E48B3A45FFBF74D51F497" descr="游民星空"/>
        <xdr:cNvPicPr>
          <a:picLocks noChangeAspect="1"/>
        </xdr:cNvPicPr>
      </xdr:nvPicPr>
      <xdr:blipFill>
        <a:blip r:embed="rId19" r:link="rId2"/>
        <a:stretch>
          <a:fillRect/>
        </a:stretch>
      </xdr:blipFill>
      <xdr:spPr>
        <a:xfrm>
          <a:off x="0" y="233673650"/>
          <a:ext cx="762000" cy="952500"/>
        </a:xfrm>
        <a:prstGeom prst="rect">
          <a:avLst/>
        </a:prstGeom>
        <a:noFill/>
        <a:ln w="9525">
          <a:noFill/>
        </a:ln>
      </xdr:spPr>
    </xdr:pic>
  </etc:cellImage>
  <etc:cellImage>
    <xdr:pic>
      <xdr:nvPicPr>
        <xdr:cNvPr id="375" name="ID_EBFF77D8775A4A478F800B06B2CDE717" descr="游民星空"/>
        <xdr:cNvPicPr>
          <a:picLocks noChangeAspect="1"/>
        </xdr:cNvPicPr>
      </xdr:nvPicPr>
      <xdr:blipFill>
        <a:blip r:embed="rId20" r:link="rId2"/>
        <a:stretch>
          <a:fillRect/>
        </a:stretch>
      </xdr:blipFill>
      <xdr:spPr>
        <a:xfrm>
          <a:off x="0" y="232719880"/>
          <a:ext cx="762000" cy="952500"/>
        </a:xfrm>
        <a:prstGeom prst="rect">
          <a:avLst/>
        </a:prstGeom>
        <a:noFill/>
        <a:ln w="9525">
          <a:noFill/>
        </a:ln>
      </xdr:spPr>
    </xdr:pic>
  </etc:cellImage>
  <etc:cellImage>
    <xdr:pic>
      <xdr:nvPicPr>
        <xdr:cNvPr id="177" name="ID_F859F372416D4452A14EE0AD9C933EE2" descr="游民星空"/>
        <xdr:cNvPicPr>
          <a:picLocks noChangeAspect="1"/>
        </xdr:cNvPicPr>
      </xdr:nvPicPr>
      <xdr:blipFill>
        <a:blip r:embed="rId21" r:link="rId2"/>
        <a:stretch>
          <a:fillRect/>
        </a:stretch>
      </xdr:blipFill>
      <xdr:spPr>
        <a:xfrm>
          <a:off x="0" y="231766110"/>
          <a:ext cx="762000" cy="952500"/>
        </a:xfrm>
        <a:prstGeom prst="rect">
          <a:avLst/>
        </a:prstGeom>
        <a:noFill/>
        <a:ln w="9525">
          <a:noFill/>
        </a:ln>
      </xdr:spPr>
    </xdr:pic>
  </etc:cellImage>
  <etc:cellImage>
    <xdr:pic>
      <xdr:nvPicPr>
        <xdr:cNvPr id="430" name="ID_BFA8016C97E647498B0ACE0D4675B7DE" descr="游民星空"/>
        <xdr:cNvPicPr>
          <a:picLocks noChangeAspect="1"/>
        </xdr:cNvPicPr>
      </xdr:nvPicPr>
      <xdr:blipFill>
        <a:blip r:embed="rId22" r:link="rId2"/>
        <a:stretch>
          <a:fillRect/>
        </a:stretch>
      </xdr:blipFill>
      <xdr:spPr>
        <a:xfrm>
          <a:off x="0" y="229858570"/>
          <a:ext cx="762000" cy="857250"/>
        </a:xfrm>
        <a:prstGeom prst="rect">
          <a:avLst/>
        </a:prstGeom>
        <a:noFill/>
        <a:ln w="9525">
          <a:noFill/>
        </a:ln>
      </xdr:spPr>
    </xdr:pic>
  </etc:cellImage>
  <etc:cellImage>
    <xdr:pic>
      <xdr:nvPicPr>
        <xdr:cNvPr id="10" name="ID_4E9E3F39D3134CB8AAACB56FAC334B8C" descr="游民星空"/>
        <xdr:cNvPicPr>
          <a:picLocks noChangeAspect="1"/>
        </xdr:cNvPicPr>
      </xdr:nvPicPr>
      <xdr:blipFill>
        <a:blip r:embed="rId23" r:link="rId2"/>
        <a:stretch>
          <a:fillRect/>
        </a:stretch>
      </xdr:blipFill>
      <xdr:spPr>
        <a:xfrm>
          <a:off x="9525" y="228973380"/>
          <a:ext cx="733425" cy="824865"/>
        </a:xfrm>
        <a:prstGeom prst="rect">
          <a:avLst/>
        </a:prstGeom>
        <a:noFill/>
        <a:ln w="9525">
          <a:noFill/>
        </a:ln>
      </xdr:spPr>
    </xdr:pic>
  </etc:cellImage>
  <etc:cellImage>
    <xdr:pic>
      <xdr:nvPicPr>
        <xdr:cNvPr id="303" name="ID_44AB0B22444545E892AB263B8DE14DF6" descr="游民星空"/>
        <xdr:cNvPicPr>
          <a:picLocks noChangeAspect="1"/>
        </xdr:cNvPicPr>
      </xdr:nvPicPr>
      <xdr:blipFill>
        <a:blip r:embed="rId24" r:link="rId2"/>
        <a:stretch>
          <a:fillRect/>
        </a:stretch>
      </xdr:blipFill>
      <xdr:spPr>
        <a:xfrm>
          <a:off x="0" y="226997260"/>
          <a:ext cx="762000" cy="857250"/>
        </a:xfrm>
        <a:prstGeom prst="rect">
          <a:avLst/>
        </a:prstGeom>
        <a:noFill/>
        <a:ln w="9525">
          <a:noFill/>
        </a:ln>
      </xdr:spPr>
    </xdr:pic>
  </etc:cellImage>
  <etc:cellImage>
    <xdr:pic>
      <xdr:nvPicPr>
        <xdr:cNvPr id="429" name="ID_56346402FD444CCB84B396DB5E2DA76F" descr="游民星空"/>
        <xdr:cNvPicPr>
          <a:picLocks noChangeAspect="1"/>
        </xdr:cNvPicPr>
      </xdr:nvPicPr>
      <xdr:blipFill>
        <a:blip r:embed="rId25" r:link="rId2"/>
        <a:stretch>
          <a:fillRect/>
        </a:stretch>
      </xdr:blipFill>
      <xdr:spPr>
        <a:xfrm>
          <a:off x="0" y="226043490"/>
          <a:ext cx="762000" cy="857250"/>
        </a:xfrm>
        <a:prstGeom prst="rect">
          <a:avLst/>
        </a:prstGeom>
        <a:noFill/>
        <a:ln w="9525">
          <a:noFill/>
        </a:ln>
      </xdr:spPr>
    </xdr:pic>
  </etc:cellImage>
  <etc:cellImage>
    <xdr:pic>
      <xdr:nvPicPr>
        <xdr:cNvPr id="367" name="ID_A5C6E4D10AB34A97B12EFADA5FC85E20" descr="游民星空"/>
        <xdr:cNvPicPr>
          <a:picLocks noChangeAspect="1"/>
        </xdr:cNvPicPr>
      </xdr:nvPicPr>
      <xdr:blipFill>
        <a:blip r:embed="rId26" r:link="rId2"/>
        <a:stretch>
          <a:fillRect/>
        </a:stretch>
      </xdr:blipFill>
      <xdr:spPr>
        <a:xfrm>
          <a:off x="0" y="225089720"/>
          <a:ext cx="762000" cy="857250"/>
        </a:xfrm>
        <a:prstGeom prst="rect">
          <a:avLst/>
        </a:prstGeom>
        <a:noFill/>
        <a:ln w="9525">
          <a:noFill/>
        </a:ln>
      </xdr:spPr>
    </xdr:pic>
  </etc:cellImage>
  <etc:cellImage>
    <xdr:pic>
      <xdr:nvPicPr>
        <xdr:cNvPr id="302" name="ID_76E00F094FD54B4D88181AD85E2175AB" descr="游民星空"/>
        <xdr:cNvPicPr>
          <a:picLocks noChangeAspect="1"/>
        </xdr:cNvPicPr>
      </xdr:nvPicPr>
      <xdr:blipFill>
        <a:blip r:embed="rId27" r:link="rId2"/>
        <a:stretch>
          <a:fillRect/>
        </a:stretch>
      </xdr:blipFill>
      <xdr:spPr>
        <a:xfrm>
          <a:off x="0" y="223182180"/>
          <a:ext cx="762000" cy="857250"/>
        </a:xfrm>
        <a:prstGeom prst="rect">
          <a:avLst/>
        </a:prstGeom>
        <a:noFill/>
        <a:ln w="9525">
          <a:noFill/>
        </a:ln>
      </xdr:spPr>
    </xdr:pic>
  </etc:cellImage>
  <etc:cellImage>
    <xdr:pic>
      <xdr:nvPicPr>
        <xdr:cNvPr id="425" name="ID_FEF19622A5DF4FE8AD2C19C527921B78" descr="游民星空"/>
        <xdr:cNvPicPr>
          <a:picLocks noChangeAspect="1"/>
        </xdr:cNvPicPr>
      </xdr:nvPicPr>
      <xdr:blipFill>
        <a:blip r:embed="rId28" r:link="rId2"/>
        <a:stretch>
          <a:fillRect/>
        </a:stretch>
      </xdr:blipFill>
      <xdr:spPr>
        <a:xfrm>
          <a:off x="0" y="222228410"/>
          <a:ext cx="762000" cy="857250"/>
        </a:xfrm>
        <a:prstGeom prst="rect">
          <a:avLst/>
        </a:prstGeom>
        <a:noFill/>
        <a:ln w="9525">
          <a:noFill/>
        </a:ln>
      </xdr:spPr>
    </xdr:pic>
  </etc:cellImage>
  <etc:cellImage>
    <xdr:pic>
      <xdr:nvPicPr>
        <xdr:cNvPr id="363" name="ID_476EB6CF5EEE403E8FFFA0407DD601B5" descr="游民星空"/>
        <xdr:cNvPicPr>
          <a:picLocks noChangeAspect="1"/>
        </xdr:cNvPicPr>
      </xdr:nvPicPr>
      <xdr:blipFill>
        <a:blip r:embed="rId29" r:link="rId2"/>
        <a:stretch>
          <a:fillRect/>
        </a:stretch>
      </xdr:blipFill>
      <xdr:spPr>
        <a:xfrm>
          <a:off x="0" y="221274640"/>
          <a:ext cx="762000" cy="857250"/>
        </a:xfrm>
        <a:prstGeom prst="rect">
          <a:avLst/>
        </a:prstGeom>
        <a:noFill/>
        <a:ln w="9525">
          <a:noFill/>
        </a:ln>
      </xdr:spPr>
    </xdr:pic>
  </etc:cellImage>
  <etc:cellImage>
    <xdr:pic>
      <xdr:nvPicPr>
        <xdr:cNvPr id="169" name="ID_01D0914A874D4CD0B7ECBF243DA91985" descr="游民星空"/>
        <xdr:cNvPicPr>
          <a:picLocks noChangeAspect="1"/>
        </xdr:cNvPicPr>
      </xdr:nvPicPr>
      <xdr:blipFill>
        <a:blip r:embed="rId30" r:link="rId2"/>
        <a:stretch>
          <a:fillRect/>
        </a:stretch>
      </xdr:blipFill>
      <xdr:spPr>
        <a:xfrm>
          <a:off x="0" y="224135950"/>
          <a:ext cx="762000" cy="857250"/>
        </a:xfrm>
        <a:prstGeom prst="rect">
          <a:avLst/>
        </a:prstGeom>
        <a:noFill/>
        <a:ln w="9525">
          <a:noFill/>
        </a:ln>
      </xdr:spPr>
    </xdr:pic>
  </etc:cellImage>
  <etc:cellImage>
    <xdr:pic>
      <xdr:nvPicPr>
        <xdr:cNvPr id="11" name="ID_0F03AC0BC45E4A53B55C947D6B877428" descr="游民星空"/>
        <xdr:cNvPicPr>
          <a:picLocks noChangeAspect="1"/>
        </xdr:cNvPicPr>
      </xdr:nvPicPr>
      <xdr:blipFill>
        <a:blip r:embed="rId31" r:link="rId2"/>
        <a:stretch>
          <a:fillRect/>
        </a:stretch>
      </xdr:blipFill>
      <xdr:spPr>
        <a:xfrm>
          <a:off x="9525" y="230844725"/>
          <a:ext cx="733425" cy="916305"/>
        </a:xfrm>
        <a:prstGeom prst="rect">
          <a:avLst/>
        </a:prstGeom>
        <a:noFill/>
        <a:ln w="9525">
          <a:noFill/>
        </a:ln>
      </xdr:spPr>
    </xdr:pic>
  </etc:cellImage>
  <etc:cellImage>
    <xdr:pic>
      <xdr:nvPicPr>
        <xdr:cNvPr id="165" name="ID_34D33A45CF47483983B5A50C417E1CF3" descr="游民星空"/>
        <xdr:cNvPicPr>
          <a:picLocks noChangeAspect="1"/>
        </xdr:cNvPicPr>
      </xdr:nvPicPr>
      <xdr:blipFill>
        <a:blip r:embed="rId32" r:link="rId2"/>
        <a:stretch>
          <a:fillRect/>
        </a:stretch>
      </xdr:blipFill>
      <xdr:spPr>
        <a:xfrm>
          <a:off x="0" y="220320870"/>
          <a:ext cx="762000" cy="952500"/>
        </a:xfrm>
        <a:prstGeom prst="rect">
          <a:avLst/>
        </a:prstGeom>
        <a:noFill/>
        <a:ln w="9525">
          <a:noFill/>
        </a:ln>
      </xdr:spPr>
    </xdr:pic>
  </etc:cellImage>
  <etc:cellImage>
    <xdr:pic>
      <xdr:nvPicPr>
        <xdr:cNvPr id="298" name="ID_24BA7B681EA24A4CBE1CCB19C9FF9DF4" descr="游民星空"/>
        <xdr:cNvPicPr>
          <a:picLocks noChangeAspect="1"/>
        </xdr:cNvPicPr>
      </xdr:nvPicPr>
      <xdr:blipFill>
        <a:blip r:embed="rId33" r:link="rId2"/>
        <a:stretch>
          <a:fillRect/>
        </a:stretch>
      </xdr:blipFill>
      <xdr:spPr>
        <a:xfrm>
          <a:off x="0" y="219367100"/>
          <a:ext cx="762000" cy="857250"/>
        </a:xfrm>
        <a:prstGeom prst="rect">
          <a:avLst/>
        </a:prstGeom>
        <a:noFill/>
        <a:ln w="9525">
          <a:noFill/>
        </a:ln>
      </xdr:spPr>
    </xdr:pic>
  </etc:cellImage>
  <etc:cellImage>
    <xdr:pic>
      <xdr:nvPicPr>
        <xdr:cNvPr id="362" name="ID_6D78D535D22B497E8E0874989A6E52AB" descr="游民星空"/>
        <xdr:cNvPicPr>
          <a:picLocks noChangeAspect="1"/>
        </xdr:cNvPicPr>
      </xdr:nvPicPr>
      <xdr:blipFill>
        <a:blip r:embed="rId34" r:link="rId2"/>
        <a:stretch>
          <a:fillRect/>
        </a:stretch>
      </xdr:blipFill>
      <xdr:spPr>
        <a:xfrm>
          <a:off x="0" y="217459560"/>
          <a:ext cx="762000" cy="952500"/>
        </a:xfrm>
        <a:prstGeom prst="rect">
          <a:avLst/>
        </a:prstGeom>
        <a:noFill/>
        <a:ln w="9525">
          <a:noFill/>
        </a:ln>
      </xdr:spPr>
    </xdr:pic>
  </etc:cellImage>
  <etc:cellImage>
    <xdr:pic>
      <xdr:nvPicPr>
        <xdr:cNvPr id="12" name="ID_7656E465132C439ABA8F90561C19233D" descr="游民星空"/>
        <xdr:cNvPicPr>
          <a:picLocks noChangeAspect="1"/>
        </xdr:cNvPicPr>
      </xdr:nvPicPr>
      <xdr:blipFill>
        <a:blip r:embed="rId35" r:link="rId2"/>
        <a:stretch>
          <a:fillRect/>
        </a:stretch>
      </xdr:blipFill>
      <xdr:spPr>
        <a:xfrm>
          <a:off x="19050" y="216528650"/>
          <a:ext cx="733425" cy="916305"/>
        </a:xfrm>
        <a:prstGeom prst="rect">
          <a:avLst/>
        </a:prstGeom>
        <a:noFill/>
        <a:ln w="9525">
          <a:noFill/>
        </a:ln>
      </xdr:spPr>
    </xdr:pic>
  </etc:cellImage>
  <etc:cellImage>
    <xdr:pic>
      <xdr:nvPicPr>
        <xdr:cNvPr id="14" name="ID_EE8DFC9DDCB94C81A9DEC75BD23E843D" descr="游民星空"/>
        <xdr:cNvPicPr>
          <a:picLocks noChangeAspect="1"/>
        </xdr:cNvPicPr>
      </xdr:nvPicPr>
      <xdr:blipFill>
        <a:blip r:embed="rId36" r:link="rId2"/>
        <a:stretch>
          <a:fillRect/>
        </a:stretch>
      </xdr:blipFill>
      <xdr:spPr>
        <a:xfrm>
          <a:off x="19050" y="218436190"/>
          <a:ext cx="733425" cy="916305"/>
        </a:xfrm>
        <a:prstGeom prst="rect">
          <a:avLst/>
        </a:prstGeom>
        <a:noFill/>
        <a:ln w="9525">
          <a:noFill/>
        </a:ln>
      </xdr:spPr>
    </xdr:pic>
  </etc:cellImage>
  <etc:cellImage>
    <xdr:pic>
      <xdr:nvPicPr>
        <xdr:cNvPr id="3" name="ID_875482305C4844A7B95C26A267C08927" descr="游民星空"/>
        <xdr:cNvPicPr>
          <a:picLocks noChangeAspect="1"/>
        </xdr:cNvPicPr>
      </xdr:nvPicPr>
      <xdr:blipFill>
        <a:blip r:embed="rId37" r:link="rId2"/>
        <a:stretch>
          <a:fillRect/>
        </a:stretch>
      </xdr:blipFill>
      <xdr:spPr>
        <a:xfrm>
          <a:off x="0" y="215552020"/>
          <a:ext cx="762000" cy="952500"/>
        </a:xfrm>
        <a:prstGeom prst="rect">
          <a:avLst/>
        </a:prstGeom>
        <a:noFill/>
        <a:ln w="9525">
          <a:noFill/>
        </a:ln>
      </xdr:spPr>
    </xdr:pic>
  </etc:cellImage>
  <etc:cellImage>
    <xdr:pic>
      <xdr:nvPicPr>
        <xdr:cNvPr id="436" name="ID_1B19ED3DC4CB457E8D87AA9A3C0DF7C0" descr="游民星空"/>
        <xdr:cNvPicPr>
          <a:picLocks noChangeAspect="1"/>
        </xdr:cNvPicPr>
      </xdr:nvPicPr>
      <xdr:blipFill>
        <a:blip r:embed="rId38" r:link="rId2"/>
        <a:stretch>
          <a:fillRect/>
        </a:stretch>
      </xdr:blipFill>
      <xdr:spPr>
        <a:xfrm>
          <a:off x="0" y="214598250"/>
          <a:ext cx="762000" cy="857250"/>
        </a:xfrm>
        <a:prstGeom prst="rect">
          <a:avLst/>
        </a:prstGeom>
        <a:noFill/>
        <a:ln w="9525">
          <a:noFill/>
        </a:ln>
      </xdr:spPr>
    </xdr:pic>
  </etc:cellImage>
  <etc:cellImage>
    <xdr:pic>
      <xdr:nvPicPr>
        <xdr:cNvPr id="374" name="ID_CF6BE87325A94D948E49FC862412F4C2" descr="游民星空"/>
        <xdr:cNvPicPr>
          <a:picLocks noChangeAspect="1"/>
        </xdr:cNvPicPr>
      </xdr:nvPicPr>
      <xdr:blipFill>
        <a:blip r:embed="rId39" r:link="rId2"/>
        <a:stretch>
          <a:fillRect/>
        </a:stretch>
      </xdr:blipFill>
      <xdr:spPr>
        <a:xfrm>
          <a:off x="0" y="213644480"/>
          <a:ext cx="762000" cy="857250"/>
        </a:xfrm>
        <a:prstGeom prst="rect">
          <a:avLst/>
        </a:prstGeom>
        <a:noFill/>
        <a:ln w="9525">
          <a:noFill/>
        </a:ln>
      </xdr:spPr>
    </xdr:pic>
  </etc:cellImage>
  <etc:cellImage>
    <xdr:pic>
      <xdr:nvPicPr>
        <xdr:cNvPr id="243" name="ID_EF59FA05A98045F6AB56DFB8A025F257" descr="游民星空"/>
        <xdr:cNvPicPr>
          <a:picLocks noChangeAspect="1"/>
        </xdr:cNvPicPr>
      </xdr:nvPicPr>
      <xdr:blipFill>
        <a:blip r:embed="rId40" r:link="rId2"/>
        <a:stretch>
          <a:fillRect/>
        </a:stretch>
      </xdr:blipFill>
      <xdr:spPr>
        <a:xfrm>
          <a:off x="0" y="212690710"/>
          <a:ext cx="762000" cy="857250"/>
        </a:xfrm>
        <a:prstGeom prst="rect">
          <a:avLst/>
        </a:prstGeom>
        <a:noFill/>
        <a:ln w="9525">
          <a:noFill/>
        </a:ln>
      </xdr:spPr>
    </xdr:pic>
  </etc:cellImage>
  <etc:cellImage>
    <xdr:pic>
      <xdr:nvPicPr>
        <xdr:cNvPr id="309" name="ID_A42959F744014034897ECC6155B7ECD3" descr="游民星空"/>
        <xdr:cNvPicPr>
          <a:picLocks noChangeAspect="1"/>
        </xdr:cNvPicPr>
      </xdr:nvPicPr>
      <xdr:blipFill>
        <a:blip r:embed="rId41" r:link="rId2"/>
        <a:stretch>
          <a:fillRect/>
        </a:stretch>
      </xdr:blipFill>
      <xdr:spPr>
        <a:xfrm>
          <a:off x="0" y="211736940"/>
          <a:ext cx="762000" cy="857250"/>
        </a:xfrm>
        <a:prstGeom prst="rect">
          <a:avLst/>
        </a:prstGeom>
        <a:noFill/>
        <a:ln w="9525">
          <a:noFill/>
        </a:ln>
      </xdr:spPr>
    </xdr:pic>
  </etc:cellImage>
  <etc:cellImage>
    <xdr:pic>
      <xdr:nvPicPr>
        <xdr:cNvPr id="435" name="ID_BA1793CB35E147A2A03542E9300A09C2" descr="游民星空"/>
        <xdr:cNvPicPr>
          <a:picLocks noChangeAspect="1"/>
        </xdr:cNvPicPr>
      </xdr:nvPicPr>
      <xdr:blipFill>
        <a:blip r:embed="rId42" r:link="rId2"/>
        <a:stretch>
          <a:fillRect/>
        </a:stretch>
      </xdr:blipFill>
      <xdr:spPr>
        <a:xfrm>
          <a:off x="0" y="210783170"/>
          <a:ext cx="762000" cy="952500"/>
        </a:xfrm>
        <a:prstGeom prst="rect">
          <a:avLst/>
        </a:prstGeom>
        <a:noFill/>
        <a:ln w="9525">
          <a:noFill/>
        </a:ln>
      </xdr:spPr>
    </xdr:pic>
  </etc:cellImage>
  <etc:cellImage>
    <xdr:pic>
      <xdr:nvPicPr>
        <xdr:cNvPr id="373" name="ID_08DA36CD82CF4E4A9C3E266EBD6F895E" descr="游民星空"/>
        <xdr:cNvPicPr>
          <a:picLocks noChangeAspect="1"/>
        </xdr:cNvPicPr>
      </xdr:nvPicPr>
      <xdr:blipFill>
        <a:blip r:embed="rId43" r:link="rId2"/>
        <a:stretch>
          <a:fillRect/>
        </a:stretch>
      </xdr:blipFill>
      <xdr:spPr>
        <a:xfrm>
          <a:off x="0" y="209829400"/>
          <a:ext cx="762000" cy="952500"/>
        </a:xfrm>
        <a:prstGeom prst="rect">
          <a:avLst/>
        </a:prstGeom>
        <a:noFill/>
        <a:ln w="9525">
          <a:noFill/>
        </a:ln>
      </xdr:spPr>
    </xdr:pic>
  </etc:cellImage>
  <etc:cellImage>
    <xdr:pic>
      <xdr:nvPicPr>
        <xdr:cNvPr id="242" name="ID_8909FDD66B044B84A7464AF02AD987AA" descr="游民星空"/>
        <xdr:cNvPicPr>
          <a:picLocks noChangeAspect="1"/>
        </xdr:cNvPicPr>
      </xdr:nvPicPr>
      <xdr:blipFill>
        <a:blip r:embed="rId44" r:link="rId2"/>
        <a:stretch>
          <a:fillRect/>
        </a:stretch>
      </xdr:blipFill>
      <xdr:spPr>
        <a:xfrm>
          <a:off x="0" y="208875630"/>
          <a:ext cx="762000" cy="952500"/>
        </a:xfrm>
        <a:prstGeom prst="rect">
          <a:avLst/>
        </a:prstGeom>
        <a:noFill/>
        <a:ln w="9525">
          <a:noFill/>
        </a:ln>
      </xdr:spPr>
    </xdr:pic>
  </etc:cellImage>
  <etc:cellImage>
    <xdr:pic>
      <xdr:nvPicPr>
        <xdr:cNvPr id="308" name="ID_1371CB0155D04BEAB53C3461ED487886" descr="游民星空"/>
        <xdr:cNvPicPr>
          <a:picLocks noChangeAspect="1"/>
        </xdr:cNvPicPr>
      </xdr:nvPicPr>
      <xdr:blipFill>
        <a:blip r:embed="rId45" r:link="rId2"/>
        <a:stretch>
          <a:fillRect/>
        </a:stretch>
      </xdr:blipFill>
      <xdr:spPr>
        <a:xfrm>
          <a:off x="0" y="207921860"/>
          <a:ext cx="762000" cy="952500"/>
        </a:xfrm>
        <a:prstGeom prst="rect">
          <a:avLst/>
        </a:prstGeom>
        <a:noFill/>
        <a:ln w="9525">
          <a:noFill/>
        </a:ln>
      </xdr:spPr>
    </xdr:pic>
  </etc:cellImage>
  <etc:cellImage>
    <xdr:pic>
      <xdr:nvPicPr>
        <xdr:cNvPr id="423" name="ID_26D3CCFFCE344874A8DAAD9EE8C422E7" descr="游民星空"/>
        <xdr:cNvPicPr>
          <a:picLocks noChangeAspect="1"/>
        </xdr:cNvPicPr>
      </xdr:nvPicPr>
      <xdr:blipFill>
        <a:blip r:embed="rId46" r:link="rId2"/>
        <a:stretch>
          <a:fillRect/>
        </a:stretch>
      </xdr:blipFill>
      <xdr:spPr>
        <a:xfrm>
          <a:off x="0" y="206968090"/>
          <a:ext cx="762000" cy="952500"/>
        </a:xfrm>
        <a:prstGeom prst="rect">
          <a:avLst/>
        </a:prstGeom>
        <a:noFill/>
        <a:ln w="9525">
          <a:noFill/>
        </a:ln>
      </xdr:spPr>
    </xdr:pic>
  </etc:cellImage>
  <etc:cellImage>
    <xdr:pic>
      <xdr:nvPicPr>
        <xdr:cNvPr id="361" name="ID_BACA45C499D44799A657BFD74EA4AAF7" descr="游民星空"/>
        <xdr:cNvPicPr>
          <a:picLocks noChangeAspect="1"/>
        </xdr:cNvPicPr>
      </xdr:nvPicPr>
      <xdr:blipFill>
        <a:blip r:embed="rId47" r:link="rId2"/>
        <a:stretch>
          <a:fillRect/>
        </a:stretch>
      </xdr:blipFill>
      <xdr:spPr>
        <a:xfrm>
          <a:off x="0" y="206014320"/>
          <a:ext cx="762000" cy="952500"/>
        </a:xfrm>
        <a:prstGeom prst="rect">
          <a:avLst/>
        </a:prstGeom>
        <a:noFill/>
        <a:ln w="9525">
          <a:noFill/>
        </a:ln>
      </xdr:spPr>
    </xdr:pic>
  </etc:cellImage>
  <etc:cellImage>
    <xdr:pic>
      <xdr:nvPicPr>
        <xdr:cNvPr id="230" name="ID_A758A35157CF498CB17FAE19BFCE565C" descr="游民星空"/>
        <xdr:cNvPicPr>
          <a:picLocks noChangeAspect="1"/>
        </xdr:cNvPicPr>
      </xdr:nvPicPr>
      <xdr:blipFill>
        <a:blip r:embed="rId48" r:link="rId2"/>
        <a:stretch>
          <a:fillRect/>
        </a:stretch>
      </xdr:blipFill>
      <xdr:spPr>
        <a:xfrm>
          <a:off x="0" y="205060550"/>
          <a:ext cx="762000" cy="952500"/>
        </a:xfrm>
        <a:prstGeom prst="rect">
          <a:avLst/>
        </a:prstGeom>
        <a:noFill/>
        <a:ln w="9525">
          <a:noFill/>
        </a:ln>
      </xdr:spPr>
    </xdr:pic>
  </etc:cellImage>
  <etc:cellImage>
    <xdr:pic>
      <xdr:nvPicPr>
        <xdr:cNvPr id="296" name="ID_F3D748184A5142D28A9B7F8D64843407" descr="游民星空"/>
        <xdr:cNvPicPr>
          <a:picLocks noChangeAspect="1"/>
        </xdr:cNvPicPr>
      </xdr:nvPicPr>
      <xdr:blipFill>
        <a:blip r:embed="rId49" r:link="rId2"/>
        <a:stretch>
          <a:fillRect/>
        </a:stretch>
      </xdr:blipFill>
      <xdr:spPr>
        <a:xfrm>
          <a:off x="0" y="204106780"/>
          <a:ext cx="762000" cy="952500"/>
        </a:xfrm>
        <a:prstGeom prst="rect">
          <a:avLst/>
        </a:prstGeom>
        <a:noFill/>
        <a:ln w="9525">
          <a:noFill/>
        </a:ln>
      </xdr:spPr>
    </xdr:pic>
  </etc:cellImage>
  <etc:cellImage>
    <xdr:pic>
      <xdr:nvPicPr>
        <xdr:cNvPr id="421" name="ID_CAA4F3C5ABFF42E48DF3E2A389024086" descr="游民星空"/>
        <xdr:cNvPicPr>
          <a:picLocks noChangeAspect="1"/>
        </xdr:cNvPicPr>
      </xdr:nvPicPr>
      <xdr:blipFill>
        <a:blip r:embed="rId50" r:link="rId2"/>
        <a:stretch>
          <a:fillRect/>
        </a:stretch>
      </xdr:blipFill>
      <xdr:spPr>
        <a:xfrm>
          <a:off x="0" y="203153010"/>
          <a:ext cx="762000" cy="952500"/>
        </a:xfrm>
        <a:prstGeom prst="rect">
          <a:avLst/>
        </a:prstGeom>
        <a:noFill/>
        <a:ln w="9525">
          <a:noFill/>
        </a:ln>
      </xdr:spPr>
    </xdr:pic>
  </etc:cellImage>
  <etc:cellImage>
    <xdr:pic>
      <xdr:nvPicPr>
        <xdr:cNvPr id="359" name="ID_1C0B860DBB2D4AC0984D3BC8E5D82E57" descr="游民星空"/>
        <xdr:cNvPicPr>
          <a:picLocks noChangeAspect="1"/>
        </xdr:cNvPicPr>
      </xdr:nvPicPr>
      <xdr:blipFill>
        <a:blip r:embed="rId51" r:link="rId2"/>
        <a:stretch>
          <a:fillRect/>
        </a:stretch>
      </xdr:blipFill>
      <xdr:spPr>
        <a:xfrm>
          <a:off x="0" y="202199240"/>
          <a:ext cx="762000" cy="952500"/>
        </a:xfrm>
        <a:prstGeom prst="rect">
          <a:avLst/>
        </a:prstGeom>
        <a:noFill/>
        <a:ln w="9525">
          <a:noFill/>
        </a:ln>
      </xdr:spPr>
    </xdr:pic>
  </etc:cellImage>
  <etc:cellImage>
    <xdr:pic>
      <xdr:nvPicPr>
        <xdr:cNvPr id="228" name="ID_5075697A51EA467E9389C47E42537D6B" descr="游民星空"/>
        <xdr:cNvPicPr>
          <a:picLocks noChangeAspect="1"/>
        </xdr:cNvPicPr>
      </xdr:nvPicPr>
      <xdr:blipFill>
        <a:blip r:embed="rId52" r:link="rId2"/>
        <a:stretch>
          <a:fillRect/>
        </a:stretch>
      </xdr:blipFill>
      <xdr:spPr>
        <a:xfrm>
          <a:off x="0" y="201245470"/>
          <a:ext cx="762000" cy="952500"/>
        </a:xfrm>
        <a:prstGeom prst="rect">
          <a:avLst/>
        </a:prstGeom>
        <a:noFill/>
        <a:ln w="9525">
          <a:noFill/>
        </a:ln>
      </xdr:spPr>
    </xdr:pic>
  </etc:cellImage>
  <etc:cellImage>
    <xdr:pic>
      <xdr:nvPicPr>
        <xdr:cNvPr id="15" name="ID_1AB75592A4F2427BA6403875A532E533" descr="游民星空"/>
        <xdr:cNvPicPr>
          <a:picLocks noChangeAspect="1"/>
        </xdr:cNvPicPr>
      </xdr:nvPicPr>
      <xdr:blipFill>
        <a:blip r:embed="rId53" r:link="rId2"/>
        <a:stretch>
          <a:fillRect/>
        </a:stretch>
      </xdr:blipFill>
      <xdr:spPr>
        <a:xfrm>
          <a:off x="19050" y="200314560"/>
          <a:ext cx="733425" cy="916305"/>
        </a:xfrm>
        <a:prstGeom prst="rect">
          <a:avLst/>
        </a:prstGeom>
        <a:noFill/>
        <a:ln w="9525">
          <a:noFill/>
        </a:ln>
      </xdr:spPr>
    </xdr:pic>
  </etc:cellImage>
  <etc:cellImage>
    <xdr:pic>
      <xdr:nvPicPr>
        <xdr:cNvPr id="400" name="ID_6EEEF8C3691040F381291090BE437AD1" descr="游民星空"/>
        <xdr:cNvPicPr>
          <a:picLocks noChangeAspect="1"/>
        </xdr:cNvPicPr>
      </xdr:nvPicPr>
      <xdr:blipFill>
        <a:blip r:embed="rId54" r:link="rId2"/>
        <a:stretch>
          <a:fillRect/>
        </a:stretch>
      </xdr:blipFill>
      <xdr:spPr>
        <a:xfrm>
          <a:off x="0" y="199337930"/>
          <a:ext cx="762000" cy="952500"/>
        </a:xfrm>
        <a:prstGeom prst="rect">
          <a:avLst/>
        </a:prstGeom>
        <a:noFill/>
        <a:ln w="9525">
          <a:noFill/>
        </a:ln>
      </xdr:spPr>
    </xdr:pic>
  </etc:cellImage>
  <etc:cellImage>
    <xdr:pic>
      <xdr:nvPicPr>
        <xdr:cNvPr id="341" name="ID_8F4329CE1DFB41D7B04AC777D1CA70D7" descr="游民星空"/>
        <xdr:cNvPicPr>
          <a:picLocks noChangeAspect="1"/>
        </xdr:cNvPicPr>
      </xdr:nvPicPr>
      <xdr:blipFill>
        <a:blip r:embed="rId55" r:link="rId2"/>
        <a:stretch>
          <a:fillRect/>
        </a:stretch>
      </xdr:blipFill>
      <xdr:spPr>
        <a:xfrm>
          <a:off x="0" y="198384160"/>
          <a:ext cx="762000" cy="952500"/>
        </a:xfrm>
        <a:prstGeom prst="rect">
          <a:avLst/>
        </a:prstGeom>
        <a:noFill/>
        <a:ln w="9525">
          <a:noFill/>
        </a:ln>
      </xdr:spPr>
    </xdr:pic>
  </etc:cellImage>
  <etc:cellImage>
    <xdr:pic>
      <xdr:nvPicPr>
        <xdr:cNvPr id="207" name="ID_949A4C7875854D31A3C032319DEE7FBD" descr="游民星空"/>
        <xdr:cNvPicPr>
          <a:picLocks noChangeAspect="1"/>
        </xdr:cNvPicPr>
      </xdr:nvPicPr>
      <xdr:blipFill>
        <a:blip r:embed="rId56" r:link="rId2"/>
        <a:stretch>
          <a:fillRect/>
        </a:stretch>
      </xdr:blipFill>
      <xdr:spPr>
        <a:xfrm>
          <a:off x="0" y="197430390"/>
          <a:ext cx="762000" cy="952500"/>
        </a:xfrm>
        <a:prstGeom prst="rect">
          <a:avLst/>
        </a:prstGeom>
        <a:noFill/>
        <a:ln w="9525">
          <a:noFill/>
        </a:ln>
      </xdr:spPr>
    </xdr:pic>
  </etc:cellImage>
  <etc:cellImage>
    <xdr:pic>
      <xdr:nvPicPr>
        <xdr:cNvPr id="269" name="ID_6A95579881DA48D1AAE002421714661B" descr="游民星空"/>
        <xdr:cNvPicPr>
          <a:picLocks noChangeAspect="1"/>
        </xdr:cNvPicPr>
      </xdr:nvPicPr>
      <xdr:blipFill>
        <a:blip r:embed="rId57" r:link="rId2"/>
        <a:stretch>
          <a:fillRect/>
        </a:stretch>
      </xdr:blipFill>
      <xdr:spPr>
        <a:xfrm>
          <a:off x="0" y="196476620"/>
          <a:ext cx="762000" cy="952500"/>
        </a:xfrm>
        <a:prstGeom prst="rect">
          <a:avLst/>
        </a:prstGeom>
        <a:noFill/>
        <a:ln w="9525">
          <a:noFill/>
        </a:ln>
      </xdr:spPr>
    </xdr:pic>
  </etc:cellImage>
  <etc:cellImage>
    <xdr:pic>
      <xdr:nvPicPr>
        <xdr:cNvPr id="398" name="ID_AB29BCD993EA41DFAD2906D83E984F31" descr="游民星空"/>
        <xdr:cNvPicPr>
          <a:picLocks noChangeAspect="1"/>
        </xdr:cNvPicPr>
      </xdr:nvPicPr>
      <xdr:blipFill>
        <a:blip r:embed="rId58" r:link="rId2"/>
        <a:stretch>
          <a:fillRect/>
        </a:stretch>
      </xdr:blipFill>
      <xdr:spPr>
        <a:xfrm>
          <a:off x="0" y="195522850"/>
          <a:ext cx="762000" cy="952500"/>
        </a:xfrm>
        <a:prstGeom prst="rect">
          <a:avLst/>
        </a:prstGeom>
        <a:noFill/>
        <a:ln w="9525">
          <a:noFill/>
        </a:ln>
      </xdr:spPr>
    </xdr:pic>
  </etc:cellImage>
  <etc:cellImage>
    <xdr:pic>
      <xdr:nvPicPr>
        <xdr:cNvPr id="339" name="ID_55A01CC3A7BC440C9352B66E695BE77F" descr="游民星空"/>
        <xdr:cNvPicPr>
          <a:picLocks noChangeAspect="1"/>
        </xdr:cNvPicPr>
      </xdr:nvPicPr>
      <xdr:blipFill>
        <a:blip r:embed="rId59" r:link="rId2"/>
        <a:stretch>
          <a:fillRect/>
        </a:stretch>
      </xdr:blipFill>
      <xdr:spPr>
        <a:xfrm>
          <a:off x="0" y="194569080"/>
          <a:ext cx="762000" cy="952500"/>
        </a:xfrm>
        <a:prstGeom prst="rect">
          <a:avLst/>
        </a:prstGeom>
        <a:noFill/>
        <a:ln w="9525">
          <a:noFill/>
        </a:ln>
      </xdr:spPr>
    </xdr:pic>
  </etc:cellImage>
  <etc:cellImage>
    <xdr:pic>
      <xdr:nvPicPr>
        <xdr:cNvPr id="205" name="ID_BADEC10DAF034BCA8AE38F72C877A39D" descr="游民星空"/>
        <xdr:cNvPicPr>
          <a:picLocks noChangeAspect="1"/>
        </xdr:cNvPicPr>
      </xdr:nvPicPr>
      <xdr:blipFill>
        <a:blip r:embed="rId60" r:link="rId2"/>
        <a:stretch>
          <a:fillRect/>
        </a:stretch>
      </xdr:blipFill>
      <xdr:spPr>
        <a:xfrm>
          <a:off x="0" y="193615310"/>
          <a:ext cx="762000" cy="952500"/>
        </a:xfrm>
        <a:prstGeom prst="rect">
          <a:avLst/>
        </a:prstGeom>
        <a:noFill/>
        <a:ln w="9525">
          <a:noFill/>
        </a:ln>
      </xdr:spPr>
    </xdr:pic>
  </etc:cellImage>
  <etc:cellImage>
    <xdr:pic>
      <xdr:nvPicPr>
        <xdr:cNvPr id="267" name="ID_8B98E9897E3D413682613DB60E1717C2" descr="游民星空"/>
        <xdr:cNvPicPr>
          <a:picLocks noChangeAspect="1"/>
        </xdr:cNvPicPr>
      </xdr:nvPicPr>
      <xdr:blipFill>
        <a:blip r:embed="rId61" r:link="rId2"/>
        <a:stretch>
          <a:fillRect/>
        </a:stretch>
      </xdr:blipFill>
      <xdr:spPr>
        <a:xfrm>
          <a:off x="0" y="192661540"/>
          <a:ext cx="762000" cy="952500"/>
        </a:xfrm>
        <a:prstGeom prst="rect">
          <a:avLst/>
        </a:prstGeom>
        <a:noFill/>
        <a:ln w="9525">
          <a:noFill/>
        </a:ln>
      </xdr:spPr>
    </xdr:pic>
  </etc:cellImage>
  <etc:cellImage>
    <xdr:pic>
      <xdr:nvPicPr>
        <xdr:cNvPr id="406" name="ID_550F3E72D6324077BEA724E235C697AC" descr="游民星空"/>
        <xdr:cNvPicPr>
          <a:picLocks noChangeAspect="1"/>
        </xdr:cNvPicPr>
      </xdr:nvPicPr>
      <xdr:blipFill>
        <a:blip r:embed="rId62" r:link="rId2"/>
        <a:stretch>
          <a:fillRect/>
        </a:stretch>
      </xdr:blipFill>
      <xdr:spPr>
        <a:xfrm>
          <a:off x="0" y="191707770"/>
          <a:ext cx="762000" cy="952500"/>
        </a:xfrm>
        <a:prstGeom prst="rect">
          <a:avLst/>
        </a:prstGeom>
        <a:noFill/>
        <a:ln w="9525">
          <a:noFill/>
        </a:ln>
      </xdr:spPr>
    </xdr:pic>
  </etc:cellImage>
  <etc:cellImage>
    <xdr:pic>
      <xdr:nvPicPr>
        <xdr:cNvPr id="347" name="ID_310D6B719C674C32A47E33742F76AA50" descr="游民星空"/>
        <xdr:cNvPicPr>
          <a:picLocks noChangeAspect="1"/>
        </xdr:cNvPicPr>
      </xdr:nvPicPr>
      <xdr:blipFill>
        <a:blip r:embed="rId63" r:link="rId2"/>
        <a:stretch>
          <a:fillRect/>
        </a:stretch>
      </xdr:blipFill>
      <xdr:spPr>
        <a:xfrm>
          <a:off x="0" y="190754000"/>
          <a:ext cx="762000" cy="952500"/>
        </a:xfrm>
        <a:prstGeom prst="rect">
          <a:avLst/>
        </a:prstGeom>
        <a:noFill/>
        <a:ln w="9525">
          <a:noFill/>
        </a:ln>
      </xdr:spPr>
    </xdr:pic>
  </etc:cellImage>
  <etc:cellImage>
    <xdr:pic>
      <xdr:nvPicPr>
        <xdr:cNvPr id="213" name="ID_BE04ED93868744B1A0FE1B5B50876458" descr="游民星空"/>
        <xdr:cNvPicPr>
          <a:picLocks noChangeAspect="1"/>
        </xdr:cNvPicPr>
      </xdr:nvPicPr>
      <xdr:blipFill>
        <a:blip r:embed="rId64" r:link="rId2"/>
        <a:stretch>
          <a:fillRect/>
        </a:stretch>
      </xdr:blipFill>
      <xdr:spPr>
        <a:xfrm>
          <a:off x="0" y="189800230"/>
          <a:ext cx="762000" cy="952500"/>
        </a:xfrm>
        <a:prstGeom prst="rect">
          <a:avLst/>
        </a:prstGeom>
        <a:noFill/>
        <a:ln w="9525">
          <a:noFill/>
        </a:ln>
      </xdr:spPr>
    </xdr:pic>
  </etc:cellImage>
  <etc:cellImage>
    <xdr:pic>
      <xdr:nvPicPr>
        <xdr:cNvPr id="277" name="ID_11FA73E12673430988D83682161FA4CB" descr="游民星空"/>
        <xdr:cNvPicPr>
          <a:picLocks noChangeAspect="1"/>
        </xdr:cNvPicPr>
      </xdr:nvPicPr>
      <xdr:blipFill>
        <a:blip r:embed="rId65" r:link="rId2"/>
        <a:stretch>
          <a:fillRect/>
        </a:stretch>
      </xdr:blipFill>
      <xdr:spPr>
        <a:xfrm>
          <a:off x="0" y="188846460"/>
          <a:ext cx="762000" cy="952500"/>
        </a:xfrm>
        <a:prstGeom prst="rect">
          <a:avLst/>
        </a:prstGeom>
        <a:noFill/>
        <a:ln w="9525">
          <a:noFill/>
        </a:ln>
      </xdr:spPr>
    </xdr:pic>
  </etc:cellImage>
  <etc:cellImage>
    <xdr:pic>
      <xdr:nvPicPr>
        <xdr:cNvPr id="6" name="ID_FC72D795081A43238AAF42F288954329" descr="游民星空"/>
        <xdr:cNvPicPr>
          <a:picLocks noChangeAspect="1"/>
        </xdr:cNvPicPr>
      </xdr:nvPicPr>
      <xdr:blipFill>
        <a:blip r:embed="rId66" r:link="rId2"/>
        <a:stretch>
          <a:fillRect/>
        </a:stretch>
      </xdr:blipFill>
      <xdr:spPr>
        <a:xfrm>
          <a:off x="0" y="186938920"/>
          <a:ext cx="762000" cy="952500"/>
        </a:xfrm>
        <a:prstGeom prst="rect">
          <a:avLst/>
        </a:prstGeom>
        <a:noFill/>
        <a:ln w="9525">
          <a:noFill/>
        </a:ln>
      </xdr:spPr>
    </xdr:pic>
  </etc:cellImage>
  <etc:cellImage>
    <xdr:pic>
      <xdr:nvPicPr>
        <xdr:cNvPr id="5" name="ID_798C38EE8642448B8C8B8F95B2F8A2DB" descr="游民星空"/>
        <xdr:cNvPicPr>
          <a:picLocks noChangeAspect="1"/>
        </xdr:cNvPicPr>
      </xdr:nvPicPr>
      <xdr:blipFill>
        <a:blip r:embed="rId67" r:link="rId2"/>
        <a:stretch>
          <a:fillRect/>
        </a:stretch>
      </xdr:blipFill>
      <xdr:spPr>
        <a:xfrm>
          <a:off x="0" y="185985150"/>
          <a:ext cx="762000" cy="952500"/>
        </a:xfrm>
        <a:prstGeom prst="rect">
          <a:avLst/>
        </a:prstGeom>
        <a:noFill/>
        <a:ln w="9525">
          <a:noFill/>
        </a:ln>
      </xdr:spPr>
    </xdr:pic>
  </etc:cellImage>
  <etc:cellImage>
    <xdr:pic>
      <xdr:nvPicPr>
        <xdr:cNvPr id="4" name="ID_71AF767EC24647DCB0DCA0B882FC3BE8" descr="游民星空"/>
        <xdr:cNvPicPr>
          <a:picLocks noChangeAspect="1"/>
        </xdr:cNvPicPr>
      </xdr:nvPicPr>
      <xdr:blipFill>
        <a:blip r:embed="rId68" r:link="rId2"/>
        <a:stretch>
          <a:fillRect/>
        </a:stretch>
      </xdr:blipFill>
      <xdr:spPr>
        <a:xfrm>
          <a:off x="0" y="185031380"/>
          <a:ext cx="762000" cy="952500"/>
        </a:xfrm>
        <a:prstGeom prst="rect">
          <a:avLst/>
        </a:prstGeom>
        <a:noFill/>
        <a:ln w="9525">
          <a:noFill/>
        </a:ln>
      </xdr:spPr>
    </xdr:pic>
  </etc:cellImage>
  <etc:cellImage>
    <xdr:pic>
      <xdr:nvPicPr>
        <xdr:cNvPr id="7" name="ID_621EB5B126024B529BBCC8F770AFC2E4" descr="游民星空"/>
        <xdr:cNvPicPr>
          <a:picLocks noChangeAspect="1"/>
        </xdr:cNvPicPr>
      </xdr:nvPicPr>
      <xdr:blipFill>
        <a:blip r:embed="rId69" r:link="rId2"/>
        <a:stretch>
          <a:fillRect/>
        </a:stretch>
      </xdr:blipFill>
      <xdr:spPr>
        <a:xfrm>
          <a:off x="0" y="184077610"/>
          <a:ext cx="762000" cy="952500"/>
        </a:xfrm>
        <a:prstGeom prst="rect">
          <a:avLst/>
        </a:prstGeom>
        <a:noFill/>
        <a:ln w="9525">
          <a:noFill/>
        </a:ln>
      </xdr:spPr>
    </xdr:pic>
  </etc:cellImage>
  <etc:cellImage>
    <xdr:pic>
      <xdr:nvPicPr>
        <xdr:cNvPr id="428" name="ID_077D1DE3EF9C46A393CD60F140D5E6BB" descr="游民星空"/>
        <xdr:cNvPicPr>
          <a:picLocks noChangeAspect="1"/>
        </xdr:cNvPicPr>
      </xdr:nvPicPr>
      <xdr:blipFill>
        <a:blip r:embed="rId70" r:link="rId2"/>
        <a:stretch>
          <a:fillRect/>
        </a:stretch>
      </xdr:blipFill>
      <xdr:spPr>
        <a:xfrm>
          <a:off x="0" y="182170070"/>
          <a:ext cx="762000" cy="857250"/>
        </a:xfrm>
        <a:prstGeom prst="rect">
          <a:avLst/>
        </a:prstGeom>
        <a:noFill/>
        <a:ln w="9525">
          <a:noFill/>
        </a:ln>
      </xdr:spPr>
    </xdr:pic>
  </etc:cellImage>
  <etc:cellImage>
    <xdr:pic>
      <xdr:nvPicPr>
        <xdr:cNvPr id="366" name="ID_6FD5710240434E3DB70B252FEA1A767D" descr="游民星空"/>
        <xdr:cNvPicPr>
          <a:picLocks noChangeAspect="1"/>
        </xdr:cNvPicPr>
      </xdr:nvPicPr>
      <xdr:blipFill>
        <a:blip r:embed="rId71" r:link="rId2"/>
        <a:stretch>
          <a:fillRect/>
        </a:stretch>
      </xdr:blipFill>
      <xdr:spPr>
        <a:xfrm>
          <a:off x="0" y="181216300"/>
          <a:ext cx="762000" cy="857250"/>
        </a:xfrm>
        <a:prstGeom prst="rect">
          <a:avLst/>
        </a:prstGeom>
        <a:noFill/>
        <a:ln w="9525">
          <a:noFill/>
        </a:ln>
      </xdr:spPr>
    </xdr:pic>
  </etc:cellImage>
  <etc:cellImage>
    <xdr:pic>
      <xdr:nvPicPr>
        <xdr:cNvPr id="235" name="ID_F2C9E3DBBE9342618F829C907A7AB4B6" descr="游民星空"/>
        <xdr:cNvPicPr>
          <a:picLocks noChangeAspect="1"/>
        </xdr:cNvPicPr>
      </xdr:nvPicPr>
      <xdr:blipFill>
        <a:blip r:embed="rId72" r:link="rId2"/>
        <a:stretch>
          <a:fillRect/>
        </a:stretch>
      </xdr:blipFill>
      <xdr:spPr>
        <a:xfrm>
          <a:off x="0" y="180262530"/>
          <a:ext cx="762000" cy="857250"/>
        </a:xfrm>
        <a:prstGeom prst="rect">
          <a:avLst/>
        </a:prstGeom>
        <a:noFill/>
        <a:ln w="9525">
          <a:noFill/>
        </a:ln>
      </xdr:spPr>
    </xdr:pic>
  </etc:cellImage>
  <etc:cellImage>
    <xdr:pic>
      <xdr:nvPicPr>
        <xdr:cNvPr id="301" name="ID_FEF647481F4C4723B4F84E33A6178E0C" descr="游民星空"/>
        <xdr:cNvPicPr>
          <a:picLocks noChangeAspect="1"/>
        </xdr:cNvPicPr>
      </xdr:nvPicPr>
      <xdr:blipFill>
        <a:blip r:embed="rId73" r:link="rId2"/>
        <a:stretch>
          <a:fillRect/>
        </a:stretch>
      </xdr:blipFill>
      <xdr:spPr>
        <a:xfrm>
          <a:off x="0" y="179308760"/>
          <a:ext cx="762000" cy="857250"/>
        </a:xfrm>
        <a:prstGeom prst="rect">
          <a:avLst/>
        </a:prstGeom>
        <a:noFill/>
        <a:ln w="9525">
          <a:noFill/>
        </a:ln>
      </xdr:spPr>
    </xdr:pic>
  </etc:cellImage>
  <etc:cellImage>
    <xdr:pic>
      <xdr:nvPicPr>
        <xdr:cNvPr id="427" name="ID_54DCE0F5DAD045DAAFFA500B83AF182E" descr="游民星空"/>
        <xdr:cNvPicPr>
          <a:picLocks noChangeAspect="1"/>
        </xdr:cNvPicPr>
      </xdr:nvPicPr>
      <xdr:blipFill>
        <a:blip r:embed="rId74" r:link="rId2"/>
        <a:stretch>
          <a:fillRect/>
        </a:stretch>
      </xdr:blipFill>
      <xdr:spPr>
        <a:xfrm>
          <a:off x="0" y="178354990"/>
          <a:ext cx="762000" cy="857250"/>
        </a:xfrm>
        <a:prstGeom prst="rect">
          <a:avLst/>
        </a:prstGeom>
        <a:noFill/>
        <a:ln w="9525">
          <a:noFill/>
        </a:ln>
      </xdr:spPr>
    </xdr:pic>
  </etc:cellImage>
  <etc:cellImage>
    <xdr:pic>
      <xdr:nvPicPr>
        <xdr:cNvPr id="365" name="ID_2D2E394BD2F84623AAAC0CFAE28F7CFA" descr="游民星空"/>
        <xdr:cNvPicPr>
          <a:picLocks noChangeAspect="1"/>
        </xdr:cNvPicPr>
      </xdr:nvPicPr>
      <xdr:blipFill>
        <a:blip r:embed="rId75" r:link="rId2"/>
        <a:stretch>
          <a:fillRect/>
        </a:stretch>
      </xdr:blipFill>
      <xdr:spPr>
        <a:xfrm>
          <a:off x="0" y="177401220"/>
          <a:ext cx="762000" cy="857250"/>
        </a:xfrm>
        <a:prstGeom prst="rect">
          <a:avLst/>
        </a:prstGeom>
        <a:noFill/>
        <a:ln w="9525">
          <a:noFill/>
        </a:ln>
      </xdr:spPr>
    </xdr:pic>
  </etc:cellImage>
  <etc:cellImage>
    <xdr:pic>
      <xdr:nvPicPr>
        <xdr:cNvPr id="234" name="ID_35689181FCD6466D9837887A0A8E80B1" descr="游民星空"/>
        <xdr:cNvPicPr>
          <a:picLocks noChangeAspect="1"/>
        </xdr:cNvPicPr>
      </xdr:nvPicPr>
      <xdr:blipFill>
        <a:blip r:embed="rId76" r:link="rId2"/>
        <a:stretch>
          <a:fillRect/>
        </a:stretch>
      </xdr:blipFill>
      <xdr:spPr>
        <a:xfrm>
          <a:off x="0" y="176447450"/>
          <a:ext cx="762000" cy="857250"/>
        </a:xfrm>
        <a:prstGeom prst="rect">
          <a:avLst/>
        </a:prstGeom>
        <a:noFill/>
        <a:ln w="9525">
          <a:noFill/>
        </a:ln>
      </xdr:spPr>
    </xdr:pic>
  </etc:cellImage>
  <etc:cellImage>
    <xdr:pic>
      <xdr:nvPicPr>
        <xdr:cNvPr id="300" name="ID_5E3614C9DAD84CF8B47B4EDCC9FBE704" descr="游民星空"/>
        <xdr:cNvPicPr>
          <a:picLocks noChangeAspect="1"/>
        </xdr:cNvPicPr>
      </xdr:nvPicPr>
      <xdr:blipFill>
        <a:blip r:embed="rId77" r:link="rId2"/>
        <a:stretch>
          <a:fillRect/>
        </a:stretch>
      </xdr:blipFill>
      <xdr:spPr>
        <a:xfrm>
          <a:off x="0" y="175493680"/>
          <a:ext cx="762000" cy="857250"/>
        </a:xfrm>
        <a:prstGeom prst="rect">
          <a:avLst/>
        </a:prstGeom>
        <a:noFill/>
        <a:ln w="9525">
          <a:noFill/>
        </a:ln>
      </xdr:spPr>
    </xdr:pic>
  </etc:cellImage>
  <etc:cellImage>
    <xdr:pic>
      <xdr:nvPicPr>
        <xdr:cNvPr id="426" name="ID_7ABB3718084243D680CB5844B7CE77FD" descr="游民星空"/>
        <xdr:cNvPicPr>
          <a:picLocks noChangeAspect="1"/>
        </xdr:cNvPicPr>
      </xdr:nvPicPr>
      <xdr:blipFill>
        <a:blip r:embed="rId78" r:link="rId2"/>
        <a:stretch>
          <a:fillRect/>
        </a:stretch>
      </xdr:blipFill>
      <xdr:spPr>
        <a:xfrm>
          <a:off x="0" y="174539910"/>
          <a:ext cx="762000" cy="857250"/>
        </a:xfrm>
        <a:prstGeom prst="rect">
          <a:avLst/>
        </a:prstGeom>
        <a:noFill/>
        <a:ln w="9525">
          <a:noFill/>
        </a:ln>
      </xdr:spPr>
    </xdr:pic>
  </etc:cellImage>
  <etc:cellImage>
    <xdr:pic>
      <xdr:nvPicPr>
        <xdr:cNvPr id="364" name="ID_27AD2DCB41AA434C8EC8D993F1A35BAE" descr="游民星空"/>
        <xdr:cNvPicPr>
          <a:picLocks noChangeAspect="1"/>
        </xdr:cNvPicPr>
      </xdr:nvPicPr>
      <xdr:blipFill>
        <a:blip r:embed="rId79" r:link="rId2"/>
        <a:stretch>
          <a:fillRect/>
        </a:stretch>
      </xdr:blipFill>
      <xdr:spPr>
        <a:xfrm>
          <a:off x="0" y="173586140"/>
          <a:ext cx="762000" cy="857250"/>
        </a:xfrm>
        <a:prstGeom prst="rect">
          <a:avLst/>
        </a:prstGeom>
        <a:noFill/>
        <a:ln w="9525">
          <a:noFill/>
        </a:ln>
      </xdr:spPr>
    </xdr:pic>
  </etc:cellImage>
  <etc:cellImage>
    <xdr:pic>
      <xdr:nvPicPr>
        <xdr:cNvPr id="233" name="ID_1D5D96A0F17B413C82670526246C861C" descr="游民星空"/>
        <xdr:cNvPicPr>
          <a:picLocks noChangeAspect="1"/>
        </xdr:cNvPicPr>
      </xdr:nvPicPr>
      <xdr:blipFill>
        <a:blip r:embed="rId80" r:link="rId2"/>
        <a:stretch>
          <a:fillRect/>
        </a:stretch>
      </xdr:blipFill>
      <xdr:spPr>
        <a:xfrm>
          <a:off x="0" y="172632370"/>
          <a:ext cx="762000" cy="857250"/>
        </a:xfrm>
        <a:prstGeom prst="rect">
          <a:avLst/>
        </a:prstGeom>
        <a:noFill/>
        <a:ln w="9525">
          <a:noFill/>
        </a:ln>
      </xdr:spPr>
    </xdr:pic>
  </etc:cellImage>
  <etc:cellImage>
    <xdr:pic>
      <xdr:nvPicPr>
        <xdr:cNvPr id="299" name="ID_E3AA9D5B42614EFCB929E42DAA08DB37" descr="游民星空"/>
        <xdr:cNvPicPr>
          <a:picLocks noChangeAspect="1"/>
        </xdr:cNvPicPr>
      </xdr:nvPicPr>
      <xdr:blipFill>
        <a:blip r:embed="rId81" r:link="rId2"/>
        <a:stretch>
          <a:fillRect/>
        </a:stretch>
      </xdr:blipFill>
      <xdr:spPr>
        <a:xfrm>
          <a:off x="0" y="171678600"/>
          <a:ext cx="762000" cy="857250"/>
        </a:xfrm>
        <a:prstGeom prst="rect">
          <a:avLst/>
        </a:prstGeom>
        <a:noFill/>
        <a:ln w="9525">
          <a:noFill/>
        </a:ln>
      </xdr:spPr>
    </xdr:pic>
  </etc:cellImage>
  <etc:cellImage>
    <xdr:pic>
      <xdr:nvPicPr>
        <xdr:cNvPr id="408" name="ID_0F6B5C373A3D427F84A395DD81EBCE44" descr="游民星空"/>
        <xdr:cNvPicPr>
          <a:picLocks noChangeAspect="1"/>
        </xdr:cNvPicPr>
      </xdr:nvPicPr>
      <xdr:blipFill>
        <a:blip r:embed="rId82" r:link="rId2"/>
        <a:stretch>
          <a:fillRect/>
        </a:stretch>
      </xdr:blipFill>
      <xdr:spPr>
        <a:xfrm>
          <a:off x="0" y="170724830"/>
          <a:ext cx="762000" cy="857250"/>
        </a:xfrm>
        <a:prstGeom prst="rect">
          <a:avLst/>
        </a:prstGeom>
        <a:noFill/>
        <a:ln w="9525">
          <a:noFill/>
        </a:ln>
      </xdr:spPr>
    </xdr:pic>
  </etc:cellImage>
  <etc:cellImage>
    <xdr:pic>
      <xdr:nvPicPr>
        <xdr:cNvPr id="17" name="ID_92865BCB7B1940EF8327F3B5B0389035" descr="游民星空"/>
        <xdr:cNvPicPr>
          <a:picLocks noChangeAspect="1"/>
        </xdr:cNvPicPr>
      </xdr:nvPicPr>
      <xdr:blipFill>
        <a:blip r:embed="rId83" r:link="rId2"/>
        <a:stretch>
          <a:fillRect/>
        </a:stretch>
      </xdr:blipFill>
      <xdr:spPr>
        <a:xfrm>
          <a:off x="19050" y="169839640"/>
          <a:ext cx="733425" cy="824865"/>
        </a:xfrm>
        <a:prstGeom prst="rect">
          <a:avLst/>
        </a:prstGeom>
        <a:noFill/>
        <a:ln w="9525">
          <a:noFill/>
        </a:ln>
      </xdr:spPr>
    </xdr:pic>
  </etc:cellImage>
  <etc:cellImage>
    <xdr:pic>
      <xdr:nvPicPr>
        <xdr:cNvPr id="215" name="ID_15C28CC4255643C9A2FFD36D76A38223" descr="游民星空"/>
        <xdr:cNvPicPr>
          <a:picLocks noChangeAspect="1"/>
        </xdr:cNvPicPr>
      </xdr:nvPicPr>
      <xdr:blipFill>
        <a:blip r:embed="rId84" r:link="rId2"/>
        <a:stretch>
          <a:fillRect/>
        </a:stretch>
      </xdr:blipFill>
      <xdr:spPr>
        <a:xfrm>
          <a:off x="0" y="168817290"/>
          <a:ext cx="762000" cy="857250"/>
        </a:xfrm>
        <a:prstGeom prst="rect">
          <a:avLst/>
        </a:prstGeom>
        <a:noFill/>
        <a:ln w="9525">
          <a:noFill/>
        </a:ln>
      </xdr:spPr>
    </xdr:pic>
  </etc:cellImage>
  <etc:cellImage>
    <xdr:pic>
      <xdr:nvPicPr>
        <xdr:cNvPr id="279" name="ID_CA9BC470C9404FD6B365A140EC5BC385" descr="游民星空"/>
        <xdr:cNvPicPr>
          <a:picLocks noChangeAspect="1"/>
        </xdr:cNvPicPr>
      </xdr:nvPicPr>
      <xdr:blipFill>
        <a:blip r:embed="rId85" r:link="rId2"/>
        <a:stretch>
          <a:fillRect/>
        </a:stretch>
      </xdr:blipFill>
      <xdr:spPr>
        <a:xfrm>
          <a:off x="0" y="167863520"/>
          <a:ext cx="762000" cy="857250"/>
        </a:xfrm>
        <a:prstGeom prst="rect">
          <a:avLst/>
        </a:prstGeom>
        <a:noFill/>
        <a:ln w="9525">
          <a:noFill/>
        </a:ln>
      </xdr:spPr>
    </xdr:pic>
  </etc:cellImage>
  <etc:cellImage>
    <xdr:pic>
      <xdr:nvPicPr>
        <xdr:cNvPr id="401" name="ID_5153AF1F791349C9A5D01DB2A71C803E" descr="游民星空"/>
        <xdr:cNvPicPr>
          <a:picLocks noChangeAspect="1"/>
        </xdr:cNvPicPr>
      </xdr:nvPicPr>
      <xdr:blipFill>
        <a:blip r:embed="rId86" r:link="rId2"/>
        <a:stretch>
          <a:fillRect/>
        </a:stretch>
      </xdr:blipFill>
      <xdr:spPr>
        <a:xfrm>
          <a:off x="0" y="166909750"/>
          <a:ext cx="762000" cy="857250"/>
        </a:xfrm>
        <a:prstGeom prst="rect">
          <a:avLst/>
        </a:prstGeom>
        <a:noFill/>
        <a:ln w="9525">
          <a:noFill/>
        </a:ln>
      </xdr:spPr>
    </xdr:pic>
  </etc:cellImage>
  <etc:cellImage>
    <xdr:pic>
      <xdr:nvPicPr>
        <xdr:cNvPr id="342" name="ID_DF78A4C89D584826B65EEFFFFFB18722" descr="游民星空"/>
        <xdr:cNvPicPr>
          <a:picLocks noChangeAspect="1"/>
        </xdr:cNvPicPr>
      </xdr:nvPicPr>
      <xdr:blipFill>
        <a:blip r:embed="rId87" r:link="rId2"/>
        <a:stretch>
          <a:fillRect/>
        </a:stretch>
      </xdr:blipFill>
      <xdr:spPr>
        <a:xfrm>
          <a:off x="0" y="165955980"/>
          <a:ext cx="762000" cy="857250"/>
        </a:xfrm>
        <a:prstGeom prst="rect">
          <a:avLst/>
        </a:prstGeom>
        <a:noFill/>
        <a:ln w="9525">
          <a:noFill/>
        </a:ln>
      </xdr:spPr>
    </xdr:pic>
  </etc:cellImage>
  <etc:cellImage>
    <xdr:pic>
      <xdr:nvPicPr>
        <xdr:cNvPr id="208" name="ID_DE082442C4C14612BD3CAA6A769ED3C1" descr="游民星空"/>
        <xdr:cNvPicPr>
          <a:picLocks noChangeAspect="1"/>
        </xdr:cNvPicPr>
      </xdr:nvPicPr>
      <xdr:blipFill>
        <a:blip r:embed="rId88" r:link="rId2"/>
        <a:stretch>
          <a:fillRect/>
        </a:stretch>
      </xdr:blipFill>
      <xdr:spPr>
        <a:xfrm>
          <a:off x="0" y="165002210"/>
          <a:ext cx="762000" cy="857250"/>
        </a:xfrm>
        <a:prstGeom prst="rect">
          <a:avLst/>
        </a:prstGeom>
        <a:noFill/>
        <a:ln w="9525">
          <a:noFill/>
        </a:ln>
      </xdr:spPr>
    </xdr:pic>
  </etc:cellImage>
  <etc:cellImage>
    <xdr:pic>
      <xdr:nvPicPr>
        <xdr:cNvPr id="270" name="ID_84823CBA2A814621B15A4F8BB653BD78" descr="游民星空"/>
        <xdr:cNvPicPr>
          <a:picLocks noChangeAspect="1"/>
        </xdr:cNvPicPr>
      </xdr:nvPicPr>
      <xdr:blipFill>
        <a:blip r:embed="rId89" r:link="rId2"/>
        <a:stretch>
          <a:fillRect/>
        </a:stretch>
      </xdr:blipFill>
      <xdr:spPr>
        <a:xfrm>
          <a:off x="0" y="164048440"/>
          <a:ext cx="762000" cy="857250"/>
        </a:xfrm>
        <a:prstGeom prst="rect">
          <a:avLst/>
        </a:prstGeom>
        <a:noFill/>
        <a:ln w="9525">
          <a:noFill/>
        </a:ln>
      </xdr:spPr>
    </xdr:pic>
  </etc:cellImage>
  <etc:cellImage>
    <xdr:pic>
      <xdr:nvPicPr>
        <xdr:cNvPr id="438" name="ID_46470FE768AE4459BCC5396AD1E73A48" descr="游民星空"/>
        <xdr:cNvPicPr>
          <a:picLocks noChangeAspect="1"/>
        </xdr:cNvPicPr>
      </xdr:nvPicPr>
      <xdr:blipFill>
        <a:blip r:embed="rId90" r:link="rId2"/>
        <a:stretch>
          <a:fillRect/>
        </a:stretch>
      </xdr:blipFill>
      <xdr:spPr>
        <a:xfrm>
          <a:off x="0" y="163094670"/>
          <a:ext cx="762000" cy="952500"/>
        </a:xfrm>
        <a:prstGeom prst="rect">
          <a:avLst/>
        </a:prstGeom>
        <a:noFill/>
        <a:ln w="9525">
          <a:noFill/>
        </a:ln>
      </xdr:spPr>
    </xdr:pic>
  </etc:cellImage>
  <etc:cellImage>
    <xdr:pic>
      <xdr:nvPicPr>
        <xdr:cNvPr id="376" name="ID_52A3253C7F674241B6007A32076E80F5" descr="游民星空"/>
        <xdr:cNvPicPr>
          <a:picLocks noChangeAspect="1"/>
        </xdr:cNvPicPr>
      </xdr:nvPicPr>
      <xdr:blipFill>
        <a:blip r:embed="rId91" r:link="rId2"/>
        <a:stretch>
          <a:fillRect/>
        </a:stretch>
      </xdr:blipFill>
      <xdr:spPr>
        <a:xfrm>
          <a:off x="0" y="162140900"/>
          <a:ext cx="762000" cy="952500"/>
        </a:xfrm>
        <a:prstGeom prst="rect">
          <a:avLst/>
        </a:prstGeom>
        <a:noFill/>
        <a:ln w="9525">
          <a:noFill/>
        </a:ln>
      </xdr:spPr>
    </xdr:pic>
  </etc:cellImage>
  <etc:cellImage>
    <xdr:pic>
      <xdr:nvPicPr>
        <xdr:cNvPr id="245" name="ID_12C34AC1341D499693E9E9FA092A9115" descr="游民星空"/>
        <xdr:cNvPicPr>
          <a:picLocks noChangeAspect="1"/>
        </xdr:cNvPicPr>
      </xdr:nvPicPr>
      <xdr:blipFill>
        <a:blip r:embed="rId92" r:link="rId2"/>
        <a:stretch>
          <a:fillRect/>
        </a:stretch>
      </xdr:blipFill>
      <xdr:spPr>
        <a:xfrm>
          <a:off x="0" y="161187130"/>
          <a:ext cx="762000" cy="952500"/>
        </a:xfrm>
        <a:prstGeom prst="rect">
          <a:avLst/>
        </a:prstGeom>
        <a:noFill/>
        <a:ln w="9525">
          <a:noFill/>
        </a:ln>
      </xdr:spPr>
    </xdr:pic>
  </etc:cellImage>
  <etc:cellImage>
    <xdr:pic>
      <xdr:nvPicPr>
        <xdr:cNvPr id="311" name="ID_994EEC464A114938B290205E4C25F998" descr="游民星空"/>
        <xdr:cNvPicPr>
          <a:picLocks noChangeAspect="1"/>
        </xdr:cNvPicPr>
      </xdr:nvPicPr>
      <xdr:blipFill>
        <a:blip r:embed="rId93" r:link="rId2"/>
        <a:stretch>
          <a:fillRect/>
        </a:stretch>
      </xdr:blipFill>
      <xdr:spPr>
        <a:xfrm>
          <a:off x="0" y="160233360"/>
          <a:ext cx="762000" cy="952500"/>
        </a:xfrm>
        <a:prstGeom prst="rect">
          <a:avLst/>
        </a:prstGeom>
        <a:noFill/>
        <a:ln w="9525">
          <a:noFill/>
        </a:ln>
      </xdr:spPr>
    </xdr:pic>
  </etc:cellImage>
  <etc:cellImage>
    <xdr:pic>
      <xdr:nvPicPr>
        <xdr:cNvPr id="434" name="ID_EB687899EC3945148E53D038468ACE3E" descr="游民星空"/>
        <xdr:cNvPicPr>
          <a:picLocks noChangeAspect="1"/>
        </xdr:cNvPicPr>
      </xdr:nvPicPr>
      <xdr:blipFill>
        <a:blip r:embed="rId94" r:link="rId2"/>
        <a:stretch>
          <a:fillRect/>
        </a:stretch>
      </xdr:blipFill>
      <xdr:spPr>
        <a:xfrm>
          <a:off x="0" y="159279590"/>
          <a:ext cx="762000" cy="952500"/>
        </a:xfrm>
        <a:prstGeom prst="rect">
          <a:avLst/>
        </a:prstGeom>
        <a:noFill/>
        <a:ln w="9525">
          <a:noFill/>
        </a:ln>
      </xdr:spPr>
    </xdr:pic>
  </etc:cellImage>
  <etc:cellImage>
    <xdr:pic>
      <xdr:nvPicPr>
        <xdr:cNvPr id="372" name="ID_722D5E620E074D4CBBB6F20B6E67C627" descr="游民星空"/>
        <xdr:cNvPicPr>
          <a:picLocks noChangeAspect="1"/>
        </xdr:cNvPicPr>
      </xdr:nvPicPr>
      <xdr:blipFill>
        <a:blip r:embed="rId95" r:link="rId2"/>
        <a:stretch>
          <a:fillRect/>
        </a:stretch>
      </xdr:blipFill>
      <xdr:spPr>
        <a:xfrm>
          <a:off x="0" y="158325820"/>
          <a:ext cx="762000" cy="952500"/>
        </a:xfrm>
        <a:prstGeom prst="rect">
          <a:avLst/>
        </a:prstGeom>
        <a:noFill/>
        <a:ln w="9525">
          <a:noFill/>
        </a:ln>
      </xdr:spPr>
    </xdr:pic>
  </etc:cellImage>
  <etc:cellImage>
    <xdr:pic>
      <xdr:nvPicPr>
        <xdr:cNvPr id="241" name="ID_FC654DBBC5DC45FD8FB0C01AC74EB039" descr="游民星空"/>
        <xdr:cNvPicPr>
          <a:picLocks noChangeAspect="1"/>
        </xdr:cNvPicPr>
      </xdr:nvPicPr>
      <xdr:blipFill>
        <a:blip r:embed="rId96" r:link="rId2"/>
        <a:stretch>
          <a:fillRect/>
        </a:stretch>
      </xdr:blipFill>
      <xdr:spPr>
        <a:xfrm>
          <a:off x="0" y="157372050"/>
          <a:ext cx="762000" cy="952500"/>
        </a:xfrm>
        <a:prstGeom prst="rect">
          <a:avLst/>
        </a:prstGeom>
        <a:noFill/>
        <a:ln w="9525">
          <a:noFill/>
        </a:ln>
      </xdr:spPr>
    </xdr:pic>
  </etc:cellImage>
  <etc:cellImage>
    <xdr:pic>
      <xdr:nvPicPr>
        <xdr:cNvPr id="307" name="ID_C8B2FDC1DB504374A9D3735E1A98947F" descr="游民星空"/>
        <xdr:cNvPicPr>
          <a:picLocks noChangeAspect="1"/>
        </xdr:cNvPicPr>
      </xdr:nvPicPr>
      <xdr:blipFill>
        <a:blip r:embed="rId97" r:link="rId2"/>
        <a:stretch>
          <a:fillRect/>
        </a:stretch>
      </xdr:blipFill>
      <xdr:spPr>
        <a:xfrm>
          <a:off x="0" y="156418280"/>
          <a:ext cx="762000" cy="952500"/>
        </a:xfrm>
        <a:prstGeom prst="rect">
          <a:avLst/>
        </a:prstGeom>
        <a:noFill/>
        <a:ln w="9525">
          <a:noFill/>
        </a:ln>
      </xdr:spPr>
    </xdr:pic>
  </etc:cellImage>
  <etc:cellImage>
    <xdr:pic>
      <xdr:nvPicPr>
        <xdr:cNvPr id="433" name="ID_AC505F03A1164F53872C03E854A13764" descr="游民星空"/>
        <xdr:cNvPicPr>
          <a:picLocks noChangeAspect="1"/>
        </xdr:cNvPicPr>
      </xdr:nvPicPr>
      <xdr:blipFill>
        <a:blip r:embed="rId98" r:link="rId2"/>
        <a:stretch>
          <a:fillRect/>
        </a:stretch>
      </xdr:blipFill>
      <xdr:spPr>
        <a:xfrm>
          <a:off x="0" y="155464510"/>
          <a:ext cx="762000" cy="952500"/>
        </a:xfrm>
        <a:prstGeom prst="rect">
          <a:avLst/>
        </a:prstGeom>
        <a:noFill/>
        <a:ln w="9525">
          <a:noFill/>
        </a:ln>
      </xdr:spPr>
    </xdr:pic>
  </etc:cellImage>
  <etc:cellImage>
    <xdr:pic>
      <xdr:nvPicPr>
        <xdr:cNvPr id="371" name="ID_2A15E61D623B47FF9087F5BE412FD963" descr="游民星空"/>
        <xdr:cNvPicPr>
          <a:picLocks noChangeAspect="1"/>
        </xdr:cNvPicPr>
      </xdr:nvPicPr>
      <xdr:blipFill>
        <a:blip r:embed="rId99" r:link="rId2"/>
        <a:stretch>
          <a:fillRect/>
        </a:stretch>
      </xdr:blipFill>
      <xdr:spPr>
        <a:xfrm>
          <a:off x="0" y="154510740"/>
          <a:ext cx="762000" cy="952500"/>
        </a:xfrm>
        <a:prstGeom prst="rect">
          <a:avLst/>
        </a:prstGeom>
        <a:noFill/>
        <a:ln w="9525">
          <a:noFill/>
        </a:ln>
      </xdr:spPr>
    </xdr:pic>
  </etc:cellImage>
  <etc:cellImage>
    <xdr:pic>
      <xdr:nvPicPr>
        <xdr:cNvPr id="240" name="ID_44CAE50D45E9445BB62BEDC5091CDCC6" descr="游民星空"/>
        <xdr:cNvPicPr>
          <a:picLocks noChangeAspect="1"/>
        </xdr:cNvPicPr>
      </xdr:nvPicPr>
      <xdr:blipFill>
        <a:blip r:embed="rId100" r:link="rId2"/>
        <a:stretch>
          <a:fillRect/>
        </a:stretch>
      </xdr:blipFill>
      <xdr:spPr>
        <a:xfrm>
          <a:off x="0" y="153556970"/>
          <a:ext cx="762000" cy="952500"/>
        </a:xfrm>
        <a:prstGeom prst="rect">
          <a:avLst/>
        </a:prstGeom>
        <a:noFill/>
        <a:ln w="9525">
          <a:noFill/>
        </a:ln>
      </xdr:spPr>
    </xdr:pic>
  </etc:cellImage>
  <etc:cellImage>
    <xdr:pic>
      <xdr:nvPicPr>
        <xdr:cNvPr id="306" name="ID_C62BB8C530184C26A0BB3F90603E3A78" descr="游民星空"/>
        <xdr:cNvPicPr>
          <a:picLocks noChangeAspect="1"/>
        </xdr:cNvPicPr>
      </xdr:nvPicPr>
      <xdr:blipFill>
        <a:blip r:embed="rId101" r:link="rId2"/>
        <a:stretch>
          <a:fillRect/>
        </a:stretch>
      </xdr:blipFill>
      <xdr:spPr>
        <a:xfrm>
          <a:off x="0" y="152603200"/>
          <a:ext cx="762000" cy="952500"/>
        </a:xfrm>
        <a:prstGeom prst="rect">
          <a:avLst/>
        </a:prstGeom>
        <a:noFill/>
        <a:ln w="9525">
          <a:noFill/>
        </a:ln>
      </xdr:spPr>
    </xdr:pic>
  </etc:cellImage>
  <etc:cellImage>
    <xdr:pic>
      <xdr:nvPicPr>
        <xdr:cNvPr id="432" name="ID_D617829762A4446FB488AC350C2993CC" descr="游民星空"/>
        <xdr:cNvPicPr>
          <a:picLocks noChangeAspect="1"/>
        </xdr:cNvPicPr>
      </xdr:nvPicPr>
      <xdr:blipFill>
        <a:blip r:embed="rId102" r:link="rId2"/>
        <a:stretch>
          <a:fillRect/>
        </a:stretch>
      </xdr:blipFill>
      <xdr:spPr>
        <a:xfrm>
          <a:off x="0" y="151649430"/>
          <a:ext cx="762000" cy="952500"/>
        </a:xfrm>
        <a:prstGeom prst="rect">
          <a:avLst/>
        </a:prstGeom>
        <a:noFill/>
        <a:ln w="9525">
          <a:noFill/>
        </a:ln>
      </xdr:spPr>
    </xdr:pic>
  </etc:cellImage>
  <etc:cellImage>
    <xdr:pic>
      <xdr:nvPicPr>
        <xdr:cNvPr id="370" name="ID_98267032B80248D29158D945B34025C3" descr="游民星空"/>
        <xdr:cNvPicPr>
          <a:picLocks noChangeAspect="1"/>
        </xdr:cNvPicPr>
      </xdr:nvPicPr>
      <xdr:blipFill>
        <a:blip r:embed="rId103" r:link="rId2"/>
        <a:stretch>
          <a:fillRect/>
        </a:stretch>
      </xdr:blipFill>
      <xdr:spPr>
        <a:xfrm>
          <a:off x="0" y="150695660"/>
          <a:ext cx="762000" cy="952500"/>
        </a:xfrm>
        <a:prstGeom prst="rect">
          <a:avLst/>
        </a:prstGeom>
        <a:noFill/>
        <a:ln w="9525">
          <a:noFill/>
        </a:ln>
      </xdr:spPr>
    </xdr:pic>
  </etc:cellImage>
  <etc:cellImage>
    <xdr:pic>
      <xdr:nvPicPr>
        <xdr:cNvPr id="239" name="ID_1B4FFA26D81A4BC0BAF33EA2622600EA" descr="游民星空"/>
        <xdr:cNvPicPr>
          <a:picLocks noChangeAspect="1"/>
        </xdr:cNvPicPr>
      </xdr:nvPicPr>
      <xdr:blipFill>
        <a:blip r:embed="rId104" r:link="rId2"/>
        <a:stretch>
          <a:fillRect/>
        </a:stretch>
      </xdr:blipFill>
      <xdr:spPr>
        <a:xfrm>
          <a:off x="0" y="149741890"/>
          <a:ext cx="762000" cy="952500"/>
        </a:xfrm>
        <a:prstGeom prst="rect">
          <a:avLst/>
        </a:prstGeom>
        <a:noFill/>
        <a:ln w="9525">
          <a:noFill/>
        </a:ln>
      </xdr:spPr>
    </xdr:pic>
  </etc:cellImage>
  <etc:cellImage>
    <xdr:pic>
      <xdr:nvPicPr>
        <xdr:cNvPr id="305" name="ID_CBF4751CBBD641E3AC040A34E78DF872" descr="游民星空"/>
        <xdr:cNvPicPr>
          <a:picLocks noChangeAspect="1"/>
        </xdr:cNvPicPr>
      </xdr:nvPicPr>
      <xdr:blipFill>
        <a:blip r:embed="rId105" r:link="rId2"/>
        <a:stretch>
          <a:fillRect/>
        </a:stretch>
      </xdr:blipFill>
      <xdr:spPr>
        <a:xfrm>
          <a:off x="0" y="148788120"/>
          <a:ext cx="762000" cy="952500"/>
        </a:xfrm>
        <a:prstGeom prst="rect">
          <a:avLst/>
        </a:prstGeom>
        <a:noFill/>
        <a:ln w="9525">
          <a:noFill/>
        </a:ln>
      </xdr:spPr>
    </xdr:pic>
  </etc:cellImage>
  <etc:cellImage>
    <xdr:pic>
      <xdr:nvPicPr>
        <xdr:cNvPr id="431" name="ID_CACB1B4C4C404FA5A10BFBB945BBA386" descr="游民星空"/>
        <xdr:cNvPicPr>
          <a:picLocks noChangeAspect="1"/>
        </xdr:cNvPicPr>
      </xdr:nvPicPr>
      <xdr:blipFill>
        <a:blip r:embed="rId106" r:link="rId2"/>
        <a:stretch>
          <a:fillRect/>
        </a:stretch>
      </xdr:blipFill>
      <xdr:spPr>
        <a:xfrm>
          <a:off x="0" y="147834350"/>
          <a:ext cx="762000" cy="952500"/>
        </a:xfrm>
        <a:prstGeom prst="rect">
          <a:avLst/>
        </a:prstGeom>
        <a:noFill/>
        <a:ln w="9525">
          <a:noFill/>
        </a:ln>
      </xdr:spPr>
    </xdr:pic>
  </etc:cellImage>
  <etc:cellImage>
    <xdr:pic>
      <xdr:nvPicPr>
        <xdr:cNvPr id="369" name="ID_5F536C7CD5EA481FA6B0728B1CD9863F" descr="游民星空"/>
        <xdr:cNvPicPr>
          <a:picLocks noChangeAspect="1"/>
        </xdr:cNvPicPr>
      </xdr:nvPicPr>
      <xdr:blipFill>
        <a:blip r:embed="rId107" r:link="rId2"/>
        <a:stretch>
          <a:fillRect/>
        </a:stretch>
      </xdr:blipFill>
      <xdr:spPr>
        <a:xfrm>
          <a:off x="0" y="146880580"/>
          <a:ext cx="762000" cy="952500"/>
        </a:xfrm>
        <a:prstGeom prst="rect">
          <a:avLst/>
        </a:prstGeom>
        <a:noFill/>
        <a:ln w="9525">
          <a:noFill/>
        </a:ln>
      </xdr:spPr>
    </xdr:pic>
  </etc:cellImage>
  <etc:cellImage>
    <xdr:pic>
      <xdr:nvPicPr>
        <xdr:cNvPr id="238" name="ID_3F08FFD40BDE4B9BB578238F199D930C" descr="游民星空"/>
        <xdr:cNvPicPr>
          <a:picLocks noChangeAspect="1"/>
        </xdr:cNvPicPr>
      </xdr:nvPicPr>
      <xdr:blipFill>
        <a:blip r:embed="rId108" r:link="rId2"/>
        <a:stretch>
          <a:fillRect/>
        </a:stretch>
      </xdr:blipFill>
      <xdr:spPr>
        <a:xfrm>
          <a:off x="0" y="145926810"/>
          <a:ext cx="762000" cy="952500"/>
        </a:xfrm>
        <a:prstGeom prst="rect">
          <a:avLst/>
        </a:prstGeom>
        <a:noFill/>
        <a:ln w="9525">
          <a:noFill/>
        </a:ln>
      </xdr:spPr>
    </xdr:pic>
  </etc:cellImage>
  <etc:cellImage>
    <xdr:pic>
      <xdr:nvPicPr>
        <xdr:cNvPr id="304" name="ID_2CCE39DAB2EE42BB9D3D381C0C29801E" descr="游民星空"/>
        <xdr:cNvPicPr>
          <a:picLocks noChangeAspect="1"/>
        </xdr:cNvPicPr>
      </xdr:nvPicPr>
      <xdr:blipFill>
        <a:blip r:embed="rId109" r:link="rId2"/>
        <a:stretch>
          <a:fillRect/>
        </a:stretch>
      </xdr:blipFill>
      <xdr:spPr>
        <a:xfrm>
          <a:off x="0" y="144973040"/>
          <a:ext cx="762000" cy="952500"/>
        </a:xfrm>
        <a:prstGeom prst="rect">
          <a:avLst/>
        </a:prstGeom>
        <a:noFill/>
        <a:ln w="9525">
          <a:noFill/>
        </a:ln>
      </xdr:spPr>
    </xdr:pic>
  </etc:cellImage>
  <etc:cellImage>
    <xdr:pic>
      <xdr:nvPicPr>
        <xdr:cNvPr id="422" name="ID_7E52C7A49F0442728B55B9E1722D0723" descr="游民星空"/>
        <xdr:cNvPicPr>
          <a:picLocks noChangeAspect="1"/>
        </xdr:cNvPicPr>
      </xdr:nvPicPr>
      <xdr:blipFill>
        <a:blip r:embed="rId110" r:link="rId2"/>
        <a:stretch>
          <a:fillRect/>
        </a:stretch>
      </xdr:blipFill>
      <xdr:spPr>
        <a:xfrm>
          <a:off x="635" y="144019270"/>
          <a:ext cx="762000" cy="952500"/>
        </a:xfrm>
        <a:prstGeom prst="rect">
          <a:avLst/>
        </a:prstGeom>
        <a:noFill/>
        <a:ln w="9525">
          <a:noFill/>
        </a:ln>
      </xdr:spPr>
    </xdr:pic>
  </etc:cellImage>
  <etc:cellImage>
    <xdr:pic>
      <xdr:nvPicPr>
        <xdr:cNvPr id="360" name="ID_26367100EBBC4049BCB351B9E7E288FE" descr="游民星空"/>
        <xdr:cNvPicPr>
          <a:picLocks noChangeAspect="1"/>
        </xdr:cNvPicPr>
      </xdr:nvPicPr>
      <xdr:blipFill>
        <a:blip r:embed="rId111" r:link="rId2"/>
        <a:stretch>
          <a:fillRect/>
        </a:stretch>
      </xdr:blipFill>
      <xdr:spPr>
        <a:xfrm>
          <a:off x="0" y="143065500"/>
          <a:ext cx="762000" cy="952500"/>
        </a:xfrm>
        <a:prstGeom prst="rect">
          <a:avLst/>
        </a:prstGeom>
        <a:noFill/>
        <a:ln w="9525">
          <a:noFill/>
        </a:ln>
      </xdr:spPr>
    </xdr:pic>
  </etc:cellImage>
  <etc:cellImage>
    <xdr:pic>
      <xdr:nvPicPr>
        <xdr:cNvPr id="229" name="ID_C1665A5A714C461B98FB7225525473CA" descr="游民星空"/>
        <xdr:cNvPicPr>
          <a:picLocks noChangeAspect="1"/>
        </xdr:cNvPicPr>
      </xdr:nvPicPr>
      <xdr:blipFill>
        <a:blip r:embed="rId112" r:link="rId2"/>
        <a:stretch>
          <a:fillRect/>
        </a:stretch>
      </xdr:blipFill>
      <xdr:spPr>
        <a:xfrm>
          <a:off x="0" y="142111730"/>
          <a:ext cx="762000" cy="952500"/>
        </a:xfrm>
        <a:prstGeom prst="rect">
          <a:avLst/>
        </a:prstGeom>
        <a:noFill/>
        <a:ln w="9525">
          <a:noFill/>
        </a:ln>
      </xdr:spPr>
    </xdr:pic>
  </etc:cellImage>
  <etc:cellImage>
    <xdr:pic>
      <xdr:nvPicPr>
        <xdr:cNvPr id="293" name="ID_3834408EDA034A5495DADBAD771E67D6" descr="游民星空"/>
        <xdr:cNvPicPr>
          <a:picLocks noChangeAspect="1"/>
        </xdr:cNvPicPr>
      </xdr:nvPicPr>
      <xdr:blipFill>
        <a:blip r:embed="rId113" r:link="rId2"/>
        <a:stretch>
          <a:fillRect/>
        </a:stretch>
      </xdr:blipFill>
      <xdr:spPr>
        <a:xfrm>
          <a:off x="0" y="141157960"/>
          <a:ext cx="762000" cy="952500"/>
        </a:xfrm>
        <a:prstGeom prst="rect">
          <a:avLst/>
        </a:prstGeom>
        <a:noFill/>
        <a:ln w="9525">
          <a:noFill/>
        </a:ln>
      </xdr:spPr>
    </xdr:pic>
  </etc:cellImage>
  <etc:cellImage>
    <xdr:pic>
      <xdr:nvPicPr>
        <xdr:cNvPr id="420" name="ID_0051C9B50FEE4EC58EB57CBC8098A17E" descr="游民星空"/>
        <xdr:cNvPicPr>
          <a:picLocks noChangeAspect="1"/>
        </xdr:cNvPicPr>
      </xdr:nvPicPr>
      <xdr:blipFill>
        <a:blip r:embed="rId114" r:link="rId2"/>
        <a:stretch>
          <a:fillRect/>
        </a:stretch>
      </xdr:blipFill>
      <xdr:spPr>
        <a:xfrm>
          <a:off x="0" y="140204190"/>
          <a:ext cx="762000" cy="952500"/>
        </a:xfrm>
        <a:prstGeom prst="rect">
          <a:avLst/>
        </a:prstGeom>
        <a:noFill/>
        <a:ln w="9525">
          <a:noFill/>
        </a:ln>
      </xdr:spPr>
    </xdr:pic>
  </etc:cellImage>
  <etc:cellImage>
    <xdr:pic>
      <xdr:nvPicPr>
        <xdr:cNvPr id="358" name="ID_2BEA88E7ACA24DDEA2B0B7D923467B23" descr="游民星空"/>
        <xdr:cNvPicPr>
          <a:picLocks noChangeAspect="1"/>
        </xdr:cNvPicPr>
      </xdr:nvPicPr>
      <xdr:blipFill>
        <a:blip r:embed="rId115" r:link="rId2"/>
        <a:stretch>
          <a:fillRect/>
        </a:stretch>
      </xdr:blipFill>
      <xdr:spPr>
        <a:xfrm>
          <a:off x="0" y="139250420"/>
          <a:ext cx="762000" cy="952500"/>
        </a:xfrm>
        <a:prstGeom prst="rect">
          <a:avLst/>
        </a:prstGeom>
        <a:noFill/>
        <a:ln w="9525">
          <a:noFill/>
        </a:ln>
      </xdr:spPr>
    </xdr:pic>
  </etc:cellImage>
  <etc:cellImage>
    <xdr:pic>
      <xdr:nvPicPr>
        <xdr:cNvPr id="227" name="ID_CFCC79885FDD42F3838685729A9A3FF3" descr="游民星空"/>
        <xdr:cNvPicPr>
          <a:picLocks noChangeAspect="1"/>
        </xdr:cNvPicPr>
      </xdr:nvPicPr>
      <xdr:blipFill>
        <a:blip r:embed="rId116" r:link="rId2"/>
        <a:stretch>
          <a:fillRect/>
        </a:stretch>
      </xdr:blipFill>
      <xdr:spPr>
        <a:xfrm>
          <a:off x="0" y="138296650"/>
          <a:ext cx="762000" cy="952500"/>
        </a:xfrm>
        <a:prstGeom prst="rect">
          <a:avLst/>
        </a:prstGeom>
        <a:noFill/>
        <a:ln w="9525">
          <a:noFill/>
        </a:ln>
      </xdr:spPr>
    </xdr:pic>
  </etc:cellImage>
  <etc:cellImage>
    <xdr:pic>
      <xdr:nvPicPr>
        <xdr:cNvPr id="291" name="ID_50D73472CB674527B49649218015E95D" descr="游民星空"/>
        <xdr:cNvPicPr>
          <a:picLocks noChangeAspect="1"/>
        </xdr:cNvPicPr>
      </xdr:nvPicPr>
      <xdr:blipFill>
        <a:blip r:embed="rId117" r:link="rId2"/>
        <a:stretch>
          <a:fillRect/>
        </a:stretch>
      </xdr:blipFill>
      <xdr:spPr>
        <a:xfrm>
          <a:off x="0" y="137342880"/>
          <a:ext cx="762000" cy="952500"/>
        </a:xfrm>
        <a:prstGeom prst="rect">
          <a:avLst/>
        </a:prstGeom>
        <a:noFill/>
        <a:ln w="9525">
          <a:noFill/>
        </a:ln>
      </xdr:spPr>
    </xdr:pic>
  </etc:cellImage>
  <etc:cellImage>
    <xdr:pic>
      <xdr:nvPicPr>
        <xdr:cNvPr id="419" name="ID_2703F9407576465CB3BC50B573394D87" descr="游民星空"/>
        <xdr:cNvPicPr>
          <a:picLocks noChangeAspect="1"/>
        </xdr:cNvPicPr>
      </xdr:nvPicPr>
      <xdr:blipFill>
        <a:blip r:embed="rId118" r:link="rId2"/>
        <a:stretch>
          <a:fillRect/>
        </a:stretch>
      </xdr:blipFill>
      <xdr:spPr>
        <a:xfrm>
          <a:off x="0" y="136389110"/>
          <a:ext cx="762000" cy="952500"/>
        </a:xfrm>
        <a:prstGeom prst="rect">
          <a:avLst/>
        </a:prstGeom>
        <a:noFill/>
        <a:ln w="9525">
          <a:noFill/>
        </a:ln>
      </xdr:spPr>
    </xdr:pic>
  </etc:cellImage>
  <etc:cellImage>
    <xdr:pic>
      <xdr:nvPicPr>
        <xdr:cNvPr id="357" name="ID_0B65AF98544F452999B60C40917331ED" descr="游民星空"/>
        <xdr:cNvPicPr>
          <a:picLocks noChangeAspect="1"/>
        </xdr:cNvPicPr>
      </xdr:nvPicPr>
      <xdr:blipFill>
        <a:blip r:embed="rId119" r:link="rId2"/>
        <a:stretch>
          <a:fillRect/>
        </a:stretch>
      </xdr:blipFill>
      <xdr:spPr>
        <a:xfrm>
          <a:off x="0" y="135435340"/>
          <a:ext cx="762000" cy="952500"/>
        </a:xfrm>
        <a:prstGeom prst="rect">
          <a:avLst/>
        </a:prstGeom>
        <a:noFill/>
        <a:ln w="9525">
          <a:noFill/>
        </a:ln>
      </xdr:spPr>
    </xdr:pic>
  </etc:cellImage>
  <etc:cellImage>
    <xdr:pic>
      <xdr:nvPicPr>
        <xdr:cNvPr id="226" name="ID_94C11B3CFB5941E7AB1537F9B92DA262" descr="游民星空"/>
        <xdr:cNvPicPr>
          <a:picLocks noChangeAspect="1"/>
        </xdr:cNvPicPr>
      </xdr:nvPicPr>
      <xdr:blipFill>
        <a:blip r:embed="rId120" r:link="rId2"/>
        <a:stretch>
          <a:fillRect/>
        </a:stretch>
      </xdr:blipFill>
      <xdr:spPr>
        <a:xfrm>
          <a:off x="0" y="134481570"/>
          <a:ext cx="762000" cy="952500"/>
        </a:xfrm>
        <a:prstGeom prst="rect">
          <a:avLst/>
        </a:prstGeom>
        <a:noFill/>
        <a:ln w="9525">
          <a:noFill/>
        </a:ln>
      </xdr:spPr>
    </xdr:pic>
  </etc:cellImage>
  <etc:cellImage>
    <xdr:pic>
      <xdr:nvPicPr>
        <xdr:cNvPr id="290" name="ID_0A9B50800930414E928B806F3076EBE4" descr="游民星空"/>
        <xdr:cNvPicPr>
          <a:picLocks noChangeAspect="1"/>
        </xdr:cNvPicPr>
      </xdr:nvPicPr>
      <xdr:blipFill>
        <a:blip r:embed="rId121" r:link="rId2"/>
        <a:stretch>
          <a:fillRect/>
        </a:stretch>
      </xdr:blipFill>
      <xdr:spPr>
        <a:xfrm>
          <a:off x="0" y="133527800"/>
          <a:ext cx="762000" cy="952500"/>
        </a:xfrm>
        <a:prstGeom prst="rect">
          <a:avLst/>
        </a:prstGeom>
        <a:noFill/>
        <a:ln w="9525">
          <a:noFill/>
        </a:ln>
      </xdr:spPr>
    </xdr:pic>
  </etc:cellImage>
  <etc:cellImage>
    <xdr:pic>
      <xdr:nvPicPr>
        <xdr:cNvPr id="418" name="ID_6419807BDC384BF291D43CEF2C8821F8" descr="游民星空"/>
        <xdr:cNvPicPr>
          <a:picLocks noChangeAspect="1"/>
        </xdr:cNvPicPr>
      </xdr:nvPicPr>
      <xdr:blipFill>
        <a:blip r:embed="rId122" r:link="rId2"/>
        <a:stretch>
          <a:fillRect/>
        </a:stretch>
      </xdr:blipFill>
      <xdr:spPr>
        <a:xfrm>
          <a:off x="0" y="132574030"/>
          <a:ext cx="762000" cy="952500"/>
        </a:xfrm>
        <a:prstGeom prst="rect">
          <a:avLst/>
        </a:prstGeom>
        <a:noFill/>
        <a:ln w="9525">
          <a:noFill/>
        </a:ln>
      </xdr:spPr>
    </xdr:pic>
  </etc:cellImage>
  <etc:cellImage>
    <xdr:pic>
      <xdr:nvPicPr>
        <xdr:cNvPr id="356" name="ID_E3CE7CC0CC1E457B9DC84652B9CB2129" descr="游民星空"/>
        <xdr:cNvPicPr>
          <a:picLocks noChangeAspect="1"/>
        </xdr:cNvPicPr>
      </xdr:nvPicPr>
      <xdr:blipFill>
        <a:blip r:embed="rId123" r:link="rId2"/>
        <a:stretch>
          <a:fillRect/>
        </a:stretch>
      </xdr:blipFill>
      <xdr:spPr>
        <a:xfrm>
          <a:off x="0" y="131620260"/>
          <a:ext cx="762000" cy="952500"/>
        </a:xfrm>
        <a:prstGeom prst="rect">
          <a:avLst/>
        </a:prstGeom>
        <a:noFill/>
        <a:ln w="9525">
          <a:noFill/>
        </a:ln>
      </xdr:spPr>
    </xdr:pic>
  </etc:cellImage>
  <etc:cellImage>
    <xdr:pic>
      <xdr:nvPicPr>
        <xdr:cNvPr id="225" name="ID_8196F441D3AB458BAFFC2F1F77DF5388" descr="游民星空"/>
        <xdr:cNvPicPr>
          <a:picLocks noChangeAspect="1"/>
        </xdr:cNvPicPr>
      </xdr:nvPicPr>
      <xdr:blipFill>
        <a:blip r:embed="rId124" r:link="rId2"/>
        <a:stretch>
          <a:fillRect/>
        </a:stretch>
      </xdr:blipFill>
      <xdr:spPr>
        <a:xfrm>
          <a:off x="0" y="130666490"/>
          <a:ext cx="762000" cy="952500"/>
        </a:xfrm>
        <a:prstGeom prst="rect">
          <a:avLst/>
        </a:prstGeom>
        <a:noFill/>
        <a:ln w="9525">
          <a:noFill/>
        </a:ln>
      </xdr:spPr>
    </xdr:pic>
  </etc:cellImage>
  <etc:cellImage>
    <xdr:pic>
      <xdr:nvPicPr>
        <xdr:cNvPr id="289" name="ID_B6FDF3C188654704A46A25138B188995" descr="游民星空"/>
        <xdr:cNvPicPr>
          <a:picLocks noChangeAspect="1"/>
        </xdr:cNvPicPr>
      </xdr:nvPicPr>
      <xdr:blipFill>
        <a:blip r:embed="rId125" r:link="rId2"/>
        <a:stretch>
          <a:fillRect/>
        </a:stretch>
      </xdr:blipFill>
      <xdr:spPr>
        <a:xfrm>
          <a:off x="0" y="129712720"/>
          <a:ext cx="762000" cy="952500"/>
        </a:xfrm>
        <a:prstGeom prst="rect">
          <a:avLst/>
        </a:prstGeom>
        <a:noFill/>
        <a:ln w="9525">
          <a:noFill/>
        </a:ln>
      </xdr:spPr>
    </xdr:pic>
  </etc:cellImage>
  <etc:cellImage>
    <xdr:pic>
      <xdr:nvPicPr>
        <xdr:cNvPr id="412" name="ID_0730B9E6BE054D45865F720AE9E3F0A4" descr="游民星空"/>
        <xdr:cNvPicPr>
          <a:picLocks noChangeAspect="1"/>
        </xdr:cNvPicPr>
      </xdr:nvPicPr>
      <xdr:blipFill>
        <a:blip r:embed="rId126" r:link="rId2"/>
        <a:stretch>
          <a:fillRect/>
        </a:stretch>
      </xdr:blipFill>
      <xdr:spPr>
        <a:xfrm>
          <a:off x="0" y="128758950"/>
          <a:ext cx="762000" cy="952500"/>
        </a:xfrm>
        <a:prstGeom prst="rect">
          <a:avLst/>
        </a:prstGeom>
        <a:noFill/>
        <a:ln w="9525">
          <a:noFill/>
        </a:ln>
      </xdr:spPr>
    </xdr:pic>
  </etc:cellImage>
  <etc:cellImage>
    <xdr:pic>
      <xdr:nvPicPr>
        <xdr:cNvPr id="353" name="ID_EFE4C0F9B0CC48C599569052FEA34C35" descr="游民星空"/>
        <xdr:cNvPicPr>
          <a:picLocks noChangeAspect="1"/>
        </xdr:cNvPicPr>
      </xdr:nvPicPr>
      <xdr:blipFill>
        <a:blip r:embed="rId127" r:link="rId2"/>
        <a:stretch>
          <a:fillRect/>
        </a:stretch>
      </xdr:blipFill>
      <xdr:spPr>
        <a:xfrm>
          <a:off x="0" y="127805180"/>
          <a:ext cx="762000" cy="952500"/>
        </a:xfrm>
        <a:prstGeom prst="rect">
          <a:avLst/>
        </a:prstGeom>
        <a:noFill/>
        <a:ln w="9525">
          <a:noFill/>
        </a:ln>
      </xdr:spPr>
    </xdr:pic>
  </etc:cellImage>
  <etc:cellImage>
    <xdr:pic>
      <xdr:nvPicPr>
        <xdr:cNvPr id="219" name="ID_1644E4A3895F4FB0BD0838357942E03F" descr="游民星空"/>
        <xdr:cNvPicPr>
          <a:picLocks noChangeAspect="1"/>
        </xdr:cNvPicPr>
      </xdr:nvPicPr>
      <xdr:blipFill>
        <a:blip r:embed="rId128" r:link="rId2"/>
        <a:stretch>
          <a:fillRect/>
        </a:stretch>
      </xdr:blipFill>
      <xdr:spPr>
        <a:xfrm>
          <a:off x="0" y="126851410"/>
          <a:ext cx="762000" cy="952500"/>
        </a:xfrm>
        <a:prstGeom prst="rect">
          <a:avLst/>
        </a:prstGeom>
        <a:noFill/>
        <a:ln w="9525">
          <a:noFill/>
        </a:ln>
      </xdr:spPr>
    </xdr:pic>
  </etc:cellImage>
  <etc:cellImage>
    <xdr:pic>
      <xdr:nvPicPr>
        <xdr:cNvPr id="283" name="ID_1234BAF310D140A289E9B776AE05C70D" descr="游民星空"/>
        <xdr:cNvPicPr>
          <a:picLocks noChangeAspect="1"/>
        </xdr:cNvPicPr>
      </xdr:nvPicPr>
      <xdr:blipFill>
        <a:blip r:embed="rId129" r:link="rId2"/>
        <a:stretch>
          <a:fillRect/>
        </a:stretch>
      </xdr:blipFill>
      <xdr:spPr>
        <a:xfrm>
          <a:off x="0" y="125897640"/>
          <a:ext cx="762000" cy="952500"/>
        </a:xfrm>
        <a:prstGeom prst="rect">
          <a:avLst/>
        </a:prstGeom>
        <a:noFill/>
        <a:ln w="9525">
          <a:noFill/>
        </a:ln>
      </xdr:spPr>
    </xdr:pic>
  </etc:cellImage>
  <etc:cellImage>
    <xdr:pic>
      <xdr:nvPicPr>
        <xdr:cNvPr id="411" name="ID_C77D9F9C525E4346B7C51B273C2F6399" descr="游民星空"/>
        <xdr:cNvPicPr>
          <a:picLocks noChangeAspect="1"/>
        </xdr:cNvPicPr>
      </xdr:nvPicPr>
      <xdr:blipFill>
        <a:blip r:embed="rId130" r:link="rId2"/>
        <a:stretch>
          <a:fillRect/>
        </a:stretch>
      </xdr:blipFill>
      <xdr:spPr>
        <a:xfrm>
          <a:off x="0" y="124943870"/>
          <a:ext cx="762000" cy="952500"/>
        </a:xfrm>
        <a:prstGeom prst="rect">
          <a:avLst/>
        </a:prstGeom>
        <a:noFill/>
        <a:ln w="9525">
          <a:noFill/>
        </a:ln>
      </xdr:spPr>
    </xdr:pic>
  </etc:cellImage>
  <etc:cellImage>
    <xdr:pic>
      <xdr:nvPicPr>
        <xdr:cNvPr id="352" name="ID_2A859551382F4020B69D7F9900386F1C" descr="游民星空"/>
        <xdr:cNvPicPr>
          <a:picLocks noChangeAspect="1"/>
        </xdr:cNvPicPr>
      </xdr:nvPicPr>
      <xdr:blipFill>
        <a:blip r:embed="rId131" r:link="rId2"/>
        <a:stretch>
          <a:fillRect/>
        </a:stretch>
      </xdr:blipFill>
      <xdr:spPr>
        <a:xfrm>
          <a:off x="0" y="123990100"/>
          <a:ext cx="762000" cy="952500"/>
        </a:xfrm>
        <a:prstGeom prst="rect">
          <a:avLst/>
        </a:prstGeom>
        <a:noFill/>
        <a:ln w="9525">
          <a:noFill/>
        </a:ln>
      </xdr:spPr>
    </xdr:pic>
  </etc:cellImage>
  <etc:cellImage>
    <xdr:pic>
      <xdr:nvPicPr>
        <xdr:cNvPr id="218" name="ID_13DA06BB08CD46A6A839992263C36380" descr="游民星空"/>
        <xdr:cNvPicPr>
          <a:picLocks noChangeAspect="1"/>
        </xdr:cNvPicPr>
      </xdr:nvPicPr>
      <xdr:blipFill>
        <a:blip r:embed="rId132" r:link="rId2"/>
        <a:stretch>
          <a:fillRect/>
        </a:stretch>
      </xdr:blipFill>
      <xdr:spPr>
        <a:xfrm>
          <a:off x="0" y="123036330"/>
          <a:ext cx="762000" cy="952500"/>
        </a:xfrm>
        <a:prstGeom prst="rect">
          <a:avLst/>
        </a:prstGeom>
        <a:noFill/>
        <a:ln w="9525">
          <a:noFill/>
        </a:ln>
      </xdr:spPr>
    </xdr:pic>
  </etc:cellImage>
  <etc:cellImage>
    <xdr:pic>
      <xdr:nvPicPr>
        <xdr:cNvPr id="407" name="ID_14C8A3E6D86A482CBCF4A92118BB158E" descr="游民星空"/>
        <xdr:cNvPicPr>
          <a:picLocks noChangeAspect="1"/>
        </xdr:cNvPicPr>
      </xdr:nvPicPr>
      <xdr:blipFill>
        <a:blip r:embed="rId133" r:link="rId2"/>
        <a:stretch>
          <a:fillRect/>
        </a:stretch>
      </xdr:blipFill>
      <xdr:spPr>
        <a:xfrm>
          <a:off x="0" y="121128790"/>
          <a:ext cx="762000" cy="952500"/>
        </a:xfrm>
        <a:prstGeom prst="rect">
          <a:avLst/>
        </a:prstGeom>
        <a:noFill/>
        <a:ln w="9525">
          <a:noFill/>
        </a:ln>
      </xdr:spPr>
    </xdr:pic>
  </etc:cellImage>
  <etc:cellImage>
    <xdr:pic>
      <xdr:nvPicPr>
        <xdr:cNvPr id="27" name="ID_DC95E7B665974B3FAED5E5B5125AAE6A" descr="游民星空"/>
        <xdr:cNvPicPr>
          <a:picLocks noChangeAspect="1"/>
        </xdr:cNvPicPr>
      </xdr:nvPicPr>
      <xdr:blipFill>
        <a:blip r:embed="rId134" r:link="rId2"/>
        <a:stretch>
          <a:fillRect/>
        </a:stretch>
      </xdr:blipFill>
      <xdr:spPr>
        <a:xfrm>
          <a:off x="19050" y="122104785"/>
          <a:ext cx="733425" cy="916940"/>
        </a:xfrm>
        <a:prstGeom prst="rect">
          <a:avLst/>
        </a:prstGeom>
        <a:noFill/>
        <a:ln w="9525">
          <a:noFill/>
        </a:ln>
      </xdr:spPr>
    </xdr:pic>
  </etc:cellImage>
  <etc:cellImage>
    <xdr:pic>
      <xdr:nvPicPr>
        <xdr:cNvPr id="348" name="ID_7F3301D401A14C288C9D2031A3346501" descr="游民星空"/>
        <xdr:cNvPicPr>
          <a:picLocks noChangeAspect="1"/>
        </xdr:cNvPicPr>
      </xdr:nvPicPr>
      <xdr:blipFill>
        <a:blip r:embed="rId135" r:link="rId2"/>
        <a:stretch>
          <a:fillRect/>
        </a:stretch>
      </xdr:blipFill>
      <xdr:spPr>
        <a:xfrm>
          <a:off x="0" y="120175020"/>
          <a:ext cx="762000" cy="952500"/>
        </a:xfrm>
        <a:prstGeom prst="rect">
          <a:avLst/>
        </a:prstGeom>
        <a:noFill/>
        <a:ln w="9525">
          <a:noFill/>
        </a:ln>
      </xdr:spPr>
    </xdr:pic>
  </etc:cellImage>
  <etc:cellImage>
    <xdr:pic>
      <xdr:nvPicPr>
        <xdr:cNvPr id="214" name="ID_19E1FD26F8B24761A30436C008405838" descr="游民星空"/>
        <xdr:cNvPicPr>
          <a:picLocks noChangeAspect="1"/>
        </xdr:cNvPicPr>
      </xdr:nvPicPr>
      <xdr:blipFill>
        <a:blip r:embed="rId136" r:link="rId2"/>
        <a:stretch>
          <a:fillRect/>
        </a:stretch>
      </xdr:blipFill>
      <xdr:spPr>
        <a:xfrm>
          <a:off x="0" y="119221250"/>
          <a:ext cx="762000" cy="952500"/>
        </a:xfrm>
        <a:prstGeom prst="rect">
          <a:avLst/>
        </a:prstGeom>
        <a:noFill/>
        <a:ln w="9525">
          <a:noFill/>
        </a:ln>
      </xdr:spPr>
    </xdr:pic>
  </etc:cellImage>
  <etc:cellImage>
    <xdr:pic>
      <xdr:nvPicPr>
        <xdr:cNvPr id="278" name="ID_3A20DCAABE664C2285F48CFC78F4786D" descr="游民星空"/>
        <xdr:cNvPicPr>
          <a:picLocks noChangeAspect="1"/>
        </xdr:cNvPicPr>
      </xdr:nvPicPr>
      <xdr:blipFill>
        <a:blip r:embed="rId137" r:link="rId2"/>
        <a:stretch>
          <a:fillRect/>
        </a:stretch>
      </xdr:blipFill>
      <xdr:spPr>
        <a:xfrm>
          <a:off x="0" y="118267480"/>
          <a:ext cx="762000" cy="952500"/>
        </a:xfrm>
        <a:prstGeom prst="rect">
          <a:avLst/>
        </a:prstGeom>
        <a:noFill/>
        <a:ln w="9525">
          <a:noFill/>
        </a:ln>
      </xdr:spPr>
    </xdr:pic>
  </etc:cellImage>
  <etc:cellImage>
    <xdr:pic>
      <xdr:nvPicPr>
        <xdr:cNvPr id="405" name="ID_9E252838687F472D81251ACF6FA2BBB0" descr="游民星空"/>
        <xdr:cNvPicPr>
          <a:picLocks noChangeAspect="1"/>
        </xdr:cNvPicPr>
      </xdr:nvPicPr>
      <xdr:blipFill>
        <a:blip r:embed="rId138" r:link="rId2"/>
        <a:stretch>
          <a:fillRect/>
        </a:stretch>
      </xdr:blipFill>
      <xdr:spPr>
        <a:xfrm>
          <a:off x="0" y="117313710"/>
          <a:ext cx="762000" cy="952500"/>
        </a:xfrm>
        <a:prstGeom prst="rect">
          <a:avLst/>
        </a:prstGeom>
        <a:noFill/>
        <a:ln w="9525">
          <a:noFill/>
        </a:ln>
      </xdr:spPr>
    </xdr:pic>
  </etc:cellImage>
  <etc:cellImage>
    <xdr:pic>
      <xdr:nvPicPr>
        <xdr:cNvPr id="346" name="ID_A767690E8BB54983B503AC93EC3BEE76" descr="游民星空"/>
        <xdr:cNvPicPr>
          <a:picLocks noChangeAspect="1"/>
        </xdr:cNvPicPr>
      </xdr:nvPicPr>
      <xdr:blipFill>
        <a:blip r:embed="rId139" r:link="rId2"/>
        <a:stretch>
          <a:fillRect/>
        </a:stretch>
      </xdr:blipFill>
      <xdr:spPr>
        <a:xfrm>
          <a:off x="0" y="116359940"/>
          <a:ext cx="762000" cy="952500"/>
        </a:xfrm>
        <a:prstGeom prst="rect">
          <a:avLst/>
        </a:prstGeom>
        <a:noFill/>
        <a:ln w="9525">
          <a:noFill/>
        </a:ln>
      </xdr:spPr>
    </xdr:pic>
  </etc:cellImage>
  <etc:cellImage>
    <xdr:pic>
      <xdr:nvPicPr>
        <xdr:cNvPr id="212" name="ID_BCF993CBC92E44F4AE67DB0E63637BE3" descr="游民星空"/>
        <xdr:cNvPicPr>
          <a:picLocks noChangeAspect="1"/>
        </xdr:cNvPicPr>
      </xdr:nvPicPr>
      <xdr:blipFill>
        <a:blip r:embed="rId140" r:link="rId2"/>
        <a:stretch>
          <a:fillRect/>
        </a:stretch>
      </xdr:blipFill>
      <xdr:spPr>
        <a:xfrm>
          <a:off x="0" y="115406170"/>
          <a:ext cx="762000" cy="952500"/>
        </a:xfrm>
        <a:prstGeom prst="rect">
          <a:avLst/>
        </a:prstGeom>
        <a:noFill/>
        <a:ln w="9525">
          <a:noFill/>
        </a:ln>
      </xdr:spPr>
    </xdr:pic>
  </etc:cellImage>
  <etc:cellImage>
    <xdr:pic>
      <xdr:nvPicPr>
        <xdr:cNvPr id="275" name="ID_ABD559CF22F54EF8B14B32D654AA6A19" descr="游民星空"/>
        <xdr:cNvPicPr>
          <a:picLocks noChangeAspect="1"/>
        </xdr:cNvPicPr>
      </xdr:nvPicPr>
      <xdr:blipFill>
        <a:blip r:embed="rId141" r:link="rId2"/>
        <a:stretch>
          <a:fillRect/>
        </a:stretch>
      </xdr:blipFill>
      <xdr:spPr>
        <a:xfrm>
          <a:off x="0" y="114452400"/>
          <a:ext cx="762000" cy="952500"/>
        </a:xfrm>
        <a:prstGeom prst="rect">
          <a:avLst/>
        </a:prstGeom>
        <a:noFill/>
        <a:ln w="9525">
          <a:noFill/>
        </a:ln>
      </xdr:spPr>
    </xdr:pic>
  </etc:cellImage>
  <etc:cellImage>
    <xdr:pic>
      <xdr:nvPicPr>
        <xdr:cNvPr id="403" name="ID_2654D4A952D447D2BD8F0BCD80012851" descr="游民星空"/>
        <xdr:cNvPicPr>
          <a:picLocks noChangeAspect="1"/>
        </xdr:cNvPicPr>
      </xdr:nvPicPr>
      <xdr:blipFill>
        <a:blip r:embed="rId142" r:link="rId2"/>
        <a:stretch>
          <a:fillRect/>
        </a:stretch>
      </xdr:blipFill>
      <xdr:spPr>
        <a:xfrm>
          <a:off x="0" y="113498630"/>
          <a:ext cx="762000" cy="952500"/>
        </a:xfrm>
        <a:prstGeom prst="rect">
          <a:avLst/>
        </a:prstGeom>
        <a:noFill/>
        <a:ln w="9525">
          <a:noFill/>
        </a:ln>
      </xdr:spPr>
    </xdr:pic>
  </etc:cellImage>
  <etc:cellImage>
    <xdr:pic>
      <xdr:nvPicPr>
        <xdr:cNvPr id="344" name="ID_143A96183D54467FA152E83D39B19B79" descr="游民星空"/>
        <xdr:cNvPicPr>
          <a:picLocks noChangeAspect="1"/>
        </xdr:cNvPicPr>
      </xdr:nvPicPr>
      <xdr:blipFill>
        <a:blip r:embed="rId143" r:link="rId2"/>
        <a:stretch>
          <a:fillRect/>
        </a:stretch>
      </xdr:blipFill>
      <xdr:spPr>
        <a:xfrm>
          <a:off x="0" y="112544860"/>
          <a:ext cx="762000" cy="952500"/>
        </a:xfrm>
        <a:prstGeom prst="rect">
          <a:avLst/>
        </a:prstGeom>
        <a:noFill/>
        <a:ln w="9525">
          <a:noFill/>
        </a:ln>
      </xdr:spPr>
    </xdr:pic>
  </etc:cellImage>
  <etc:cellImage>
    <xdr:pic>
      <xdr:nvPicPr>
        <xdr:cNvPr id="210" name="ID_09615646BB4C4A4CB2009B7037B4DE22" descr="游民星空"/>
        <xdr:cNvPicPr>
          <a:picLocks noChangeAspect="1"/>
        </xdr:cNvPicPr>
      </xdr:nvPicPr>
      <xdr:blipFill>
        <a:blip r:embed="rId144" r:link="rId2"/>
        <a:stretch>
          <a:fillRect/>
        </a:stretch>
      </xdr:blipFill>
      <xdr:spPr>
        <a:xfrm>
          <a:off x="0" y="111591090"/>
          <a:ext cx="762000" cy="952500"/>
        </a:xfrm>
        <a:prstGeom prst="rect">
          <a:avLst/>
        </a:prstGeom>
        <a:noFill/>
        <a:ln w="9525">
          <a:noFill/>
        </a:ln>
      </xdr:spPr>
    </xdr:pic>
  </etc:cellImage>
  <etc:cellImage>
    <xdr:pic>
      <xdr:nvPicPr>
        <xdr:cNvPr id="274" name="ID_DE6960E35B9C46D480C44A109DC60242" descr="游民星空"/>
        <xdr:cNvPicPr>
          <a:picLocks noChangeAspect="1"/>
        </xdr:cNvPicPr>
      </xdr:nvPicPr>
      <xdr:blipFill>
        <a:blip r:embed="rId145" r:link="rId2"/>
        <a:stretch>
          <a:fillRect/>
        </a:stretch>
      </xdr:blipFill>
      <xdr:spPr>
        <a:xfrm>
          <a:off x="0" y="110637320"/>
          <a:ext cx="762000" cy="952500"/>
        </a:xfrm>
        <a:prstGeom prst="rect">
          <a:avLst/>
        </a:prstGeom>
        <a:noFill/>
        <a:ln w="9525">
          <a:noFill/>
        </a:ln>
      </xdr:spPr>
    </xdr:pic>
  </etc:cellImage>
  <etc:cellImage>
    <xdr:pic>
      <xdr:nvPicPr>
        <xdr:cNvPr id="399" name="ID_58C193C7BF1847EEA61DDEF893BE8018" descr="游民星空"/>
        <xdr:cNvPicPr>
          <a:picLocks noChangeAspect="1"/>
        </xdr:cNvPicPr>
      </xdr:nvPicPr>
      <xdr:blipFill>
        <a:blip r:embed="rId146" r:link="rId2"/>
        <a:stretch>
          <a:fillRect/>
        </a:stretch>
      </xdr:blipFill>
      <xdr:spPr>
        <a:xfrm>
          <a:off x="0" y="109683550"/>
          <a:ext cx="762000" cy="952500"/>
        </a:xfrm>
        <a:prstGeom prst="rect">
          <a:avLst/>
        </a:prstGeom>
        <a:noFill/>
        <a:ln w="9525">
          <a:noFill/>
        </a:ln>
      </xdr:spPr>
    </xdr:pic>
  </etc:cellImage>
  <etc:cellImage>
    <xdr:pic>
      <xdr:nvPicPr>
        <xdr:cNvPr id="340" name="ID_A785C126B3AF427C85533C9778284070" descr="游民星空"/>
        <xdr:cNvPicPr>
          <a:picLocks noChangeAspect="1"/>
        </xdr:cNvPicPr>
      </xdr:nvPicPr>
      <xdr:blipFill>
        <a:blip r:embed="rId147" r:link="rId2"/>
        <a:stretch>
          <a:fillRect/>
        </a:stretch>
      </xdr:blipFill>
      <xdr:spPr>
        <a:xfrm>
          <a:off x="0" y="108729780"/>
          <a:ext cx="762000" cy="952500"/>
        </a:xfrm>
        <a:prstGeom prst="rect">
          <a:avLst/>
        </a:prstGeom>
        <a:noFill/>
        <a:ln w="9525">
          <a:noFill/>
        </a:ln>
      </xdr:spPr>
    </xdr:pic>
  </etc:cellImage>
  <etc:cellImage>
    <xdr:pic>
      <xdr:nvPicPr>
        <xdr:cNvPr id="206" name="ID_4FD21F65FAB14BC0ADB904BB867C77BB" descr="游民星空"/>
        <xdr:cNvPicPr>
          <a:picLocks noChangeAspect="1"/>
        </xdr:cNvPicPr>
      </xdr:nvPicPr>
      <xdr:blipFill>
        <a:blip r:embed="rId148" r:link="rId2"/>
        <a:stretch>
          <a:fillRect/>
        </a:stretch>
      </xdr:blipFill>
      <xdr:spPr>
        <a:xfrm>
          <a:off x="0" y="107776010"/>
          <a:ext cx="762000" cy="952500"/>
        </a:xfrm>
        <a:prstGeom prst="rect">
          <a:avLst/>
        </a:prstGeom>
        <a:noFill/>
        <a:ln w="9525">
          <a:noFill/>
        </a:ln>
      </xdr:spPr>
    </xdr:pic>
  </etc:cellImage>
  <etc:cellImage>
    <xdr:pic>
      <xdr:nvPicPr>
        <xdr:cNvPr id="268" name="ID_49C3AB6F89854F0CAFDA29B747244A87" descr="游民星空"/>
        <xdr:cNvPicPr>
          <a:picLocks noChangeAspect="1"/>
        </xdr:cNvPicPr>
      </xdr:nvPicPr>
      <xdr:blipFill>
        <a:blip r:embed="rId149" r:link="rId2"/>
        <a:stretch>
          <a:fillRect/>
        </a:stretch>
      </xdr:blipFill>
      <xdr:spPr>
        <a:xfrm>
          <a:off x="0" y="106822240"/>
          <a:ext cx="762000" cy="952500"/>
        </a:xfrm>
        <a:prstGeom prst="rect">
          <a:avLst/>
        </a:prstGeom>
        <a:noFill/>
        <a:ln w="9525">
          <a:noFill/>
        </a:ln>
      </xdr:spPr>
    </xdr:pic>
  </etc:cellImage>
  <etc:cellImage>
    <xdr:pic>
      <xdr:nvPicPr>
        <xdr:cNvPr id="397" name="ID_75A8A701B67A419DB4232AC67DA80DE5" descr="游民星空"/>
        <xdr:cNvPicPr>
          <a:picLocks noChangeAspect="1"/>
        </xdr:cNvPicPr>
      </xdr:nvPicPr>
      <xdr:blipFill>
        <a:blip r:embed="rId150" r:link="rId2"/>
        <a:stretch>
          <a:fillRect/>
        </a:stretch>
      </xdr:blipFill>
      <xdr:spPr>
        <a:xfrm>
          <a:off x="0" y="105868470"/>
          <a:ext cx="762000" cy="952500"/>
        </a:xfrm>
        <a:prstGeom prst="rect">
          <a:avLst/>
        </a:prstGeom>
        <a:noFill/>
        <a:ln w="9525">
          <a:noFill/>
        </a:ln>
      </xdr:spPr>
    </xdr:pic>
  </etc:cellImage>
  <etc:cellImage>
    <xdr:pic>
      <xdr:nvPicPr>
        <xdr:cNvPr id="338" name="ID_3A98D2DC6B7C4234B9723876F51F39D0" descr="游民星空"/>
        <xdr:cNvPicPr>
          <a:picLocks noChangeAspect="1"/>
        </xdr:cNvPicPr>
      </xdr:nvPicPr>
      <xdr:blipFill>
        <a:blip r:embed="rId151" r:link="rId2"/>
        <a:stretch>
          <a:fillRect/>
        </a:stretch>
      </xdr:blipFill>
      <xdr:spPr>
        <a:xfrm>
          <a:off x="0" y="104914700"/>
          <a:ext cx="762000" cy="952500"/>
        </a:xfrm>
        <a:prstGeom prst="rect">
          <a:avLst/>
        </a:prstGeom>
        <a:noFill/>
        <a:ln w="9525">
          <a:noFill/>
        </a:ln>
      </xdr:spPr>
    </xdr:pic>
  </etc:cellImage>
  <etc:cellImage>
    <xdr:pic>
      <xdr:nvPicPr>
        <xdr:cNvPr id="204" name="ID_E61C8BCDAE3E4FD392656C70E1F758FF" descr="游民星空"/>
        <xdr:cNvPicPr>
          <a:picLocks noChangeAspect="1"/>
        </xdr:cNvPicPr>
      </xdr:nvPicPr>
      <xdr:blipFill>
        <a:blip r:embed="rId152" r:link="rId2"/>
        <a:stretch>
          <a:fillRect/>
        </a:stretch>
      </xdr:blipFill>
      <xdr:spPr>
        <a:xfrm>
          <a:off x="0" y="103960930"/>
          <a:ext cx="762000" cy="952500"/>
        </a:xfrm>
        <a:prstGeom prst="rect">
          <a:avLst/>
        </a:prstGeom>
        <a:noFill/>
        <a:ln w="9525">
          <a:noFill/>
        </a:ln>
      </xdr:spPr>
    </xdr:pic>
  </etc:cellImage>
  <etc:cellImage>
    <xdr:pic>
      <xdr:nvPicPr>
        <xdr:cNvPr id="266" name="ID_1E186DD88C854AC487DFE40D9882A532" descr="游民星空"/>
        <xdr:cNvPicPr>
          <a:picLocks noChangeAspect="1"/>
        </xdr:cNvPicPr>
      </xdr:nvPicPr>
      <xdr:blipFill>
        <a:blip r:embed="rId153" r:link="rId2"/>
        <a:stretch>
          <a:fillRect/>
        </a:stretch>
      </xdr:blipFill>
      <xdr:spPr>
        <a:xfrm>
          <a:off x="0" y="103007160"/>
          <a:ext cx="762000" cy="952500"/>
        </a:xfrm>
        <a:prstGeom prst="rect">
          <a:avLst/>
        </a:prstGeom>
        <a:noFill/>
        <a:ln w="9525">
          <a:noFill/>
        </a:ln>
      </xdr:spPr>
    </xdr:pic>
  </etc:cellImage>
  <etc:cellImage>
    <xdr:pic>
      <xdr:nvPicPr>
        <xdr:cNvPr id="402" name="ID_511B9931536B49CFACE93891FE11E8C0" descr="游民星空"/>
        <xdr:cNvPicPr>
          <a:picLocks noChangeAspect="1"/>
        </xdr:cNvPicPr>
      </xdr:nvPicPr>
      <xdr:blipFill>
        <a:blip r:embed="rId154" r:link="rId2"/>
        <a:stretch>
          <a:fillRect/>
        </a:stretch>
      </xdr:blipFill>
      <xdr:spPr>
        <a:xfrm>
          <a:off x="0" y="101099620"/>
          <a:ext cx="762000" cy="952500"/>
        </a:xfrm>
        <a:prstGeom prst="rect">
          <a:avLst/>
        </a:prstGeom>
        <a:noFill/>
        <a:ln w="9525">
          <a:noFill/>
        </a:ln>
      </xdr:spPr>
    </xdr:pic>
  </etc:cellImage>
  <etc:cellImage>
    <xdr:pic>
      <xdr:nvPicPr>
        <xdr:cNvPr id="343" name="ID_A557E214BE274311A297AD628D2A7CE4" descr="游民星空"/>
        <xdr:cNvPicPr>
          <a:picLocks noChangeAspect="1"/>
        </xdr:cNvPicPr>
      </xdr:nvPicPr>
      <xdr:blipFill>
        <a:blip r:embed="rId155" r:link="rId2"/>
        <a:stretch>
          <a:fillRect/>
        </a:stretch>
      </xdr:blipFill>
      <xdr:spPr>
        <a:xfrm>
          <a:off x="0" y="100145850"/>
          <a:ext cx="762000" cy="952500"/>
        </a:xfrm>
        <a:prstGeom prst="rect">
          <a:avLst/>
        </a:prstGeom>
        <a:noFill/>
        <a:ln w="9525">
          <a:noFill/>
        </a:ln>
      </xdr:spPr>
    </xdr:pic>
  </etc:cellImage>
  <etc:cellImage>
    <xdr:pic>
      <xdr:nvPicPr>
        <xdr:cNvPr id="209" name="ID_6BE3392B8373408B827C90FA6AF959D1" descr="游民星空"/>
        <xdr:cNvPicPr>
          <a:picLocks noChangeAspect="1"/>
        </xdr:cNvPicPr>
      </xdr:nvPicPr>
      <xdr:blipFill>
        <a:blip r:embed="rId156" r:link="rId2"/>
        <a:stretch>
          <a:fillRect/>
        </a:stretch>
      </xdr:blipFill>
      <xdr:spPr>
        <a:xfrm>
          <a:off x="0" y="99192080"/>
          <a:ext cx="762000" cy="952500"/>
        </a:xfrm>
        <a:prstGeom prst="rect">
          <a:avLst/>
        </a:prstGeom>
        <a:noFill/>
        <a:ln w="9525">
          <a:noFill/>
        </a:ln>
      </xdr:spPr>
    </xdr:pic>
  </etc:cellImage>
  <etc:cellImage>
    <xdr:pic>
      <xdr:nvPicPr>
        <xdr:cNvPr id="273" name="ID_B243B2D560054AE0B0E0EF166305BF09" descr="游民星空"/>
        <xdr:cNvPicPr>
          <a:picLocks noChangeAspect="1"/>
        </xdr:cNvPicPr>
      </xdr:nvPicPr>
      <xdr:blipFill>
        <a:blip r:embed="rId157" r:link="rId2"/>
        <a:stretch>
          <a:fillRect/>
        </a:stretch>
      </xdr:blipFill>
      <xdr:spPr>
        <a:xfrm>
          <a:off x="0" y="98238310"/>
          <a:ext cx="762000" cy="952500"/>
        </a:xfrm>
        <a:prstGeom prst="rect">
          <a:avLst/>
        </a:prstGeom>
        <a:noFill/>
        <a:ln w="9525">
          <a:noFill/>
        </a:ln>
      </xdr:spPr>
    </xdr:pic>
  </etc:cellImage>
  <etc:cellImage>
    <xdr:pic>
      <xdr:nvPicPr>
        <xdr:cNvPr id="410" name="ID_410F359E1C4A47EFB9FFD8D27B3C94BD" descr="游民星空"/>
        <xdr:cNvPicPr>
          <a:picLocks noChangeAspect="1"/>
        </xdr:cNvPicPr>
      </xdr:nvPicPr>
      <xdr:blipFill>
        <a:blip r:embed="rId158" r:link="rId2"/>
        <a:stretch>
          <a:fillRect/>
        </a:stretch>
      </xdr:blipFill>
      <xdr:spPr>
        <a:xfrm>
          <a:off x="0" y="96330770"/>
          <a:ext cx="762000" cy="952500"/>
        </a:xfrm>
        <a:prstGeom prst="rect">
          <a:avLst/>
        </a:prstGeom>
        <a:noFill/>
        <a:ln w="9525">
          <a:noFill/>
        </a:ln>
      </xdr:spPr>
    </xdr:pic>
  </etc:cellImage>
  <etc:cellImage>
    <xdr:pic>
      <xdr:nvPicPr>
        <xdr:cNvPr id="351" name="ID_729134AAD7B5471BA56BFC4DD07658BD" descr="游民星空"/>
        <xdr:cNvPicPr>
          <a:picLocks noChangeAspect="1"/>
        </xdr:cNvPicPr>
      </xdr:nvPicPr>
      <xdr:blipFill>
        <a:blip r:embed="rId159" r:link="rId2"/>
        <a:stretch>
          <a:fillRect/>
        </a:stretch>
      </xdr:blipFill>
      <xdr:spPr>
        <a:xfrm>
          <a:off x="0" y="95377000"/>
          <a:ext cx="762000" cy="952500"/>
        </a:xfrm>
        <a:prstGeom prst="rect">
          <a:avLst/>
        </a:prstGeom>
        <a:noFill/>
        <a:ln w="9525">
          <a:noFill/>
        </a:ln>
      </xdr:spPr>
    </xdr:pic>
  </etc:cellImage>
  <etc:cellImage>
    <xdr:pic>
      <xdr:nvPicPr>
        <xdr:cNvPr id="217" name="ID_CAEEDAB924CB40118055061FFC0E9826" descr="游民星空"/>
        <xdr:cNvPicPr>
          <a:picLocks noChangeAspect="1"/>
        </xdr:cNvPicPr>
      </xdr:nvPicPr>
      <xdr:blipFill>
        <a:blip r:embed="rId160" r:link="rId2"/>
        <a:stretch>
          <a:fillRect/>
        </a:stretch>
      </xdr:blipFill>
      <xdr:spPr>
        <a:xfrm>
          <a:off x="0" y="94423230"/>
          <a:ext cx="762000" cy="952500"/>
        </a:xfrm>
        <a:prstGeom prst="rect">
          <a:avLst/>
        </a:prstGeom>
        <a:noFill/>
        <a:ln w="9525">
          <a:noFill/>
        </a:ln>
      </xdr:spPr>
    </xdr:pic>
  </etc:cellImage>
  <etc:cellImage>
    <xdr:pic>
      <xdr:nvPicPr>
        <xdr:cNvPr id="281" name="ID_73C59513F8114607A61225F54811205C" descr="游民星空"/>
        <xdr:cNvPicPr>
          <a:picLocks noChangeAspect="1"/>
        </xdr:cNvPicPr>
      </xdr:nvPicPr>
      <xdr:blipFill>
        <a:blip r:embed="rId161" r:link="rId2"/>
        <a:stretch>
          <a:fillRect/>
        </a:stretch>
      </xdr:blipFill>
      <xdr:spPr>
        <a:xfrm>
          <a:off x="0" y="93469460"/>
          <a:ext cx="762000" cy="952500"/>
        </a:xfrm>
        <a:prstGeom prst="rect">
          <a:avLst/>
        </a:prstGeom>
        <a:noFill/>
        <a:ln w="9525">
          <a:noFill/>
        </a:ln>
      </xdr:spPr>
    </xdr:pic>
  </etc:cellImage>
  <etc:cellImage>
    <xdr:pic>
      <xdr:nvPicPr>
        <xdr:cNvPr id="409" name="ID_5CC3342C0C2F41B69015BC7C2128D8E3" descr="游民星空"/>
        <xdr:cNvPicPr>
          <a:picLocks noChangeAspect="1"/>
        </xdr:cNvPicPr>
      </xdr:nvPicPr>
      <xdr:blipFill>
        <a:blip r:embed="rId162" r:link="rId2"/>
        <a:stretch>
          <a:fillRect/>
        </a:stretch>
      </xdr:blipFill>
      <xdr:spPr>
        <a:xfrm>
          <a:off x="0" y="92515690"/>
          <a:ext cx="762000" cy="952500"/>
        </a:xfrm>
        <a:prstGeom prst="rect">
          <a:avLst/>
        </a:prstGeom>
        <a:noFill/>
        <a:ln w="9525">
          <a:noFill/>
        </a:ln>
      </xdr:spPr>
    </xdr:pic>
  </etc:cellImage>
  <etc:cellImage>
    <xdr:pic>
      <xdr:nvPicPr>
        <xdr:cNvPr id="350" name="ID_C27843DE879A4ACFBDE3195FA49A779A" descr="游民星空"/>
        <xdr:cNvPicPr>
          <a:picLocks noChangeAspect="1"/>
        </xdr:cNvPicPr>
      </xdr:nvPicPr>
      <xdr:blipFill>
        <a:blip r:embed="rId163" r:link="rId2"/>
        <a:stretch>
          <a:fillRect/>
        </a:stretch>
      </xdr:blipFill>
      <xdr:spPr>
        <a:xfrm>
          <a:off x="0" y="91561920"/>
          <a:ext cx="762000" cy="952500"/>
        </a:xfrm>
        <a:prstGeom prst="rect">
          <a:avLst/>
        </a:prstGeom>
        <a:noFill/>
        <a:ln w="9525">
          <a:noFill/>
        </a:ln>
      </xdr:spPr>
    </xdr:pic>
  </etc:cellImage>
  <etc:cellImage>
    <xdr:pic>
      <xdr:nvPicPr>
        <xdr:cNvPr id="216" name="ID_3E96763C5CDD435F9B2D1E67BD2D6442" descr="游民星空"/>
        <xdr:cNvPicPr>
          <a:picLocks noChangeAspect="1"/>
        </xdr:cNvPicPr>
      </xdr:nvPicPr>
      <xdr:blipFill>
        <a:blip r:embed="rId164" r:link="rId2"/>
        <a:stretch>
          <a:fillRect/>
        </a:stretch>
      </xdr:blipFill>
      <xdr:spPr>
        <a:xfrm>
          <a:off x="0" y="90608150"/>
          <a:ext cx="762000" cy="952500"/>
        </a:xfrm>
        <a:prstGeom prst="rect">
          <a:avLst/>
        </a:prstGeom>
        <a:noFill/>
        <a:ln w="9525">
          <a:noFill/>
        </a:ln>
      </xdr:spPr>
    </xdr:pic>
  </etc:cellImage>
  <etc:cellImage>
    <xdr:pic>
      <xdr:nvPicPr>
        <xdr:cNvPr id="280" name="ID_8E4341C267E94829932AB855D01A78AD" descr="游民星空"/>
        <xdr:cNvPicPr>
          <a:picLocks noChangeAspect="1"/>
        </xdr:cNvPicPr>
      </xdr:nvPicPr>
      <xdr:blipFill>
        <a:blip r:embed="rId165" r:link="rId2"/>
        <a:stretch>
          <a:fillRect/>
        </a:stretch>
      </xdr:blipFill>
      <xdr:spPr>
        <a:xfrm>
          <a:off x="0" y="89654380"/>
          <a:ext cx="762000" cy="952500"/>
        </a:xfrm>
        <a:prstGeom prst="rect">
          <a:avLst/>
        </a:prstGeom>
        <a:noFill/>
        <a:ln w="9525">
          <a:noFill/>
        </a:ln>
      </xdr:spPr>
    </xdr:pic>
  </etc:cellImage>
  <etc:cellImage>
    <xdr:pic>
      <xdr:nvPicPr>
        <xdr:cNvPr id="416" name="ID_63FE195B7D404F639EF6F1DFE23DCA91" descr="游民星空"/>
        <xdr:cNvPicPr>
          <a:picLocks noChangeAspect="1"/>
        </xdr:cNvPicPr>
      </xdr:nvPicPr>
      <xdr:blipFill>
        <a:blip r:embed="rId166" r:link="rId2"/>
        <a:stretch>
          <a:fillRect/>
        </a:stretch>
      </xdr:blipFill>
      <xdr:spPr>
        <a:xfrm>
          <a:off x="0" y="88700610"/>
          <a:ext cx="762000" cy="952500"/>
        </a:xfrm>
        <a:prstGeom prst="rect">
          <a:avLst/>
        </a:prstGeom>
        <a:noFill/>
        <a:ln w="9525">
          <a:noFill/>
        </a:ln>
      </xdr:spPr>
    </xdr:pic>
  </etc:cellImage>
  <etc:cellImage>
    <xdr:pic>
      <xdr:nvPicPr>
        <xdr:cNvPr id="355" name="ID_5521E7B0CEF34E1CA60FE5325501C84F" descr="游民星空"/>
        <xdr:cNvPicPr>
          <a:picLocks noChangeAspect="1"/>
        </xdr:cNvPicPr>
      </xdr:nvPicPr>
      <xdr:blipFill>
        <a:blip r:embed="rId167" r:link="rId2"/>
        <a:stretch>
          <a:fillRect/>
        </a:stretch>
      </xdr:blipFill>
      <xdr:spPr>
        <a:xfrm>
          <a:off x="0" y="87746840"/>
          <a:ext cx="762000" cy="952500"/>
        </a:xfrm>
        <a:prstGeom prst="rect">
          <a:avLst/>
        </a:prstGeom>
        <a:noFill/>
        <a:ln w="9525">
          <a:noFill/>
        </a:ln>
      </xdr:spPr>
    </xdr:pic>
  </etc:cellImage>
  <etc:cellImage>
    <xdr:pic>
      <xdr:nvPicPr>
        <xdr:cNvPr id="223" name="ID_8382DB2EB7144B58A8A1182BD19421D9" descr="游民星空"/>
        <xdr:cNvPicPr>
          <a:picLocks noChangeAspect="1"/>
        </xdr:cNvPicPr>
      </xdr:nvPicPr>
      <xdr:blipFill>
        <a:blip r:embed="rId168" r:link="rId2"/>
        <a:stretch>
          <a:fillRect/>
        </a:stretch>
      </xdr:blipFill>
      <xdr:spPr>
        <a:xfrm>
          <a:off x="0" y="86793070"/>
          <a:ext cx="762000" cy="952500"/>
        </a:xfrm>
        <a:prstGeom prst="rect">
          <a:avLst/>
        </a:prstGeom>
        <a:noFill/>
        <a:ln w="9525">
          <a:noFill/>
        </a:ln>
      </xdr:spPr>
    </xdr:pic>
  </etc:cellImage>
  <etc:cellImage>
    <xdr:pic>
      <xdr:nvPicPr>
        <xdr:cNvPr id="287" name="ID_3BE582B742754E5DAF473BC8C08DFE34" descr="游民星空"/>
        <xdr:cNvPicPr>
          <a:picLocks noChangeAspect="1"/>
        </xdr:cNvPicPr>
      </xdr:nvPicPr>
      <xdr:blipFill>
        <a:blip r:embed="rId169" r:link="rId2"/>
        <a:stretch>
          <a:fillRect/>
        </a:stretch>
      </xdr:blipFill>
      <xdr:spPr>
        <a:xfrm>
          <a:off x="0" y="85839300"/>
          <a:ext cx="762000" cy="952500"/>
        </a:xfrm>
        <a:prstGeom prst="rect">
          <a:avLst/>
        </a:prstGeom>
        <a:noFill/>
        <a:ln w="9525">
          <a:noFill/>
        </a:ln>
      </xdr:spPr>
    </xdr:pic>
  </etc:cellImage>
  <etc:cellImage>
    <xdr:pic>
      <xdr:nvPicPr>
        <xdr:cNvPr id="415" name="ID_F6885940B7CD4BF4B99A158D6CC38B74" descr="游民星空"/>
        <xdr:cNvPicPr>
          <a:picLocks noChangeAspect="1"/>
        </xdr:cNvPicPr>
      </xdr:nvPicPr>
      <xdr:blipFill>
        <a:blip r:embed="rId170" r:link="rId2"/>
        <a:stretch>
          <a:fillRect/>
        </a:stretch>
      </xdr:blipFill>
      <xdr:spPr>
        <a:xfrm>
          <a:off x="0" y="84885530"/>
          <a:ext cx="762000" cy="952500"/>
        </a:xfrm>
        <a:prstGeom prst="rect">
          <a:avLst/>
        </a:prstGeom>
        <a:noFill/>
        <a:ln w="9525">
          <a:noFill/>
        </a:ln>
      </xdr:spPr>
    </xdr:pic>
  </etc:cellImage>
  <etc:cellImage>
    <xdr:pic>
      <xdr:nvPicPr>
        <xdr:cNvPr id="354" name="ID_E4169841B805434296944569F69F7C3F" descr="游民星空"/>
        <xdr:cNvPicPr>
          <a:picLocks noChangeAspect="1"/>
        </xdr:cNvPicPr>
      </xdr:nvPicPr>
      <xdr:blipFill>
        <a:blip r:embed="rId171" r:link="rId2"/>
        <a:stretch>
          <a:fillRect/>
        </a:stretch>
      </xdr:blipFill>
      <xdr:spPr>
        <a:xfrm>
          <a:off x="0" y="83931760"/>
          <a:ext cx="762000" cy="952500"/>
        </a:xfrm>
        <a:prstGeom prst="rect">
          <a:avLst/>
        </a:prstGeom>
        <a:noFill/>
        <a:ln w="9525">
          <a:noFill/>
        </a:ln>
      </xdr:spPr>
    </xdr:pic>
  </etc:cellImage>
  <etc:cellImage>
    <xdr:pic>
      <xdr:nvPicPr>
        <xdr:cNvPr id="222" name="ID_651016134F3747E89B4589C3073A5300" descr="游民星空"/>
        <xdr:cNvPicPr>
          <a:picLocks noChangeAspect="1"/>
        </xdr:cNvPicPr>
      </xdr:nvPicPr>
      <xdr:blipFill>
        <a:blip r:embed="rId172" r:link="rId2"/>
        <a:stretch>
          <a:fillRect/>
        </a:stretch>
      </xdr:blipFill>
      <xdr:spPr>
        <a:xfrm>
          <a:off x="0" y="82977990"/>
          <a:ext cx="762000" cy="952500"/>
        </a:xfrm>
        <a:prstGeom prst="rect">
          <a:avLst/>
        </a:prstGeom>
        <a:noFill/>
        <a:ln w="9525">
          <a:noFill/>
        </a:ln>
      </xdr:spPr>
    </xdr:pic>
  </etc:cellImage>
  <etc:cellImage>
    <xdr:pic>
      <xdr:nvPicPr>
        <xdr:cNvPr id="286" name="ID_7FAC34BE7C2B471BACB1E78FDEF48CE7" descr="游民星空"/>
        <xdr:cNvPicPr>
          <a:picLocks noChangeAspect="1"/>
        </xdr:cNvPicPr>
      </xdr:nvPicPr>
      <xdr:blipFill>
        <a:blip r:embed="rId173" r:link="rId2"/>
        <a:stretch>
          <a:fillRect/>
        </a:stretch>
      </xdr:blipFill>
      <xdr:spPr>
        <a:xfrm>
          <a:off x="0" y="82024220"/>
          <a:ext cx="762000" cy="952500"/>
        </a:xfrm>
        <a:prstGeom prst="rect">
          <a:avLst/>
        </a:prstGeom>
        <a:noFill/>
        <a:ln w="9525">
          <a:noFill/>
        </a:ln>
      </xdr:spPr>
    </xdr:pic>
  </etc:cellImage>
  <etc:cellImage>
    <xdr:pic>
      <xdr:nvPicPr>
        <xdr:cNvPr id="396" name="ID_198F1C05ED7B4E03A03BEE82EC1DEC75" descr="游民星空"/>
        <xdr:cNvPicPr>
          <a:picLocks noChangeAspect="1"/>
        </xdr:cNvPicPr>
      </xdr:nvPicPr>
      <xdr:blipFill>
        <a:blip r:embed="rId174" r:link="rId2"/>
        <a:stretch>
          <a:fillRect/>
        </a:stretch>
      </xdr:blipFill>
      <xdr:spPr>
        <a:xfrm>
          <a:off x="0" y="81070450"/>
          <a:ext cx="762000" cy="952500"/>
        </a:xfrm>
        <a:prstGeom prst="rect">
          <a:avLst/>
        </a:prstGeom>
        <a:noFill/>
        <a:ln w="9525">
          <a:noFill/>
        </a:ln>
      </xdr:spPr>
    </xdr:pic>
  </etc:cellImage>
  <etc:cellImage>
    <xdr:pic>
      <xdr:nvPicPr>
        <xdr:cNvPr id="337" name="ID_81603EF81C6549069F36ED3EB3C466AE" descr="游民星空"/>
        <xdr:cNvPicPr>
          <a:picLocks noChangeAspect="1"/>
        </xdr:cNvPicPr>
      </xdr:nvPicPr>
      <xdr:blipFill>
        <a:blip r:embed="rId175" r:link="rId2"/>
        <a:stretch>
          <a:fillRect/>
        </a:stretch>
      </xdr:blipFill>
      <xdr:spPr>
        <a:xfrm>
          <a:off x="0" y="80116680"/>
          <a:ext cx="762000" cy="952500"/>
        </a:xfrm>
        <a:prstGeom prst="rect">
          <a:avLst/>
        </a:prstGeom>
        <a:noFill/>
        <a:ln w="9525">
          <a:noFill/>
        </a:ln>
      </xdr:spPr>
    </xdr:pic>
  </etc:cellImage>
  <etc:cellImage>
    <xdr:pic>
      <xdr:nvPicPr>
        <xdr:cNvPr id="203" name="ID_E8C839F6D2E14092896975875D349CD2" descr="游民星空"/>
        <xdr:cNvPicPr>
          <a:picLocks noChangeAspect="1"/>
        </xdr:cNvPicPr>
      </xdr:nvPicPr>
      <xdr:blipFill>
        <a:blip r:embed="rId176" r:link="rId2"/>
        <a:stretch>
          <a:fillRect/>
        </a:stretch>
      </xdr:blipFill>
      <xdr:spPr>
        <a:xfrm>
          <a:off x="0" y="79162910"/>
          <a:ext cx="762000" cy="952500"/>
        </a:xfrm>
        <a:prstGeom prst="rect">
          <a:avLst/>
        </a:prstGeom>
        <a:noFill/>
        <a:ln w="9525">
          <a:noFill/>
        </a:ln>
      </xdr:spPr>
    </xdr:pic>
  </etc:cellImage>
  <etc:cellImage>
    <xdr:pic>
      <xdr:nvPicPr>
        <xdr:cNvPr id="265" name="ID_BE0F1D01B2D641EEA54A16F96409F71B" descr="游民星空"/>
        <xdr:cNvPicPr>
          <a:picLocks noChangeAspect="1"/>
        </xdr:cNvPicPr>
      </xdr:nvPicPr>
      <xdr:blipFill>
        <a:blip r:embed="rId177" r:link="rId2"/>
        <a:stretch>
          <a:fillRect/>
        </a:stretch>
      </xdr:blipFill>
      <xdr:spPr>
        <a:xfrm>
          <a:off x="0" y="78209140"/>
          <a:ext cx="762000" cy="952500"/>
        </a:xfrm>
        <a:prstGeom prst="rect">
          <a:avLst/>
        </a:prstGeom>
        <a:noFill/>
        <a:ln w="9525">
          <a:noFill/>
        </a:ln>
      </xdr:spPr>
    </xdr:pic>
  </etc:cellImage>
  <etc:cellImage>
    <xdr:pic>
      <xdr:nvPicPr>
        <xdr:cNvPr id="388" name="ID_8DC50690C2B24F1ABF321D5C8843FE02" descr="游民星空"/>
        <xdr:cNvPicPr>
          <a:picLocks noChangeAspect="1"/>
        </xdr:cNvPicPr>
      </xdr:nvPicPr>
      <xdr:blipFill>
        <a:blip r:embed="rId178" r:link="rId2"/>
        <a:stretch>
          <a:fillRect/>
        </a:stretch>
      </xdr:blipFill>
      <xdr:spPr>
        <a:xfrm>
          <a:off x="0" y="76301600"/>
          <a:ext cx="762000" cy="952500"/>
        </a:xfrm>
        <a:prstGeom prst="rect">
          <a:avLst/>
        </a:prstGeom>
        <a:noFill/>
        <a:ln w="9525">
          <a:noFill/>
        </a:ln>
      </xdr:spPr>
    </xdr:pic>
  </etc:cellImage>
  <etc:cellImage>
    <xdr:pic>
      <xdr:nvPicPr>
        <xdr:cNvPr id="387" name="ID_EA9CE789AFF6434B9851F985AD382150" descr="游民星空"/>
        <xdr:cNvPicPr>
          <a:picLocks noChangeAspect="1"/>
        </xdr:cNvPicPr>
      </xdr:nvPicPr>
      <xdr:blipFill>
        <a:blip r:embed="rId179" r:link="rId2"/>
        <a:stretch>
          <a:fillRect/>
        </a:stretch>
      </xdr:blipFill>
      <xdr:spPr>
        <a:xfrm>
          <a:off x="0" y="75347830"/>
          <a:ext cx="762000" cy="952500"/>
        </a:xfrm>
        <a:prstGeom prst="rect">
          <a:avLst/>
        </a:prstGeom>
        <a:noFill/>
        <a:ln w="9525">
          <a:noFill/>
        </a:ln>
      </xdr:spPr>
    </xdr:pic>
  </etc:cellImage>
  <etc:cellImage>
    <xdr:pic>
      <xdr:nvPicPr>
        <xdr:cNvPr id="330" name="ID_2A7987C51B454BF4B3F736700A442036" descr="游民星空"/>
        <xdr:cNvPicPr>
          <a:picLocks noChangeAspect="1"/>
        </xdr:cNvPicPr>
      </xdr:nvPicPr>
      <xdr:blipFill>
        <a:blip r:embed="rId180" r:link="rId2"/>
        <a:stretch>
          <a:fillRect/>
        </a:stretch>
      </xdr:blipFill>
      <xdr:spPr>
        <a:xfrm>
          <a:off x="0" y="74394060"/>
          <a:ext cx="762000" cy="952500"/>
        </a:xfrm>
        <a:prstGeom prst="rect">
          <a:avLst/>
        </a:prstGeom>
        <a:noFill/>
        <a:ln w="9525">
          <a:noFill/>
        </a:ln>
      </xdr:spPr>
    </xdr:pic>
  </etc:cellImage>
  <etc:cellImage>
    <xdr:pic>
      <xdr:nvPicPr>
        <xdr:cNvPr id="192" name="ID_D3BDF75859A74F2A8AA0E1FA515E8990" descr="游民星空"/>
        <xdr:cNvPicPr>
          <a:picLocks noChangeAspect="1"/>
        </xdr:cNvPicPr>
      </xdr:nvPicPr>
      <xdr:blipFill>
        <a:blip r:embed="rId181" r:link="rId2"/>
        <a:stretch>
          <a:fillRect/>
        </a:stretch>
      </xdr:blipFill>
      <xdr:spPr>
        <a:xfrm>
          <a:off x="0" y="73440290"/>
          <a:ext cx="762000" cy="952500"/>
        </a:xfrm>
        <a:prstGeom prst="rect">
          <a:avLst/>
        </a:prstGeom>
        <a:noFill/>
        <a:ln w="9525">
          <a:noFill/>
        </a:ln>
      </xdr:spPr>
    </xdr:pic>
  </etc:cellImage>
  <etc:cellImage>
    <xdr:pic>
      <xdr:nvPicPr>
        <xdr:cNvPr id="191" name="ID_3B969481A32040639CF4A333A84725A6" descr="游民星空"/>
        <xdr:cNvPicPr>
          <a:picLocks noChangeAspect="1"/>
        </xdr:cNvPicPr>
      </xdr:nvPicPr>
      <xdr:blipFill>
        <a:blip r:embed="rId182" r:link="rId2"/>
        <a:stretch>
          <a:fillRect/>
        </a:stretch>
      </xdr:blipFill>
      <xdr:spPr>
        <a:xfrm>
          <a:off x="0" y="72486520"/>
          <a:ext cx="762000" cy="952500"/>
        </a:xfrm>
        <a:prstGeom prst="rect">
          <a:avLst/>
        </a:prstGeom>
        <a:noFill/>
        <a:ln w="9525">
          <a:noFill/>
        </a:ln>
      </xdr:spPr>
    </xdr:pic>
  </etc:cellImage>
  <etc:cellImage>
    <xdr:pic>
      <xdr:nvPicPr>
        <xdr:cNvPr id="272" name="ID_67997EA97AF946E6830666D7E7680AD4" descr="游民星空"/>
        <xdr:cNvPicPr>
          <a:picLocks noChangeAspect="1"/>
        </xdr:cNvPicPr>
      </xdr:nvPicPr>
      <xdr:blipFill>
        <a:blip r:embed="rId183" r:link="rId2"/>
        <a:stretch>
          <a:fillRect/>
        </a:stretch>
      </xdr:blipFill>
      <xdr:spPr>
        <a:xfrm>
          <a:off x="0" y="71532750"/>
          <a:ext cx="762000" cy="952500"/>
        </a:xfrm>
        <a:prstGeom prst="rect">
          <a:avLst/>
        </a:prstGeom>
        <a:noFill/>
        <a:ln w="9525">
          <a:noFill/>
        </a:ln>
      </xdr:spPr>
    </xdr:pic>
  </etc:cellImage>
  <etc:cellImage>
    <xdr:pic>
      <xdr:nvPicPr>
        <xdr:cNvPr id="271" name="ID_CC3EB4F3147E44788BFE9E67D97079F8" descr="游民星空"/>
        <xdr:cNvPicPr>
          <a:picLocks noChangeAspect="1"/>
        </xdr:cNvPicPr>
      </xdr:nvPicPr>
      <xdr:blipFill>
        <a:blip r:embed="rId184" r:link="rId2"/>
        <a:stretch>
          <a:fillRect/>
        </a:stretch>
      </xdr:blipFill>
      <xdr:spPr>
        <a:xfrm>
          <a:off x="0" y="70578980"/>
          <a:ext cx="762000" cy="952500"/>
        </a:xfrm>
        <a:prstGeom prst="rect">
          <a:avLst/>
        </a:prstGeom>
        <a:noFill/>
        <a:ln w="9525">
          <a:noFill/>
        </a:ln>
      </xdr:spPr>
    </xdr:pic>
  </etc:cellImage>
  <etc:cellImage>
    <xdr:pic>
      <xdr:nvPicPr>
        <xdr:cNvPr id="395" name="ID_DD401149CED4490396BCD18077F22406" descr="游民星空"/>
        <xdr:cNvPicPr>
          <a:picLocks noChangeAspect="1"/>
        </xdr:cNvPicPr>
      </xdr:nvPicPr>
      <xdr:blipFill>
        <a:blip r:embed="rId185" r:link="rId2"/>
        <a:stretch>
          <a:fillRect/>
        </a:stretch>
      </xdr:blipFill>
      <xdr:spPr>
        <a:xfrm>
          <a:off x="0" y="69625210"/>
          <a:ext cx="762000" cy="952500"/>
        </a:xfrm>
        <a:prstGeom prst="rect">
          <a:avLst/>
        </a:prstGeom>
        <a:noFill/>
        <a:ln w="9525">
          <a:noFill/>
        </a:ln>
      </xdr:spPr>
    </xdr:pic>
  </etc:cellImage>
  <etc:cellImage>
    <xdr:pic>
      <xdr:nvPicPr>
        <xdr:cNvPr id="336" name="ID_D9D021F12D4E4B1CAB2820B4BE1EC4B7" descr="游民星空"/>
        <xdr:cNvPicPr>
          <a:picLocks noChangeAspect="1"/>
        </xdr:cNvPicPr>
      </xdr:nvPicPr>
      <xdr:blipFill>
        <a:blip r:embed="rId186" r:link="rId2"/>
        <a:stretch>
          <a:fillRect/>
        </a:stretch>
      </xdr:blipFill>
      <xdr:spPr>
        <a:xfrm>
          <a:off x="0" y="68671440"/>
          <a:ext cx="762000" cy="952500"/>
        </a:xfrm>
        <a:prstGeom prst="rect">
          <a:avLst/>
        </a:prstGeom>
        <a:noFill/>
        <a:ln w="9525">
          <a:noFill/>
        </a:ln>
      </xdr:spPr>
    </xdr:pic>
  </etc:cellImage>
  <etc:cellImage>
    <xdr:pic>
      <xdr:nvPicPr>
        <xdr:cNvPr id="202" name="ID_45E0B7ACA496404A83A225A8C1F90C60" descr="游民星空"/>
        <xdr:cNvPicPr>
          <a:picLocks noChangeAspect="1"/>
        </xdr:cNvPicPr>
      </xdr:nvPicPr>
      <xdr:blipFill>
        <a:blip r:embed="rId187" r:link="rId2"/>
        <a:stretch>
          <a:fillRect/>
        </a:stretch>
      </xdr:blipFill>
      <xdr:spPr>
        <a:xfrm>
          <a:off x="0" y="67717670"/>
          <a:ext cx="762000" cy="952500"/>
        </a:xfrm>
        <a:prstGeom prst="rect">
          <a:avLst/>
        </a:prstGeom>
        <a:noFill/>
        <a:ln w="9525">
          <a:noFill/>
        </a:ln>
      </xdr:spPr>
    </xdr:pic>
  </etc:cellImage>
  <etc:cellImage>
    <xdr:pic>
      <xdr:nvPicPr>
        <xdr:cNvPr id="201" name="ID_7D67B52DF22044B29CB5F225096BD906" descr="游民星空"/>
        <xdr:cNvPicPr>
          <a:picLocks noChangeAspect="1"/>
        </xdr:cNvPicPr>
      </xdr:nvPicPr>
      <xdr:blipFill>
        <a:blip r:embed="rId188" r:link="rId2"/>
        <a:stretch>
          <a:fillRect/>
        </a:stretch>
      </xdr:blipFill>
      <xdr:spPr>
        <a:xfrm>
          <a:off x="0" y="66763900"/>
          <a:ext cx="762000" cy="952500"/>
        </a:xfrm>
        <a:prstGeom prst="rect">
          <a:avLst/>
        </a:prstGeom>
        <a:noFill/>
        <a:ln w="9525">
          <a:noFill/>
        </a:ln>
      </xdr:spPr>
    </xdr:pic>
  </etc:cellImage>
  <etc:cellImage>
    <xdr:pic>
      <xdr:nvPicPr>
        <xdr:cNvPr id="264" name="ID_8CCD59AC56834F52A68AECEC5C9CD2FB" descr="游民星空"/>
        <xdr:cNvPicPr>
          <a:picLocks noChangeAspect="1"/>
        </xdr:cNvPicPr>
      </xdr:nvPicPr>
      <xdr:blipFill>
        <a:blip r:embed="rId189" r:link="rId2"/>
        <a:stretch>
          <a:fillRect/>
        </a:stretch>
      </xdr:blipFill>
      <xdr:spPr>
        <a:xfrm>
          <a:off x="0" y="65810130"/>
          <a:ext cx="762000" cy="952500"/>
        </a:xfrm>
        <a:prstGeom prst="rect">
          <a:avLst/>
        </a:prstGeom>
        <a:noFill/>
        <a:ln w="9525">
          <a:noFill/>
        </a:ln>
      </xdr:spPr>
    </xdr:pic>
  </etc:cellImage>
  <etc:cellImage>
    <xdr:pic>
      <xdr:nvPicPr>
        <xdr:cNvPr id="394" name="ID_F78B11D7C65E425088B0F18FB08BE02B" descr="游民星空"/>
        <xdr:cNvPicPr>
          <a:picLocks noChangeAspect="1"/>
        </xdr:cNvPicPr>
      </xdr:nvPicPr>
      <xdr:blipFill>
        <a:blip r:embed="rId190" r:link="rId2"/>
        <a:stretch>
          <a:fillRect/>
        </a:stretch>
      </xdr:blipFill>
      <xdr:spPr>
        <a:xfrm>
          <a:off x="0" y="64856360"/>
          <a:ext cx="762000" cy="952500"/>
        </a:xfrm>
        <a:prstGeom prst="rect">
          <a:avLst/>
        </a:prstGeom>
        <a:noFill/>
        <a:ln w="9525">
          <a:noFill/>
        </a:ln>
      </xdr:spPr>
    </xdr:pic>
  </etc:cellImage>
  <etc:cellImage>
    <xdr:pic>
      <xdr:nvPicPr>
        <xdr:cNvPr id="335" name="ID_1958B3A76A3D41668A9C469DF28524C6" descr="游民星空"/>
        <xdr:cNvPicPr>
          <a:picLocks noChangeAspect="1"/>
        </xdr:cNvPicPr>
      </xdr:nvPicPr>
      <xdr:blipFill>
        <a:blip r:embed="rId191" r:link="rId2"/>
        <a:stretch>
          <a:fillRect/>
        </a:stretch>
      </xdr:blipFill>
      <xdr:spPr>
        <a:xfrm>
          <a:off x="0" y="63902590"/>
          <a:ext cx="762000" cy="952500"/>
        </a:xfrm>
        <a:prstGeom prst="rect">
          <a:avLst/>
        </a:prstGeom>
        <a:noFill/>
        <a:ln w="9525">
          <a:noFill/>
        </a:ln>
      </xdr:spPr>
    </xdr:pic>
  </etc:cellImage>
  <etc:cellImage>
    <xdr:pic>
      <xdr:nvPicPr>
        <xdr:cNvPr id="200" name="ID_C77D1DDBE7CA463EBBC9FEA47A3FA2D9" descr="游民星空"/>
        <xdr:cNvPicPr>
          <a:picLocks noChangeAspect="1"/>
        </xdr:cNvPicPr>
      </xdr:nvPicPr>
      <xdr:blipFill>
        <a:blip r:embed="rId192" r:link="rId2"/>
        <a:stretch>
          <a:fillRect/>
        </a:stretch>
      </xdr:blipFill>
      <xdr:spPr>
        <a:xfrm>
          <a:off x="0" y="62948820"/>
          <a:ext cx="762000" cy="952500"/>
        </a:xfrm>
        <a:prstGeom prst="rect">
          <a:avLst/>
        </a:prstGeom>
        <a:noFill/>
        <a:ln w="9525">
          <a:noFill/>
        </a:ln>
      </xdr:spPr>
    </xdr:pic>
  </etc:cellImage>
  <etc:cellImage>
    <xdr:pic>
      <xdr:nvPicPr>
        <xdr:cNvPr id="199" name="ID_D8631BDA268149C19C97244F36A7FBD5" descr="游民星空"/>
        <xdr:cNvPicPr>
          <a:picLocks noChangeAspect="1"/>
        </xdr:cNvPicPr>
      </xdr:nvPicPr>
      <xdr:blipFill>
        <a:blip r:embed="rId193" r:link="rId2"/>
        <a:stretch>
          <a:fillRect/>
        </a:stretch>
      </xdr:blipFill>
      <xdr:spPr>
        <a:xfrm>
          <a:off x="0" y="61995050"/>
          <a:ext cx="762000" cy="952500"/>
        </a:xfrm>
        <a:prstGeom prst="rect">
          <a:avLst/>
        </a:prstGeom>
        <a:noFill/>
        <a:ln w="9525">
          <a:noFill/>
        </a:ln>
      </xdr:spPr>
    </xdr:pic>
  </etc:cellImage>
  <etc:cellImage>
    <xdr:pic>
      <xdr:nvPicPr>
        <xdr:cNvPr id="263" name="ID_3CBA64A44C1E4B74BCFB9A453817D6AD" descr="游民星空"/>
        <xdr:cNvPicPr>
          <a:picLocks noChangeAspect="1"/>
        </xdr:cNvPicPr>
      </xdr:nvPicPr>
      <xdr:blipFill>
        <a:blip r:embed="rId194" r:link="rId2"/>
        <a:stretch>
          <a:fillRect/>
        </a:stretch>
      </xdr:blipFill>
      <xdr:spPr>
        <a:xfrm>
          <a:off x="0" y="61041280"/>
          <a:ext cx="762000" cy="952500"/>
        </a:xfrm>
        <a:prstGeom prst="rect">
          <a:avLst/>
        </a:prstGeom>
        <a:noFill/>
        <a:ln w="9525">
          <a:noFill/>
        </a:ln>
      </xdr:spPr>
    </xdr:pic>
  </etc:cellImage>
  <etc:cellImage>
    <xdr:pic>
      <xdr:nvPicPr>
        <xdr:cNvPr id="262" name="ID_16A6E8E857D34ECB8330055180849B0C" descr="游民星空"/>
        <xdr:cNvPicPr>
          <a:picLocks noChangeAspect="1"/>
        </xdr:cNvPicPr>
      </xdr:nvPicPr>
      <xdr:blipFill>
        <a:blip r:embed="rId195" r:link="rId2"/>
        <a:stretch>
          <a:fillRect/>
        </a:stretch>
      </xdr:blipFill>
      <xdr:spPr>
        <a:xfrm>
          <a:off x="0" y="60087510"/>
          <a:ext cx="762000" cy="952500"/>
        </a:xfrm>
        <a:prstGeom prst="rect">
          <a:avLst/>
        </a:prstGeom>
        <a:noFill/>
        <a:ln w="9525">
          <a:noFill/>
        </a:ln>
      </xdr:spPr>
    </xdr:pic>
  </etc:cellImage>
  <etc:cellImage>
    <xdr:pic>
      <xdr:nvPicPr>
        <xdr:cNvPr id="393" name="ID_15F354249AC64C8A94406BBF389F0423" descr="游民星空"/>
        <xdr:cNvPicPr>
          <a:picLocks noChangeAspect="1"/>
        </xdr:cNvPicPr>
      </xdr:nvPicPr>
      <xdr:blipFill>
        <a:blip r:embed="rId196" r:link="rId2"/>
        <a:stretch>
          <a:fillRect/>
        </a:stretch>
      </xdr:blipFill>
      <xdr:spPr>
        <a:xfrm>
          <a:off x="0" y="59133740"/>
          <a:ext cx="762000" cy="952500"/>
        </a:xfrm>
        <a:prstGeom prst="rect">
          <a:avLst/>
        </a:prstGeom>
        <a:noFill/>
        <a:ln w="9525">
          <a:noFill/>
        </a:ln>
      </xdr:spPr>
    </xdr:pic>
  </etc:cellImage>
  <etc:cellImage>
    <xdr:pic>
      <xdr:nvPicPr>
        <xdr:cNvPr id="392" name="ID_81E081639438499EAB99834B69C92B49" descr="游民星空"/>
        <xdr:cNvPicPr>
          <a:picLocks noChangeAspect="1"/>
        </xdr:cNvPicPr>
      </xdr:nvPicPr>
      <xdr:blipFill>
        <a:blip r:embed="rId197" r:link="rId2"/>
        <a:stretch>
          <a:fillRect/>
        </a:stretch>
      </xdr:blipFill>
      <xdr:spPr>
        <a:xfrm>
          <a:off x="0" y="58179970"/>
          <a:ext cx="762000" cy="952500"/>
        </a:xfrm>
        <a:prstGeom prst="rect">
          <a:avLst/>
        </a:prstGeom>
        <a:noFill/>
        <a:ln w="9525">
          <a:noFill/>
        </a:ln>
      </xdr:spPr>
    </xdr:pic>
  </etc:cellImage>
  <etc:cellImage>
    <xdr:pic>
      <xdr:nvPicPr>
        <xdr:cNvPr id="334" name="ID_653DE803DFAF4BE899653F598A0F77DA" descr="游民星空"/>
        <xdr:cNvPicPr>
          <a:picLocks noChangeAspect="1"/>
        </xdr:cNvPicPr>
      </xdr:nvPicPr>
      <xdr:blipFill>
        <a:blip r:embed="rId198" r:link="rId2"/>
        <a:stretch>
          <a:fillRect/>
        </a:stretch>
      </xdr:blipFill>
      <xdr:spPr>
        <a:xfrm>
          <a:off x="0" y="57226200"/>
          <a:ext cx="762000" cy="952500"/>
        </a:xfrm>
        <a:prstGeom prst="rect">
          <a:avLst/>
        </a:prstGeom>
        <a:noFill/>
        <a:ln w="9525">
          <a:noFill/>
        </a:ln>
      </xdr:spPr>
    </xdr:pic>
  </etc:cellImage>
  <etc:cellImage>
    <xdr:pic>
      <xdr:nvPicPr>
        <xdr:cNvPr id="198" name="ID_5A09A9B2129F45D6BA1CD0EB89C9DEB4" descr="游民星空"/>
        <xdr:cNvPicPr>
          <a:picLocks noChangeAspect="1"/>
        </xdr:cNvPicPr>
      </xdr:nvPicPr>
      <xdr:blipFill>
        <a:blip r:embed="rId199" r:link="rId2"/>
        <a:stretch>
          <a:fillRect/>
        </a:stretch>
      </xdr:blipFill>
      <xdr:spPr>
        <a:xfrm>
          <a:off x="0" y="56272430"/>
          <a:ext cx="762000" cy="952500"/>
        </a:xfrm>
        <a:prstGeom prst="rect">
          <a:avLst/>
        </a:prstGeom>
        <a:noFill/>
        <a:ln w="9525">
          <a:noFill/>
        </a:ln>
      </xdr:spPr>
    </xdr:pic>
  </etc:cellImage>
  <etc:cellImage>
    <xdr:pic>
      <xdr:nvPicPr>
        <xdr:cNvPr id="197" name="ID_0941C27F3FA3406AB9FB15266B9A6B97" descr="游民星空"/>
        <xdr:cNvPicPr>
          <a:picLocks noChangeAspect="1"/>
        </xdr:cNvPicPr>
      </xdr:nvPicPr>
      <xdr:blipFill>
        <a:blip r:embed="rId200" r:link="rId2"/>
        <a:stretch>
          <a:fillRect/>
        </a:stretch>
      </xdr:blipFill>
      <xdr:spPr>
        <a:xfrm>
          <a:off x="0" y="55318660"/>
          <a:ext cx="762000" cy="952500"/>
        </a:xfrm>
        <a:prstGeom prst="rect">
          <a:avLst/>
        </a:prstGeom>
        <a:noFill/>
        <a:ln w="9525">
          <a:noFill/>
        </a:ln>
      </xdr:spPr>
    </xdr:pic>
  </etc:cellImage>
  <etc:cellImage>
    <xdr:pic>
      <xdr:nvPicPr>
        <xdr:cNvPr id="261" name="ID_B4677E3479804D43A3E4FD3E7C5EA7D2" descr="游民星空"/>
        <xdr:cNvPicPr>
          <a:picLocks noChangeAspect="1"/>
        </xdr:cNvPicPr>
      </xdr:nvPicPr>
      <xdr:blipFill>
        <a:blip r:embed="rId201" r:link="rId2"/>
        <a:stretch>
          <a:fillRect/>
        </a:stretch>
      </xdr:blipFill>
      <xdr:spPr>
        <a:xfrm>
          <a:off x="0" y="54364890"/>
          <a:ext cx="762000" cy="952500"/>
        </a:xfrm>
        <a:prstGeom prst="rect">
          <a:avLst/>
        </a:prstGeom>
        <a:noFill/>
        <a:ln w="9525">
          <a:noFill/>
        </a:ln>
      </xdr:spPr>
    </xdr:pic>
  </etc:cellImage>
  <etc:cellImage>
    <xdr:pic>
      <xdr:nvPicPr>
        <xdr:cNvPr id="260" name="ID_9B32052602104B969ED35384ACC74D7E" descr="游民星空"/>
        <xdr:cNvPicPr>
          <a:picLocks noChangeAspect="1"/>
        </xdr:cNvPicPr>
      </xdr:nvPicPr>
      <xdr:blipFill>
        <a:blip r:embed="rId202" r:link="rId2"/>
        <a:stretch>
          <a:fillRect/>
        </a:stretch>
      </xdr:blipFill>
      <xdr:spPr>
        <a:xfrm>
          <a:off x="0" y="53411120"/>
          <a:ext cx="762000" cy="952500"/>
        </a:xfrm>
        <a:prstGeom prst="rect">
          <a:avLst/>
        </a:prstGeom>
        <a:noFill/>
        <a:ln w="9525">
          <a:noFill/>
        </a:ln>
      </xdr:spPr>
    </xdr:pic>
  </etc:cellImage>
  <etc:cellImage>
    <xdr:pic>
      <xdr:nvPicPr>
        <xdr:cNvPr id="391" name="ID_643907E7C8F7469FBFB05E92A81454DA" descr="游民星空"/>
        <xdr:cNvPicPr>
          <a:picLocks noChangeAspect="1"/>
        </xdr:cNvPicPr>
      </xdr:nvPicPr>
      <xdr:blipFill>
        <a:blip r:embed="rId203" r:link="rId2"/>
        <a:stretch>
          <a:fillRect/>
        </a:stretch>
      </xdr:blipFill>
      <xdr:spPr>
        <a:xfrm>
          <a:off x="0" y="52457350"/>
          <a:ext cx="762000" cy="952500"/>
        </a:xfrm>
        <a:prstGeom prst="rect">
          <a:avLst/>
        </a:prstGeom>
        <a:noFill/>
        <a:ln w="9525">
          <a:noFill/>
        </a:ln>
      </xdr:spPr>
    </xdr:pic>
  </etc:cellImage>
  <etc:cellImage>
    <xdr:pic>
      <xdr:nvPicPr>
        <xdr:cNvPr id="333" name="ID_A56B8484FCD9400AB0327ABD51E5BA6B" descr="游民星空"/>
        <xdr:cNvPicPr>
          <a:picLocks noChangeAspect="1"/>
        </xdr:cNvPicPr>
      </xdr:nvPicPr>
      <xdr:blipFill>
        <a:blip r:embed="rId204" r:link="rId2"/>
        <a:stretch>
          <a:fillRect/>
        </a:stretch>
      </xdr:blipFill>
      <xdr:spPr>
        <a:xfrm>
          <a:off x="10160" y="51503580"/>
          <a:ext cx="762000" cy="952500"/>
        </a:xfrm>
        <a:prstGeom prst="rect">
          <a:avLst/>
        </a:prstGeom>
        <a:noFill/>
        <a:ln w="9525">
          <a:noFill/>
        </a:ln>
      </xdr:spPr>
    </xdr:pic>
  </etc:cellImage>
  <etc:cellImage>
    <xdr:pic>
      <xdr:nvPicPr>
        <xdr:cNvPr id="196" name="ID_6ECA077F10BC49D4B32394FFEE26410F" descr="游民星空"/>
        <xdr:cNvPicPr>
          <a:picLocks noChangeAspect="1"/>
        </xdr:cNvPicPr>
      </xdr:nvPicPr>
      <xdr:blipFill>
        <a:blip r:embed="rId205" r:link="rId2"/>
        <a:stretch>
          <a:fillRect/>
        </a:stretch>
      </xdr:blipFill>
      <xdr:spPr>
        <a:xfrm>
          <a:off x="0" y="50549810"/>
          <a:ext cx="762000" cy="952500"/>
        </a:xfrm>
        <a:prstGeom prst="rect">
          <a:avLst/>
        </a:prstGeom>
        <a:noFill/>
        <a:ln w="9525">
          <a:noFill/>
        </a:ln>
      </xdr:spPr>
    </xdr:pic>
  </etc:cellImage>
  <etc:cellImage>
    <xdr:pic>
      <xdr:nvPicPr>
        <xdr:cNvPr id="195" name="ID_EA219619683C4EA4B2DA613906101D22" descr="游民星空"/>
        <xdr:cNvPicPr>
          <a:picLocks noChangeAspect="1"/>
        </xdr:cNvPicPr>
      </xdr:nvPicPr>
      <xdr:blipFill>
        <a:blip r:embed="rId206" r:link="rId2"/>
        <a:stretch>
          <a:fillRect/>
        </a:stretch>
      </xdr:blipFill>
      <xdr:spPr>
        <a:xfrm>
          <a:off x="0" y="49596040"/>
          <a:ext cx="762000" cy="952500"/>
        </a:xfrm>
        <a:prstGeom prst="rect">
          <a:avLst/>
        </a:prstGeom>
        <a:noFill/>
        <a:ln w="9525">
          <a:noFill/>
        </a:ln>
      </xdr:spPr>
    </xdr:pic>
  </etc:cellImage>
  <etc:cellImage>
    <xdr:pic>
      <xdr:nvPicPr>
        <xdr:cNvPr id="259" name="ID_9FE9FDBFF1BB4CBF85FAAA5BC79AB8F7" descr="游民星空"/>
        <xdr:cNvPicPr>
          <a:picLocks noChangeAspect="1"/>
        </xdr:cNvPicPr>
      </xdr:nvPicPr>
      <xdr:blipFill>
        <a:blip r:embed="rId207" r:link="rId2"/>
        <a:stretch>
          <a:fillRect/>
        </a:stretch>
      </xdr:blipFill>
      <xdr:spPr>
        <a:xfrm>
          <a:off x="0" y="48642270"/>
          <a:ext cx="762000" cy="952500"/>
        </a:xfrm>
        <a:prstGeom prst="rect">
          <a:avLst/>
        </a:prstGeom>
        <a:noFill/>
        <a:ln w="9525">
          <a:noFill/>
        </a:ln>
      </xdr:spPr>
    </xdr:pic>
  </etc:cellImage>
  <etc:cellImage>
    <xdr:pic>
      <xdr:nvPicPr>
        <xdr:cNvPr id="390" name="ID_145802712595444DA1B555A12D648D83" descr="游民星空"/>
        <xdr:cNvPicPr>
          <a:picLocks noChangeAspect="1"/>
        </xdr:cNvPicPr>
      </xdr:nvPicPr>
      <xdr:blipFill>
        <a:blip r:embed="rId208" r:link="rId2"/>
        <a:stretch>
          <a:fillRect/>
        </a:stretch>
      </xdr:blipFill>
      <xdr:spPr>
        <a:xfrm>
          <a:off x="0" y="47688500"/>
          <a:ext cx="762000" cy="952500"/>
        </a:xfrm>
        <a:prstGeom prst="rect">
          <a:avLst/>
        </a:prstGeom>
        <a:noFill/>
        <a:ln w="9525">
          <a:noFill/>
        </a:ln>
      </xdr:spPr>
    </xdr:pic>
  </etc:cellImage>
  <etc:cellImage>
    <xdr:pic>
      <xdr:nvPicPr>
        <xdr:cNvPr id="389" name="ID_D884414AFE624EA9B778C07AA6DD07AE" descr="游民星空"/>
        <xdr:cNvPicPr>
          <a:picLocks noChangeAspect="1"/>
        </xdr:cNvPicPr>
      </xdr:nvPicPr>
      <xdr:blipFill>
        <a:blip r:embed="rId209" r:link="rId2"/>
        <a:stretch>
          <a:fillRect/>
        </a:stretch>
      </xdr:blipFill>
      <xdr:spPr>
        <a:xfrm>
          <a:off x="0" y="46734730"/>
          <a:ext cx="762000" cy="952500"/>
        </a:xfrm>
        <a:prstGeom prst="rect">
          <a:avLst/>
        </a:prstGeom>
        <a:noFill/>
        <a:ln w="9525">
          <a:noFill/>
        </a:ln>
      </xdr:spPr>
    </xdr:pic>
  </etc:cellImage>
  <etc:cellImage>
    <xdr:pic>
      <xdr:nvPicPr>
        <xdr:cNvPr id="332" name="ID_193C1C2E90B046C9876E6FC067A11EE0" descr="游民星空"/>
        <xdr:cNvPicPr>
          <a:picLocks noChangeAspect="1"/>
        </xdr:cNvPicPr>
      </xdr:nvPicPr>
      <xdr:blipFill>
        <a:blip r:embed="rId210" r:link="rId2"/>
        <a:stretch>
          <a:fillRect/>
        </a:stretch>
      </xdr:blipFill>
      <xdr:spPr>
        <a:xfrm>
          <a:off x="0" y="45780960"/>
          <a:ext cx="762000" cy="952500"/>
        </a:xfrm>
        <a:prstGeom prst="rect">
          <a:avLst/>
        </a:prstGeom>
        <a:noFill/>
        <a:ln w="9525">
          <a:noFill/>
        </a:ln>
      </xdr:spPr>
    </xdr:pic>
  </etc:cellImage>
  <etc:cellImage>
    <xdr:pic>
      <xdr:nvPicPr>
        <xdr:cNvPr id="331" name="ID_755394D58E82463480CE1CFF716B6408" descr="游民星空"/>
        <xdr:cNvPicPr>
          <a:picLocks noChangeAspect="1"/>
        </xdr:cNvPicPr>
      </xdr:nvPicPr>
      <xdr:blipFill>
        <a:blip r:embed="rId211" r:link="rId2"/>
        <a:stretch>
          <a:fillRect/>
        </a:stretch>
      </xdr:blipFill>
      <xdr:spPr>
        <a:xfrm>
          <a:off x="0" y="44827190"/>
          <a:ext cx="762000" cy="952500"/>
        </a:xfrm>
        <a:prstGeom prst="rect">
          <a:avLst/>
        </a:prstGeom>
        <a:noFill/>
        <a:ln w="9525">
          <a:noFill/>
        </a:ln>
      </xdr:spPr>
    </xdr:pic>
  </etc:cellImage>
  <etc:cellImage>
    <xdr:pic>
      <xdr:nvPicPr>
        <xdr:cNvPr id="194" name="ID_EF6DEB495BAC4CE2ADDB9F8E8299F7F0" descr="游民星空"/>
        <xdr:cNvPicPr>
          <a:picLocks noChangeAspect="1"/>
        </xdr:cNvPicPr>
      </xdr:nvPicPr>
      <xdr:blipFill>
        <a:blip r:embed="rId212" r:link="rId2"/>
        <a:stretch>
          <a:fillRect/>
        </a:stretch>
      </xdr:blipFill>
      <xdr:spPr>
        <a:xfrm>
          <a:off x="0" y="43873420"/>
          <a:ext cx="762000" cy="952500"/>
        </a:xfrm>
        <a:prstGeom prst="rect">
          <a:avLst/>
        </a:prstGeom>
        <a:noFill/>
        <a:ln w="9525">
          <a:noFill/>
        </a:ln>
      </xdr:spPr>
    </xdr:pic>
  </etc:cellImage>
  <etc:cellImage>
    <xdr:pic>
      <xdr:nvPicPr>
        <xdr:cNvPr id="193" name="ID_E99A06782B1945EB94744BD5BA56CFA6" descr="游民星空"/>
        <xdr:cNvPicPr>
          <a:picLocks noChangeAspect="1"/>
        </xdr:cNvPicPr>
      </xdr:nvPicPr>
      <xdr:blipFill>
        <a:blip r:embed="rId213" r:link="rId2"/>
        <a:stretch>
          <a:fillRect/>
        </a:stretch>
      </xdr:blipFill>
      <xdr:spPr>
        <a:xfrm>
          <a:off x="0" y="42919650"/>
          <a:ext cx="762000" cy="952500"/>
        </a:xfrm>
        <a:prstGeom prst="rect">
          <a:avLst/>
        </a:prstGeom>
        <a:noFill/>
        <a:ln w="9525">
          <a:noFill/>
        </a:ln>
      </xdr:spPr>
    </xdr:pic>
  </etc:cellImage>
  <etc:cellImage>
    <xdr:pic>
      <xdr:nvPicPr>
        <xdr:cNvPr id="258" name="ID_26BBCE81177940F4B06C9836999BF146" descr="游民星空"/>
        <xdr:cNvPicPr>
          <a:picLocks noChangeAspect="1"/>
        </xdr:cNvPicPr>
      </xdr:nvPicPr>
      <xdr:blipFill>
        <a:blip r:embed="rId214" r:link="rId2"/>
        <a:stretch>
          <a:fillRect/>
        </a:stretch>
      </xdr:blipFill>
      <xdr:spPr>
        <a:xfrm>
          <a:off x="0" y="41965880"/>
          <a:ext cx="762000" cy="952500"/>
        </a:xfrm>
        <a:prstGeom prst="rect">
          <a:avLst/>
        </a:prstGeom>
        <a:noFill/>
        <a:ln w="9525">
          <a:noFill/>
        </a:ln>
      </xdr:spPr>
    </xdr:pic>
  </etc:cellImage>
  <etc:cellImage>
    <xdr:pic>
      <xdr:nvPicPr>
        <xdr:cNvPr id="257" name="ID_F329B8846F8E413A90B673160EABE8A2" descr="游民星空"/>
        <xdr:cNvPicPr>
          <a:picLocks noChangeAspect="1"/>
        </xdr:cNvPicPr>
      </xdr:nvPicPr>
      <xdr:blipFill>
        <a:blip r:embed="rId215" r:link="rId2"/>
        <a:stretch>
          <a:fillRect/>
        </a:stretch>
      </xdr:blipFill>
      <xdr:spPr>
        <a:xfrm>
          <a:off x="0" y="41012110"/>
          <a:ext cx="762000" cy="952500"/>
        </a:xfrm>
        <a:prstGeom prst="rect">
          <a:avLst/>
        </a:prstGeom>
        <a:noFill/>
        <a:ln w="9525">
          <a:noFill/>
        </a:ln>
      </xdr:spPr>
    </xdr:pic>
  </etc:cellImage>
  <etc:cellImage>
    <xdr:pic>
      <xdr:nvPicPr>
        <xdr:cNvPr id="386" name="ID_7B195FC06EE44DFD87458DB661D0559B" descr="游民星空"/>
        <xdr:cNvPicPr>
          <a:picLocks noChangeAspect="1"/>
        </xdr:cNvPicPr>
      </xdr:nvPicPr>
      <xdr:blipFill>
        <a:blip r:embed="rId216" r:link="rId2"/>
        <a:stretch>
          <a:fillRect/>
        </a:stretch>
      </xdr:blipFill>
      <xdr:spPr>
        <a:xfrm>
          <a:off x="0" y="40058340"/>
          <a:ext cx="762000" cy="952500"/>
        </a:xfrm>
        <a:prstGeom prst="rect">
          <a:avLst/>
        </a:prstGeom>
        <a:noFill/>
        <a:ln w="9525">
          <a:noFill/>
        </a:ln>
      </xdr:spPr>
    </xdr:pic>
  </etc:cellImage>
  <etc:cellImage>
    <xdr:pic>
      <xdr:nvPicPr>
        <xdr:cNvPr id="329" name="ID_F08E8C1C529E4FB98DF42D53C59D4164" descr="游民星空"/>
        <xdr:cNvPicPr>
          <a:picLocks noChangeAspect="1"/>
        </xdr:cNvPicPr>
      </xdr:nvPicPr>
      <xdr:blipFill>
        <a:blip r:embed="rId217" r:link="rId2"/>
        <a:stretch>
          <a:fillRect/>
        </a:stretch>
      </xdr:blipFill>
      <xdr:spPr>
        <a:xfrm>
          <a:off x="0" y="39104570"/>
          <a:ext cx="762000" cy="952500"/>
        </a:xfrm>
        <a:prstGeom prst="rect">
          <a:avLst/>
        </a:prstGeom>
        <a:noFill/>
        <a:ln w="9525">
          <a:noFill/>
        </a:ln>
      </xdr:spPr>
    </xdr:pic>
  </etc:cellImage>
  <etc:cellImage>
    <xdr:pic>
      <xdr:nvPicPr>
        <xdr:cNvPr id="190" name="ID_9D7B3FD909AF41058CC573F14124F330" descr="游民星空"/>
        <xdr:cNvPicPr>
          <a:picLocks noChangeAspect="1"/>
        </xdr:cNvPicPr>
      </xdr:nvPicPr>
      <xdr:blipFill>
        <a:blip r:embed="rId218" r:link="rId2"/>
        <a:stretch>
          <a:fillRect/>
        </a:stretch>
      </xdr:blipFill>
      <xdr:spPr>
        <a:xfrm>
          <a:off x="0" y="38150800"/>
          <a:ext cx="762000" cy="952500"/>
        </a:xfrm>
        <a:prstGeom prst="rect">
          <a:avLst/>
        </a:prstGeom>
        <a:noFill/>
        <a:ln w="9525">
          <a:noFill/>
        </a:ln>
      </xdr:spPr>
    </xdr:pic>
  </etc:cellImage>
  <etc:cellImage>
    <xdr:pic>
      <xdr:nvPicPr>
        <xdr:cNvPr id="189" name="ID_3836E41FB21540EBB3ECE56811D16873" descr="游民星空"/>
        <xdr:cNvPicPr>
          <a:picLocks noChangeAspect="1"/>
        </xdr:cNvPicPr>
      </xdr:nvPicPr>
      <xdr:blipFill>
        <a:blip r:embed="rId219" r:link="rId2"/>
        <a:stretch>
          <a:fillRect/>
        </a:stretch>
      </xdr:blipFill>
      <xdr:spPr>
        <a:xfrm>
          <a:off x="0" y="37197030"/>
          <a:ext cx="762000" cy="952500"/>
        </a:xfrm>
        <a:prstGeom prst="rect">
          <a:avLst/>
        </a:prstGeom>
        <a:noFill/>
        <a:ln w="9525">
          <a:noFill/>
        </a:ln>
      </xdr:spPr>
    </xdr:pic>
  </etc:cellImage>
  <etc:cellImage>
    <xdr:pic>
      <xdr:nvPicPr>
        <xdr:cNvPr id="256" name="ID_21D0F0BBC9CA42C08F0F55095717C067" descr="游民星空"/>
        <xdr:cNvPicPr>
          <a:picLocks noChangeAspect="1"/>
        </xdr:cNvPicPr>
      </xdr:nvPicPr>
      <xdr:blipFill>
        <a:blip r:embed="rId220" r:link="rId2"/>
        <a:stretch>
          <a:fillRect/>
        </a:stretch>
      </xdr:blipFill>
      <xdr:spPr>
        <a:xfrm>
          <a:off x="0" y="36243260"/>
          <a:ext cx="762000" cy="952500"/>
        </a:xfrm>
        <a:prstGeom prst="rect">
          <a:avLst/>
        </a:prstGeom>
        <a:noFill/>
        <a:ln w="9525">
          <a:noFill/>
        </a:ln>
      </xdr:spPr>
    </xdr:pic>
  </etc:cellImage>
  <etc:cellImage>
    <xdr:pic>
      <xdr:nvPicPr>
        <xdr:cNvPr id="385" name="ID_A708E1645492408690DBFD49A8836F42" descr="游民星空"/>
        <xdr:cNvPicPr>
          <a:picLocks noChangeAspect="1"/>
        </xdr:cNvPicPr>
      </xdr:nvPicPr>
      <xdr:blipFill>
        <a:blip r:embed="rId221" r:link="rId2"/>
        <a:stretch>
          <a:fillRect/>
        </a:stretch>
      </xdr:blipFill>
      <xdr:spPr>
        <a:xfrm>
          <a:off x="0" y="35289490"/>
          <a:ext cx="762000" cy="952500"/>
        </a:xfrm>
        <a:prstGeom prst="rect">
          <a:avLst/>
        </a:prstGeom>
        <a:noFill/>
        <a:ln w="9525">
          <a:noFill/>
        </a:ln>
      </xdr:spPr>
    </xdr:pic>
  </etc:cellImage>
  <etc:cellImage>
    <xdr:pic>
      <xdr:nvPicPr>
        <xdr:cNvPr id="384" name="ID_C12B372EC63F48C48C7005F06417296B" descr="游民星空"/>
        <xdr:cNvPicPr>
          <a:picLocks noChangeAspect="1"/>
        </xdr:cNvPicPr>
      </xdr:nvPicPr>
      <xdr:blipFill>
        <a:blip r:embed="rId222" r:link="rId2"/>
        <a:stretch>
          <a:fillRect/>
        </a:stretch>
      </xdr:blipFill>
      <xdr:spPr>
        <a:xfrm>
          <a:off x="0" y="34335720"/>
          <a:ext cx="762000" cy="952500"/>
        </a:xfrm>
        <a:prstGeom prst="rect">
          <a:avLst/>
        </a:prstGeom>
        <a:noFill/>
        <a:ln w="9525">
          <a:noFill/>
        </a:ln>
      </xdr:spPr>
    </xdr:pic>
  </etc:cellImage>
  <etc:cellImage>
    <xdr:pic>
      <xdr:nvPicPr>
        <xdr:cNvPr id="328" name="ID_57AA72F06854479B9C16F607CBE0CA5D" descr="游民星空"/>
        <xdr:cNvPicPr>
          <a:picLocks noChangeAspect="1"/>
        </xdr:cNvPicPr>
      </xdr:nvPicPr>
      <xdr:blipFill>
        <a:blip r:embed="rId223" r:link="rId2"/>
        <a:stretch>
          <a:fillRect/>
        </a:stretch>
      </xdr:blipFill>
      <xdr:spPr>
        <a:xfrm>
          <a:off x="0" y="33381950"/>
          <a:ext cx="762000" cy="952500"/>
        </a:xfrm>
        <a:prstGeom prst="rect">
          <a:avLst/>
        </a:prstGeom>
        <a:noFill/>
        <a:ln w="9525">
          <a:noFill/>
        </a:ln>
      </xdr:spPr>
    </xdr:pic>
  </etc:cellImage>
  <etc:cellImage>
    <xdr:pic>
      <xdr:nvPicPr>
        <xdr:cNvPr id="327" name="ID_C2A18B885813404C8333D455A7381158" descr="游民星空"/>
        <xdr:cNvPicPr>
          <a:picLocks noChangeAspect="1"/>
        </xdr:cNvPicPr>
      </xdr:nvPicPr>
      <xdr:blipFill>
        <a:blip r:embed="rId224" r:link="rId2"/>
        <a:stretch>
          <a:fillRect/>
        </a:stretch>
      </xdr:blipFill>
      <xdr:spPr>
        <a:xfrm>
          <a:off x="0" y="32428180"/>
          <a:ext cx="762000" cy="952500"/>
        </a:xfrm>
        <a:prstGeom prst="rect">
          <a:avLst/>
        </a:prstGeom>
        <a:noFill/>
        <a:ln w="9525">
          <a:noFill/>
        </a:ln>
      </xdr:spPr>
    </xdr:pic>
  </etc:cellImage>
  <etc:cellImage>
    <xdr:pic>
      <xdr:nvPicPr>
        <xdr:cNvPr id="188" name="ID_B93EE33A6EDD46B980A3781742D1B37E" descr="游民星空"/>
        <xdr:cNvPicPr>
          <a:picLocks noChangeAspect="1"/>
        </xdr:cNvPicPr>
      </xdr:nvPicPr>
      <xdr:blipFill>
        <a:blip r:embed="rId225" r:link="rId2"/>
        <a:stretch>
          <a:fillRect/>
        </a:stretch>
      </xdr:blipFill>
      <xdr:spPr>
        <a:xfrm>
          <a:off x="0" y="31474410"/>
          <a:ext cx="762000" cy="952500"/>
        </a:xfrm>
        <a:prstGeom prst="rect">
          <a:avLst/>
        </a:prstGeom>
        <a:noFill/>
        <a:ln w="9525">
          <a:noFill/>
        </a:ln>
      </xdr:spPr>
    </xdr:pic>
  </etc:cellImage>
  <etc:cellImage>
    <xdr:pic>
      <xdr:nvPicPr>
        <xdr:cNvPr id="187" name="ID_378AB8D83CA94506B1B8D3403158709D" descr="游民星空"/>
        <xdr:cNvPicPr>
          <a:picLocks noChangeAspect="1"/>
        </xdr:cNvPicPr>
      </xdr:nvPicPr>
      <xdr:blipFill>
        <a:blip r:embed="rId226" r:link="rId2"/>
        <a:stretch>
          <a:fillRect/>
        </a:stretch>
      </xdr:blipFill>
      <xdr:spPr>
        <a:xfrm>
          <a:off x="0" y="30520640"/>
          <a:ext cx="762000" cy="952500"/>
        </a:xfrm>
        <a:prstGeom prst="rect">
          <a:avLst/>
        </a:prstGeom>
        <a:noFill/>
        <a:ln w="9525">
          <a:noFill/>
        </a:ln>
      </xdr:spPr>
    </xdr:pic>
  </etc:cellImage>
  <etc:cellImage>
    <xdr:pic>
      <xdr:nvPicPr>
        <xdr:cNvPr id="255" name="ID_4BECED9D634F4E7DBF6E7FD1C4271467" descr="游民星空"/>
        <xdr:cNvPicPr>
          <a:picLocks noChangeAspect="1"/>
        </xdr:cNvPicPr>
      </xdr:nvPicPr>
      <xdr:blipFill>
        <a:blip r:embed="rId227" r:link="rId2"/>
        <a:stretch>
          <a:fillRect/>
        </a:stretch>
      </xdr:blipFill>
      <xdr:spPr>
        <a:xfrm>
          <a:off x="0" y="29566870"/>
          <a:ext cx="762000" cy="952500"/>
        </a:xfrm>
        <a:prstGeom prst="rect">
          <a:avLst/>
        </a:prstGeom>
        <a:noFill/>
        <a:ln w="9525">
          <a:noFill/>
        </a:ln>
      </xdr:spPr>
    </xdr:pic>
  </etc:cellImage>
  <etc:cellImage>
    <xdr:pic>
      <xdr:nvPicPr>
        <xdr:cNvPr id="254" name="ID_6DD359BFA9364C14A2C5F918430798C4" descr="游民星空"/>
        <xdr:cNvPicPr>
          <a:picLocks noChangeAspect="1"/>
        </xdr:cNvPicPr>
      </xdr:nvPicPr>
      <xdr:blipFill>
        <a:blip r:embed="rId228" r:link="rId2"/>
        <a:stretch>
          <a:fillRect/>
        </a:stretch>
      </xdr:blipFill>
      <xdr:spPr>
        <a:xfrm>
          <a:off x="0" y="28613100"/>
          <a:ext cx="762000" cy="952500"/>
        </a:xfrm>
        <a:prstGeom prst="rect">
          <a:avLst/>
        </a:prstGeom>
        <a:noFill/>
        <a:ln w="9525">
          <a:noFill/>
        </a:ln>
      </xdr:spPr>
    </xdr:pic>
  </etc:cellImage>
  <etc:cellImage>
    <xdr:pic>
      <xdr:nvPicPr>
        <xdr:cNvPr id="383" name="ID_911BF4049B1A45AEB2ECB20EE615B865" descr="游民星空"/>
        <xdr:cNvPicPr>
          <a:picLocks noChangeAspect="1"/>
        </xdr:cNvPicPr>
      </xdr:nvPicPr>
      <xdr:blipFill>
        <a:blip r:embed="rId229" r:link="rId2"/>
        <a:stretch>
          <a:fillRect/>
        </a:stretch>
      </xdr:blipFill>
      <xdr:spPr>
        <a:xfrm>
          <a:off x="0" y="27659330"/>
          <a:ext cx="762000" cy="952500"/>
        </a:xfrm>
        <a:prstGeom prst="rect">
          <a:avLst/>
        </a:prstGeom>
        <a:noFill/>
        <a:ln w="9525">
          <a:noFill/>
        </a:ln>
      </xdr:spPr>
    </xdr:pic>
  </etc:cellImage>
  <etc:cellImage>
    <xdr:pic>
      <xdr:nvPicPr>
        <xdr:cNvPr id="326" name="ID_7F5AF2BD5C3B4EF3855722C5CBC4AE07" descr="游民星空"/>
        <xdr:cNvPicPr>
          <a:picLocks noChangeAspect="1"/>
        </xdr:cNvPicPr>
      </xdr:nvPicPr>
      <xdr:blipFill>
        <a:blip r:embed="rId230" r:link="rId2"/>
        <a:stretch>
          <a:fillRect/>
        </a:stretch>
      </xdr:blipFill>
      <xdr:spPr>
        <a:xfrm>
          <a:off x="0" y="26705560"/>
          <a:ext cx="762000" cy="952500"/>
        </a:xfrm>
        <a:prstGeom prst="rect">
          <a:avLst/>
        </a:prstGeom>
        <a:noFill/>
        <a:ln w="9525">
          <a:noFill/>
        </a:ln>
      </xdr:spPr>
    </xdr:pic>
  </etc:cellImage>
  <etc:cellImage>
    <xdr:pic>
      <xdr:nvPicPr>
        <xdr:cNvPr id="186" name="ID_CFE6868805D44953970149D2C6B24643" descr="游民星空"/>
        <xdr:cNvPicPr>
          <a:picLocks noChangeAspect="1"/>
        </xdr:cNvPicPr>
      </xdr:nvPicPr>
      <xdr:blipFill>
        <a:blip r:embed="rId231" r:link="rId2"/>
        <a:stretch>
          <a:fillRect/>
        </a:stretch>
      </xdr:blipFill>
      <xdr:spPr>
        <a:xfrm>
          <a:off x="0" y="25751790"/>
          <a:ext cx="762000" cy="952500"/>
        </a:xfrm>
        <a:prstGeom prst="rect">
          <a:avLst/>
        </a:prstGeom>
        <a:noFill/>
        <a:ln w="9525">
          <a:noFill/>
        </a:ln>
      </xdr:spPr>
    </xdr:pic>
  </etc:cellImage>
  <etc:cellImage>
    <xdr:pic>
      <xdr:nvPicPr>
        <xdr:cNvPr id="185" name="ID_12FBC9544202404B8DD25FEBCB390824" descr="游民星空"/>
        <xdr:cNvPicPr>
          <a:picLocks noChangeAspect="1"/>
        </xdr:cNvPicPr>
      </xdr:nvPicPr>
      <xdr:blipFill>
        <a:blip r:embed="rId232" r:link="rId2"/>
        <a:stretch>
          <a:fillRect/>
        </a:stretch>
      </xdr:blipFill>
      <xdr:spPr>
        <a:xfrm>
          <a:off x="0" y="24798020"/>
          <a:ext cx="762000" cy="952500"/>
        </a:xfrm>
        <a:prstGeom prst="rect">
          <a:avLst/>
        </a:prstGeom>
        <a:noFill/>
        <a:ln w="9525">
          <a:noFill/>
        </a:ln>
      </xdr:spPr>
    </xdr:pic>
  </etc:cellImage>
  <etc:cellImage>
    <xdr:pic>
      <xdr:nvPicPr>
        <xdr:cNvPr id="253" name="ID_C5F471DBAA024E0C991CC1A882371312" descr="游民星空"/>
        <xdr:cNvPicPr>
          <a:picLocks noChangeAspect="1"/>
        </xdr:cNvPicPr>
      </xdr:nvPicPr>
      <xdr:blipFill>
        <a:blip r:embed="rId233" r:link="rId2"/>
        <a:stretch>
          <a:fillRect/>
        </a:stretch>
      </xdr:blipFill>
      <xdr:spPr>
        <a:xfrm>
          <a:off x="0" y="23844250"/>
          <a:ext cx="762000" cy="952500"/>
        </a:xfrm>
        <a:prstGeom prst="rect">
          <a:avLst/>
        </a:prstGeom>
        <a:noFill/>
        <a:ln w="9525">
          <a:noFill/>
        </a:ln>
      </xdr:spPr>
    </xdr:pic>
  </etc:cellImage>
  <etc:cellImage>
    <xdr:pic>
      <xdr:nvPicPr>
        <xdr:cNvPr id="252" name="ID_E118B7ADBFB642058FCF927B0800AE3B" descr="游民星空"/>
        <xdr:cNvPicPr>
          <a:picLocks noChangeAspect="1"/>
        </xdr:cNvPicPr>
      </xdr:nvPicPr>
      <xdr:blipFill>
        <a:blip r:embed="rId234" r:link="rId2"/>
        <a:stretch>
          <a:fillRect/>
        </a:stretch>
      </xdr:blipFill>
      <xdr:spPr>
        <a:xfrm>
          <a:off x="0" y="22890480"/>
          <a:ext cx="762000" cy="952500"/>
        </a:xfrm>
        <a:prstGeom prst="rect">
          <a:avLst/>
        </a:prstGeom>
        <a:noFill/>
        <a:ln w="9525">
          <a:noFill/>
        </a:ln>
      </xdr:spPr>
    </xdr:pic>
  </etc:cellImage>
  <etc:cellImage>
    <xdr:pic>
      <xdr:nvPicPr>
        <xdr:cNvPr id="382" name="ID_4A886D8CD8C44DAE9CC8543BF82189D9" descr="游民星空"/>
        <xdr:cNvPicPr>
          <a:picLocks noChangeAspect="1"/>
        </xdr:cNvPicPr>
      </xdr:nvPicPr>
      <xdr:blipFill>
        <a:blip r:embed="rId235" r:link="rId2"/>
        <a:stretch>
          <a:fillRect/>
        </a:stretch>
      </xdr:blipFill>
      <xdr:spPr>
        <a:xfrm>
          <a:off x="0" y="21936710"/>
          <a:ext cx="762000" cy="952500"/>
        </a:xfrm>
        <a:prstGeom prst="rect">
          <a:avLst/>
        </a:prstGeom>
        <a:noFill/>
        <a:ln w="9525">
          <a:noFill/>
        </a:ln>
      </xdr:spPr>
    </xdr:pic>
  </etc:cellImage>
  <etc:cellImage>
    <xdr:pic>
      <xdr:nvPicPr>
        <xdr:cNvPr id="325" name="ID_E4732DDC830C43B1BC3B58CE69EFE500" descr="游民星空"/>
        <xdr:cNvPicPr>
          <a:picLocks noChangeAspect="1"/>
        </xdr:cNvPicPr>
      </xdr:nvPicPr>
      <xdr:blipFill>
        <a:blip r:embed="rId236" r:link="rId2"/>
        <a:stretch>
          <a:fillRect/>
        </a:stretch>
      </xdr:blipFill>
      <xdr:spPr>
        <a:xfrm>
          <a:off x="0" y="20982940"/>
          <a:ext cx="762000" cy="952500"/>
        </a:xfrm>
        <a:prstGeom prst="rect">
          <a:avLst/>
        </a:prstGeom>
        <a:noFill/>
        <a:ln w="9525">
          <a:noFill/>
        </a:ln>
      </xdr:spPr>
    </xdr:pic>
  </etc:cellImage>
  <etc:cellImage>
    <xdr:pic>
      <xdr:nvPicPr>
        <xdr:cNvPr id="184" name="ID_1115B8F62C9E4D1983BB4F536BE0D11D" descr="游民星空"/>
        <xdr:cNvPicPr>
          <a:picLocks noChangeAspect="1"/>
        </xdr:cNvPicPr>
      </xdr:nvPicPr>
      <xdr:blipFill>
        <a:blip r:embed="rId237" r:link="rId2"/>
        <a:stretch>
          <a:fillRect/>
        </a:stretch>
      </xdr:blipFill>
      <xdr:spPr>
        <a:xfrm>
          <a:off x="0" y="20029170"/>
          <a:ext cx="762000" cy="952500"/>
        </a:xfrm>
        <a:prstGeom prst="rect">
          <a:avLst/>
        </a:prstGeom>
        <a:noFill/>
        <a:ln w="9525">
          <a:noFill/>
        </a:ln>
      </xdr:spPr>
    </xdr:pic>
  </etc:cellImage>
  <etc:cellImage>
    <xdr:pic>
      <xdr:nvPicPr>
        <xdr:cNvPr id="251" name="ID_03BD9EF24C0148CEBC54E295F04BF2B2" descr="游民星空"/>
        <xdr:cNvPicPr>
          <a:picLocks noChangeAspect="1"/>
        </xdr:cNvPicPr>
      </xdr:nvPicPr>
      <xdr:blipFill>
        <a:blip r:embed="rId238" r:link="rId2"/>
        <a:stretch>
          <a:fillRect/>
        </a:stretch>
      </xdr:blipFill>
      <xdr:spPr>
        <a:xfrm>
          <a:off x="0" y="19075400"/>
          <a:ext cx="762000" cy="952500"/>
        </a:xfrm>
        <a:prstGeom prst="rect">
          <a:avLst/>
        </a:prstGeom>
        <a:noFill/>
        <a:ln w="9525">
          <a:noFill/>
        </a:ln>
      </xdr:spPr>
    </xdr:pic>
  </etc:cellImage>
  <etc:cellImage>
    <xdr:pic>
      <xdr:nvPicPr>
        <xdr:cNvPr id="381" name="ID_1FA0B61A44B34277B068F694AAF59BD1" descr="游民星空"/>
        <xdr:cNvPicPr>
          <a:picLocks noChangeAspect="1"/>
        </xdr:cNvPicPr>
      </xdr:nvPicPr>
      <xdr:blipFill>
        <a:blip r:embed="rId239" r:link="rId2"/>
        <a:stretch>
          <a:fillRect/>
        </a:stretch>
      </xdr:blipFill>
      <xdr:spPr>
        <a:xfrm>
          <a:off x="0" y="18121630"/>
          <a:ext cx="762000" cy="952500"/>
        </a:xfrm>
        <a:prstGeom prst="rect">
          <a:avLst/>
        </a:prstGeom>
        <a:noFill/>
        <a:ln w="9525">
          <a:noFill/>
        </a:ln>
      </xdr:spPr>
    </xdr:pic>
  </etc:cellImage>
  <etc:cellImage>
    <xdr:pic>
      <xdr:nvPicPr>
        <xdr:cNvPr id="324" name="ID_A41275D02642452F94C8D4B31BDB18F0" descr="游民星空"/>
        <xdr:cNvPicPr>
          <a:picLocks noChangeAspect="1"/>
        </xdr:cNvPicPr>
      </xdr:nvPicPr>
      <xdr:blipFill>
        <a:blip r:embed="rId240" r:link="rId2"/>
        <a:stretch>
          <a:fillRect/>
        </a:stretch>
      </xdr:blipFill>
      <xdr:spPr>
        <a:xfrm>
          <a:off x="0" y="17167860"/>
          <a:ext cx="762000" cy="952500"/>
        </a:xfrm>
        <a:prstGeom prst="rect">
          <a:avLst/>
        </a:prstGeom>
        <a:noFill/>
        <a:ln w="9525">
          <a:noFill/>
        </a:ln>
      </xdr:spPr>
    </xdr:pic>
  </etc:cellImage>
  <etc:cellImage>
    <xdr:pic>
      <xdr:nvPicPr>
        <xdr:cNvPr id="183" name="ID_3A887E36298F45F69B8DDB803B3BBE5A" descr="游民星空"/>
        <xdr:cNvPicPr>
          <a:picLocks noChangeAspect="1"/>
        </xdr:cNvPicPr>
      </xdr:nvPicPr>
      <xdr:blipFill>
        <a:blip r:embed="rId241" r:link="rId2"/>
        <a:stretch>
          <a:fillRect/>
        </a:stretch>
      </xdr:blipFill>
      <xdr:spPr>
        <a:xfrm>
          <a:off x="0" y="16214090"/>
          <a:ext cx="762000" cy="952500"/>
        </a:xfrm>
        <a:prstGeom prst="rect">
          <a:avLst/>
        </a:prstGeom>
        <a:noFill/>
        <a:ln w="9525">
          <a:noFill/>
        </a:ln>
      </xdr:spPr>
    </xdr:pic>
  </etc:cellImage>
  <etc:cellImage>
    <xdr:pic>
      <xdr:nvPicPr>
        <xdr:cNvPr id="250" name="ID_31C571185E83442085E171283853E3F3" descr="游民星空"/>
        <xdr:cNvPicPr>
          <a:picLocks noChangeAspect="1"/>
        </xdr:cNvPicPr>
      </xdr:nvPicPr>
      <xdr:blipFill>
        <a:blip r:embed="rId242" r:link="rId2"/>
        <a:stretch>
          <a:fillRect/>
        </a:stretch>
      </xdr:blipFill>
      <xdr:spPr>
        <a:xfrm>
          <a:off x="0" y="15260320"/>
          <a:ext cx="762000" cy="952500"/>
        </a:xfrm>
        <a:prstGeom prst="rect">
          <a:avLst/>
        </a:prstGeom>
        <a:noFill/>
        <a:ln w="9525">
          <a:noFill/>
        </a:ln>
      </xdr:spPr>
    </xdr:pic>
  </etc:cellImage>
  <etc:cellImage>
    <xdr:pic>
      <xdr:nvPicPr>
        <xdr:cNvPr id="28" name="ID_444984F06AFD406DB92CB609A4D47901" descr="游民星空"/>
        <xdr:cNvPicPr>
          <a:picLocks noChangeAspect="1"/>
        </xdr:cNvPicPr>
      </xdr:nvPicPr>
      <xdr:blipFill>
        <a:blip r:embed="rId243" r:link="rId2"/>
        <a:stretch>
          <a:fillRect/>
        </a:stretch>
      </xdr:blipFill>
      <xdr:spPr>
        <a:xfrm>
          <a:off x="635" y="14306550"/>
          <a:ext cx="762000" cy="952500"/>
        </a:xfrm>
        <a:prstGeom prst="rect">
          <a:avLst/>
        </a:prstGeom>
        <a:noFill/>
        <a:ln w="9525">
          <a:noFill/>
        </a:ln>
      </xdr:spPr>
    </xdr:pic>
  </etc:cellImage>
  <etc:cellImage>
    <xdr:pic>
      <xdr:nvPicPr>
        <xdr:cNvPr id="29" name="ID_659E74BB5C0A4AAB9F718AA1F4CB43C2" descr="游民星空"/>
        <xdr:cNvPicPr>
          <a:picLocks noChangeAspect="1"/>
        </xdr:cNvPicPr>
      </xdr:nvPicPr>
      <xdr:blipFill>
        <a:blip r:embed="rId244" r:link="rId2"/>
        <a:stretch>
          <a:fillRect/>
        </a:stretch>
      </xdr:blipFill>
      <xdr:spPr>
        <a:xfrm>
          <a:off x="0" y="13352780"/>
          <a:ext cx="762000" cy="952500"/>
        </a:xfrm>
        <a:prstGeom prst="rect">
          <a:avLst/>
        </a:prstGeom>
        <a:noFill/>
        <a:ln w="9525">
          <a:noFill/>
        </a:ln>
      </xdr:spPr>
    </xdr:pic>
  </etc:cellImage>
  <etc:cellImage>
    <xdr:pic>
      <xdr:nvPicPr>
        <xdr:cNvPr id="323" name="ID_4AA71090D8CC42E59530BF5FC66EE6D4" descr="游民星空"/>
        <xdr:cNvPicPr>
          <a:picLocks noChangeAspect="1"/>
        </xdr:cNvPicPr>
      </xdr:nvPicPr>
      <xdr:blipFill>
        <a:blip r:embed="rId245" r:link="rId2"/>
        <a:stretch>
          <a:fillRect/>
        </a:stretch>
      </xdr:blipFill>
      <xdr:spPr>
        <a:xfrm>
          <a:off x="0" y="12399010"/>
          <a:ext cx="762000" cy="952500"/>
        </a:xfrm>
        <a:prstGeom prst="rect">
          <a:avLst/>
        </a:prstGeom>
        <a:noFill/>
        <a:ln w="9525">
          <a:noFill/>
        </a:ln>
      </xdr:spPr>
    </xdr:pic>
  </etc:cellImage>
  <etc:cellImage>
    <xdr:pic>
      <xdr:nvPicPr>
        <xdr:cNvPr id="182" name="ID_138EC990C8EF4A0F9449147E256A1C97" descr="游民星空"/>
        <xdr:cNvPicPr>
          <a:picLocks noChangeAspect="1"/>
        </xdr:cNvPicPr>
      </xdr:nvPicPr>
      <xdr:blipFill>
        <a:blip r:embed="rId246" r:link="rId2"/>
        <a:stretch>
          <a:fillRect/>
        </a:stretch>
      </xdr:blipFill>
      <xdr:spPr>
        <a:xfrm>
          <a:off x="0" y="11445240"/>
          <a:ext cx="762000" cy="952500"/>
        </a:xfrm>
        <a:prstGeom prst="rect">
          <a:avLst/>
        </a:prstGeom>
        <a:noFill/>
        <a:ln w="9525">
          <a:noFill/>
        </a:ln>
      </xdr:spPr>
    </xdr:pic>
  </etc:cellImage>
  <etc:cellImage>
    <xdr:pic>
      <xdr:nvPicPr>
        <xdr:cNvPr id="181" name="ID_880BB5B73E39403DB20919170A4CA416" descr="游民星空"/>
        <xdr:cNvPicPr>
          <a:picLocks noChangeAspect="1"/>
        </xdr:cNvPicPr>
      </xdr:nvPicPr>
      <xdr:blipFill>
        <a:blip r:embed="rId247" r:link="rId2"/>
        <a:stretch>
          <a:fillRect/>
        </a:stretch>
      </xdr:blipFill>
      <xdr:spPr>
        <a:xfrm>
          <a:off x="0" y="10491470"/>
          <a:ext cx="762000" cy="952500"/>
        </a:xfrm>
        <a:prstGeom prst="rect">
          <a:avLst/>
        </a:prstGeom>
        <a:noFill/>
        <a:ln w="9525">
          <a:noFill/>
        </a:ln>
      </xdr:spPr>
    </xdr:pic>
  </etc:cellImage>
  <etc:cellImage>
    <xdr:pic>
      <xdr:nvPicPr>
        <xdr:cNvPr id="249" name="ID_03CABD65EDDA4843B462C79342FFF0E9" descr="游民星空"/>
        <xdr:cNvPicPr>
          <a:picLocks noChangeAspect="1"/>
        </xdr:cNvPicPr>
      </xdr:nvPicPr>
      <xdr:blipFill>
        <a:blip r:embed="rId248" r:link="rId2"/>
        <a:stretch>
          <a:fillRect/>
        </a:stretch>
      </xdr:blipFill>
      <xdr:spPr>
        <a:xfrm>
          <a:off x="0" y="9537700"/>
          <a:ext cx="762000" cy="952500"/>
        </a:xfrm>
        <a:prstGeom prst="rect">
          <a:avLst/>
        </a:prstGeom>
        <a:noFill/>
        <a:ln w="9525">
          <a:noFill/>
        </a:ln>
      </xdr:spPr>
    </xdr:pic>
  </etc:cellImage>
  <etc:cellImage>
    <xdr:pic>
      <xdr:nvPicPr>
        <xdr:cNvPr id="248" name="ID_D7923E106B584265A2DB830D44849C7B" descr="游民星空"/>
        <xdr:cNvPicPr>
          <a:picLocks noChangeAspect="1"/>
        </xdr:cNvPicPr>
      </xdr:nvPicPr>
      <xdr:blipFill>
        <a:blip r:embed="rId249" r:link="rId2"/>
        <a:stretch>
          <a:fillRect/>
        </a:stretch>
      </xdr:blipFill>
      <xdr:spPr>
        <a:xfrm>
          <a:off x="0" y="8583930"/>
          <a:ext cx="762000" cy="952500"/>
        </a:xfrm>
        <a:prstGeom prst="rect">
          <a:avLst/>
        </a:prstGeom>
        <a:noFill/>
        <a:ln w="9525">
          <a:noFill/>
        </a:ln>
      </xdr:spPr>
    </xdr:pic>
  </etc:cellImage>
  <etc:cellImage>
    <xdr:pic>
      <xdr:nvPicPr>
        <xdr:cNvPr id="378" name="ID_EDAF0CC16AC34159AA79976F49BB1B05" descr="游民星空"/>
        <xdr:cNvPicPr>
          <a:picLocks noChangeAspect="1"/>
        </xdr:cNvPicPr>
      </xdr:nvPicPr>
      <xdr:blipFill>
        <a:blip r:embed="rId250" r:link="rId2"/>
        <a:stretch>
          <a:fillRect/>
        </a:stretch>
      </xdr:blipFill>
      <xdr:spPr>
        <a:xfrm>
          <a:off x="0" y="7630160"/>
          <a:ext cx="762000" cy="952500"/>
        </a:xfrm>
        <a:prstGeom prst="rect">
          <a:avLst/>
        </a:prstGeom>
        <a:noFill/>
        <a:ln w="9525">
          <a:noFill/>
        </a:ln>
      </xdr:spPr>
    </xdr:pic>
  </etc:cellImage>
  <etc:cellImage>
    <xdr:pic>
      <xdr:nvPicPr>
        <xdr:cNvPr id="377" name="ID_2E6818CAD9554019872BCA700483D039" descr="游民星空"/>
        <xdr:cNvPicPr>
          <a:picLocks noChangeAspect="1"/>
        </xdr:cNvPicPr>
      </xdr:nvPicPr>
      <xdr:blipFill>
        <a:blip r:embed="rId251" r:link="rId2"/>
        <a:stretch>
          <a:fillRect/>
        </a:stretch>
      </xdr:blipFill>
      <xdr:spPr>
        <a:xfrm>
          <a:off x="0" y="6676390"/>
          <a:ext cx="762000" cy="952500"/>
        </a:xfrm>
        <a:prstGeom prst="rect">
          <a:avLst/>
        </a:prstGeom>
        <a:noFill/>
        <a:ln w="9525">
          <a:noFill/>
        </a:ln>
      </xdr:spPr>
    </xdr:pic>
  </etc:cellImage>
  <etc:cellImage>
    <xdr:pic>
      <xdr:nvPicPr>
        <xdr:cNvPr id="322" name="ID_7C080BF71CCE474E8603AD318194A7BF" descr="游民星空"/>
        <xdr:cNvPicPr>
          <a:picLocks noChangeAspect="1"/>
        </xdr:cNvPicPr>
      </xdr:nvPicPr>
      <xdr:blipFill>
        <a:blip r:embed="rId252" r:link="rId2"/>
        <a:stretch>
          <a:fillRect/>
        </a:stretch>
      </xdr:blipFill>
      <xdr:spPr>
        <a:xfrm>
          <a:off x="0" y="5722620"/>
          <a:ext cx="762000" cy="952500"/>
        </a:xfrm>
        <a:prstGeom prst="rect">
          <a:avLst/>
        </a:prstGeom>
        <a:noFill/>
        <a:ln w="9525">
          <a:noFill/>
        </a:ln>
      </xdr:spPr>
    </xdr:pic>
  </etc:cellImage>
  <etc:cellImage>
    <xdr:pic>
      <xdr:nvPicPr>
        <xdr:cNvPr id="321" name="ID_54194BFD6B354A08B104DF43A2AB8872" descr="游民星空"/>
        <xdr:cNvPicPr>
          <a:picLocks noChangeAspect="1"/>
        </xdr:cNvPicPr>
      </xdr:nvPicPr>
      <xdr:blipFill>
        <a:blip r:embed="rId253" r:link="rId2"/>
        <a:stretch>
          <a:fillRect/>
        </a:stretch>
      </xdr:blipFill>
      <xdr:spPr>
        <a:xfrm>
          <a:off x="0" y="4768850"/>
          <a:ext cx="762000" cy="952500"/>
        </a:xfrm>
        <a:prstGeom prst="rect">
          <a:avLst/>
        </a:prstGeom>
        <a:noFill/>
        <a:ln w="9525">
          <a:noFill/>
        </a:ln>
      </xdr:spPr>
    </xdr:pic>
  </etc:cellImage>
  <etc:cellImage>
    <xdr:pic>
      <xdr:nvPicPr>
        <xdr:cNvPr id="180" name="ID_2B32078051964C5488DA75034A9F8D2D" descr="游民星空"/>
        <xdr:cNvPicPr>
          <a:picLocks noChangeAspect="1"/>
        </xdr:cNvPicPr>
      </xdr:nvPicPr>
      <xdr:blipFill>
        <a:blip r:embed="rId254" r:link="rId2"/>
        <a:stretch>
          <a:fillRect/>
        </a:stretch>
      </xdr:blipFill>
      <xdr:spPr>
        <a:xfrm>
          <a:off x="0" y="3815080"/>
          <a:ext cx="762000" cy="952500"/>
        </a:xfrm>
        <a:prstGeom prst="rect">
          <a:avLst/>
        </a:prstGeom>
        <a:noFill/>
        <a:ln w="9525">
          <a:noFill/>
        </a:ln>
      </xdr:spPr>
    </xdr:pic>
  </etc:cellImage>
  <etc:cellImage>
    <xdr:pic>
      <xdr:nvPicPr>
        <xdr:cNvPr id="179" name="ID_95C753A1562741CC8E65A67D612C8C96" descr="游民星空"/>
        <xdr:cNvPicPr>
          <a:picLocks noChangeAspect="1"/>
        </xdr:cNvPicPr>
      </xdr:nvPicPr>
      <xdr:blipFill>
        <a:blip r:embed="rId255" r:link="rId2"/>
        <a:stretch>
          <a:fillRect/>
        </a:stretch>
      </xdr:blipFill>
      <xdr:spPr>
        <a:xfrm>
          <a:off x="0" y="2861310"/>
          <a:ext cx="762000" cy="952500"/>
        </a:xfrm>
        <a:prstGeom prst="rect">
          <a:avLst/>
        </a:prstGeom>
        <a:noFill/>
        <a:ln w="9525">
          <a:noFill/>
        </a:ln>
      </xdr:spPr>
    </xdr:pic>
  </etc:cellImage>
  <etc:cellImage>
    <xdr:pic>
      <xdr:nvPicPr>
        <xdr:cNvPr id="247" name="ID_D4BE82633C62447D8AA0425533E093AA" descr="游民星空"/>
        <xdr:cNvPicPr>
          <a:picLocks noChangeAspect="1"/>
        </xdr:cNvPicPr>
      </xdr:nvPicPr>
      <xdr:blipFill>
        <a:blip r:embed="rId256" r:link="rId2"/>
        <a:stretch>
          <a:fillRect/>
        </a:stretch>
      </xdr:blipFill>
      <xdr:spPr>
        <a:xfrm>
          <a:off x="0" y="1907540"/>
          <a:ext cx="762000" cy="952500"/>
        </a:xfrm>
        <a:prstGeom prst="rect">
          <a:avLst/>
        </a:prstGeom>
        <a:noFill/>
        <a:ln w="9525">
          <a:noFill/>
        </a:ln>
      </xdr:spPr>
    </xdr:pic>
  </etc:cellImage>
  <etc:cellImage>
    <xdr:pic>
      <xdr:nvPicPr>
        <xdr:cNvPr id="246" name="ID_A340C692C94A4BEF983F45D45DBB6772" descr="游民星空"/>
        <xdr:cNvPicPr>
          <a:picLocks noChangeAspect="1"/>
        </xdr:cNvPicPr>
      </xdr:nvPicPr>
      <xdr:blipFill>
        <a:blip r:embed="rId257" r:link="rId2"/>
        <a:stretch>
          <a:fillRect/>
        </a:stretch>
      </xdr:blipFill>
      <xdr:spPr>
        <a:xfrm>
          <a:off x="0" y="953770"/>
          <a:ext cx="762000" cy="952500"/>
        </a:xfrm>
        <a:prstGeom prst="rect">
          <a:avLst/>
        </a:prstGeom>
        <a:noFill/>
        <a:ln w="9525">
          <a:noFill/>
        </a:ln>
      </xdr:spPr>
    </xdr:pic>
  </etc:cellImage>
  <etc:cellImage>
    <xdr:pic>
      <xdr:nvPicPr>
        <xdr:cNvPr id="30" name="ID_51C60C1494E84D83A73508C542593F56" descr="游民星空"/>
        <xdr:cNvPicPr>
          <a:picLocks noChangeAspect="1"/>
        </xdr:cNvPicPr>
      </xdr:nvPicPr>
      <xdr:blipFill>
        <a:blip r:embed="rId258" r:link="rId2"/>
        <a:stretch>
          <a:fillRect/>
        </a:stretch>
      </xdr:blipFill>
      <xdr:spPr>
        <a:xfrm>
          <a:off x="19050" y="240372900"/>
          <a:ext cx="733425" cy="916305"/>
        </a:xfrm>
        <a:prstGeom prst="rect">
          <a:avLst/>
        </a:prstGeom>
        <a:noFill/>
        <a:ln w="9525">
          <a:noFill/>
        </a:ln>
      </xdr:spPr>
    </xdr:pic>
  </etc:cellImage>
  <etc:cellImage>
    <xdr:pic>
      <xdr:nvPicPr>
        <xdr:cNvPr id="31" name="ID_4F447EFB203143BE85CF5E11AE3C50D9" descr="游民星空"/>
        <xdr:cNvPicPr>
          <a:picLocks noChangeAspect="1"/>
        </xdr:cNvPicPr>
      </xdr:nvPicPr>
      <xdr:blipFill>
        <a:blip r:embed="rId259" r:link="rId2"/>
        <a:stretch>
          <a:fillRect/>
        </a:stretch>
      </xdr:blipFill>
      <xdr:spPr>
        <a:xfrm>
          <a:off x="19050" y="236557820"/>
          <a:ext cx="733425" cy="916305"/>
        </a:xfrm>
        <a:prstGeom prst="rect">
          <a:avLst/>
        </a:prstGeom>
        <a:noFill/>
        <a:ln w="9525">
          <a:noFill/>
        </a:ln>
      </xdr:spPr>
    </xdr:pic>
  </etc:cellImage>
  <etc:cellImage>
    <xdr:pic>
      <xdr:nvPicPr>
        <xdr:cNvPr id="43" name="ID_CCF9472F61FE49B78DE05D49C7FF9A0F"/>
        <xdr:cNvPicPr>
          <a:picLocks noChangeAspect="1"/>
        </xdr:cNvPicPr>
      </xdr:nvPicPr>
      <xdr:blipFill>
        <a:blip r:embed="rId260" r:link="rId2"/>
        <a:stretch>
          <a:fillRect/>
        </a:stretch>
      </xdr:blipFill>
      <xdr:spPr>
        <a:xfrm>
          <a:off x="0" y="41012110"/>
          <a:ext cx="762000" cy="857250"/>
        </a:xfrm>
        <a:prstGeom prst="rect">
          <a:avLst/>
        </a:prstGeom>
        <a:noFill/>
        <a:ln w="9525">
          <a:noFill/>
        </a:ln>
      </xdr:spPr>
    </xdr:pic>
  </etc:cellImage>
  <etc:cellImage>
    <xdr:pic>
      <xdr:nvPicPr>
        <xdr:cNvPr id="42" name="ID_EF9BB175C9FD43DA8D20D15C30696138" descr="哈维尔的大盾​​​​​​​"/>
        <xdr:cNvPicPr>
          <a:picLocks noChangeAspect="1"/>
        </xdr:cNvPicPr>
      </xdr:nvPicPr>
      <xdr:blipFill>
        <a:blip r:embed="rId261" r:link="rId2"/>
        <a:stretch>
          <a:fillRect/>
        </a:stretch>
      </xdr:blipFill>
      <xdr:spPr>
        <a:xfrm>
          <a:off x="0" y="40058340"/>
          <a:ext cx="762000" cy="952500"/>
        </a:xfrm>
        <a:prstGeom prst="rect">
          <a:avLst/>
        </a:prstGeom>
        <a:noFill/>
        <a:ln w="9525">
          <a:noFill/>
        </a:ln>
      </xdr:spPr>
    </xdr:pic>
  </etc:cellImage>
  <etc:cellImage>
    <xdr:pic>
      <xdr:nvPicPr>
        <xdr:cNvPr id="41" name="ID_7BE19F7FF319446095DD10EDB164E30F" descr="石制大盾​​​​​​​"/>
        <xdr:cNvPicPr>
          <a:picLocks noChangeAspect="1"/>
        </xdr:cNvPicPr>
      </xdr:nvPicPr>
      <xdr:blipFill>
        <a:blip r:embed="rId262" r:link="rId2"/>
        <a:stretch>
          <a:fillRect/>
        </a:stretch>
      </xdr:blipFill>
      <xdr:spPr>
        <a:xfrm>
          <a:off x="0" y="39104570"/>
          <a:ext cx="762000" cy="952500"/>
        </a:xfrm>
        <a:prstGeom prst="rect">
          <a:avLst/>
        </a:prstGeom>
        <a:noFill/>
        <a:ln w="9525">
          <a:noFill/>
        </a:ln>
      </xdr:spPr>
    </xdr:pic>
  </etc:cellImage>
  <etc:cellImage>
    <xdr:pic>
      <xdr:nvPicPr>
        <xdr:cNvPr id="44" name="ID_17CAE9A858364B05B6A9B40F28282790" descr="结界大盾​​​​​​​"/>
        <xdr:cNvPicPr>
          <a:picLocks noChangeAspect="1"/>
        </xdr:cNvPicPr>
      </xdr:nvPicPr>
      <xdr:blipFill>
        <a:blip r:embed="rId263" r:link="rId2"/>
        <a:stretch>
          <a:fillRect/>
        </a:stretch>
      </xdr:blipFill>
      <xdr:spPr>
        <a:xfrm>
          <a:off x="635" y="38150800"/>
          <a:ext cx="761365" cy="857250"/>
        </a:xfrm>
        <a:prstGeom prst="rect">
          <a:avLst/>
        </a:prstGeom>
        <a:noFill/>
        <a:ln w="9525">
          <a:noFill/>
        </a:ln>
      </xdr:spPr>
    </xdr:pic>
  </etc:cellImage>
  <etc:cellImage>
    <xdr:pic>
      <xdr:nvPicPr>
        <xdr:cNvPr id="37" name="ID_04374F5BEAE143BD9A1953A64AE682AC"/>
        <xdr:cNvPicPr>
          <a:picLocks noChangeAspect="1"/>
        </xdr:cNvPicPr>
      </xdr:nvPicPr>
      <xdr:blipFill>
        <a:blip r:embed="rId264" r:link="rId2"/>
        <a:stretch>
          <a:fillRect/>
        </a:stretch>
      </xdr:blipFill>
      <xdr:spPr>
        <a:xfrm>
          <a:off x="0" y="37197030"/>
          <a:ext cx="762000" cy="952500"/>
        </a:xfrm>
        <a:prstGeom prst="rect">
          <a:avLst/>
        </a:prstGeom>
        <a:noFill/>
        <a:ln w="9525">
          <a:noFill/>
        </a:ln>
      </xdr:spPr>
    </xdr:pic>
  </etc:cellImage>
  <etc:cellImage>
    <xdr:pic>
      <xdr:nvPicPr>
        <xdr:cNvPr id="38" name="ID_89C234FD31674A35B626BA7D802517A2" descr="黑铁大盾"/>
        <xdr:cNvPicPr>
          <a:picLocks noChangeAspect="1"/>
        </xdr:cNvPicPr>
      </xdr:nvPicPr>
      <xdr:blipFill>
        <a:blip r:embed="rId265" r:link="rId2"/>
        <a:stretch>
          <a:fillRect/>
        </a:stretch>
      </xdr:blipFill>
      <xdr:spPr>
        <a:xfrm>
          <a:off x="0" y="36243260"/>
          <a:ext cx="762000" cy="952500"/>
        </a:xfrm>
        <a:prstGeom prst="rect">
          <a:avLst/>
        </a:prstGeom>
        <a:noFill/>
        <a:ln w="9525">
          <a:noFill/>
        </a:ln>
      </xdr:spPr>
    </xdr:pic>
  </etc:cellImage>
  <etc:cellImage>
    <xdr:pic>
      <xdr:nvPicPr>
        <xdr:cNvPr id="36" name="ID_F9F265173E494288BDFA8C70684B4972" descr="巨鹰纹盾​​​​​​​"/>
        <xdr:cNvPicPr>
          <a:picLocks noChangeAspect="1"/>
        </xdr:cNvPicPr>
      </xdr:nvPicPr>
      <xdr:blipFill>
        <a:blip r:embed="rId266" r:link="rId2"/>
        <a:stretch>
          <a:fillRect/>
        </a:stretch>
      </xdr:blipFill>
      <xdr:spPr>
        <a:xfrm>
          <a:off x="0" y="35289490"/>
          <a:ext cx="762000" cy="952500"/>
        </a:xfrm>
        <a:prstGeom prst="rect">
          <a:avLst/>
        </a:prstGeom>
        <a:noFill/>
        <a:ln w="9525">
          <a:noFill/>
        </a:ln>
      </xdr:spPr>
    </xdr:pic>
  </etc:cellImage>
  <etc:cellImage>
    <xdr:pic>
      <xdr:nvPicPr>
        <xdr:cNvPr id="39" name="ID_296EEDF0C8864F5E852E2108B654220D" descr="巨人盾"/>
        <xdr:cNvPicPr>
          <a:picLocks noChangeAspect="1"/>
        </xdr:cNvPicPr>
      </xdr:nvPicPr>
      <xdr:blipFill>
        <a:blip r:embed="rId267" r:link="rId2"/>
        <a:stretch>
          <a:fillRect/>
        </a:stretch>
      </xdr:blipFill>
      <xdr:spPr>
        <a:xfrm>
          <a:off x="0" y="34335720"/>
          <a:ext cx="762000" cy="952500"/>
        </a:xfrm>
        <a:prstGeom prst="rect">
          <a:avLst/>
        </a:prstGeom>
        <a:noFill/>
        <a:ln w="9525">
          <a:noFill/>
        </a:ln>
      </xdr:spPr>
    </xdr:pic>
  </etc:cellImage>
  <etc:cellImage>
    <xdr:pic>
      <xdr:nvPicPr>
        <xdr:cNvPr id="40" name="ID_3418A4FF7DA44344AD47765011B9B2A8" descr="骸骨车轮盾​​​​​​​"/>
        <xdr:cNvPicPr>
          <a:picLocks noChangeAspect="1"/>
        </xdr:cNvPicPr>
      </xdr:nvPicPr>
      <xdr:blipFill>
        <a:blip r:embed="rId268" r:link="rId2"/>
        <a:stretch>
          <a:fillRect/>
        </a:stretch>
      </xdr:blipFill>
      <xdr:spPr>
        <a:xfrm>
          <a:off x="0" y="33381950"/>
          <a:ext cx="762000" cy="952500"/>
        </a:xfrm>
        <a:prstGeom prst="rect">
          <a:avLst/>
        </a:prstGeom>
        <a:noFill/>
        <a:ln w="9525">
          <a:noFill/>
        </a:ln>
      </xdr:spPr>
    </xdr:pic>
  </etc:cellImage>
  <etc:cellImage>
    <xdr:pic>
      <xdr:nvPicPr>
        <xdr:cNvPr id="33" name="ID_0981BCFE1C3F42E59DBBBF4A35C071BE" descr="银骑士的盾​​​​​​​"/>
        <xdr:cNvPicPr>
          <a:picLocks noChangeAspect="1"/>
        </xdr:cNvPicPr>
      </xdr:nvPicPr>
      <xdr:blipFill>
        <a:blip r:embed="rId269" r:link="rId2"/>
        <a:stretch>
          <a:fillRect/>
        </a:stretch>
      </xdr:blipFill>
      <xdr:spPr>
        <a:xfrm>
          <a:off x="0" y="32428180"/>
          <a:ext cx="762000" cy="952500"/>
        </a:xfrm>
        <a:prstGeom prst="rect">
          <a:avLst/>
        </a:prstGeom>
        <a:noFill/>
        <a:ln w="9525">
          <a:noFill/>
        </a:ln>
      </xdr:spPr>
    </xdr:pic>
  </etc:cellImage>
  <etc:cellImage>
    <xdr:pic>
      <xdr:nvPicPr>
        <xdr:cNvPr id="32" name="ID_105832A9F8DD49FFB72B17DBBB725804" descr="巴勒德尔的盾"/>
        <xdr:cNvPicPr>
          <a:picLocks noChangeAspect="1"/>
        </xdr:cNvPicPr>
      </xdr:nvPicPr>
      <xdr:blipFill>
        <a:blip r:embed="rId270" r:link="rId2"/>
        <a:stretch>
          <a:fillRect/>
        </a:stretch>
      </xdr:blipFill>
      <xdr:spPr>
        <a:xfrm>
          <a:off x="0" y="31474410"/>
          <a:ext cx="762000" cy="952500"/>
        </a:xfrm>
        <a:prstGeom prst="rect">
          <a:avLst/>
        </a:prstGeom>
        <a:noFill/>
        <a:ln w="9525">
          <a:noFill/>
        </a:ln>
      </xdr:spPr>
    </xdr:pic>
  </etc:cellImage>
  <etc:cellImage>
    <xdr:pic>
      <xdr:nvPicPr>
        <xdr:cNvPr id="34" name="ID_11549DA2D53E4063908BBF0CC4114D97" descr="黑骑士的盾​​​​​​​"/>
        <xdr:cNvPicPr>
          <a:picLocks noChangeAspect="1"/>
        </xdr:cNvPicPr>
      </xdr:nvPicPr>
      <xdr:blipFill>
        <a:blip r:embed="rId271" r:link="rId2"/>
        <a:stretch>
          <a:fillRect/>
        </a:stretch>
      </xdr:blipFill>
      <xdr:spPr>
        <a:xfrm>
          <a:off x="0" y="30520640"/>
          <a:ext cx="762000" cy="952500"/>
        </a:xfrm>
        <a:prstGeom prst="rect">
          <a:avLst/>
        </a:prstGeom>
        <a:noFill/>
        <a:ln w="9525">
          <a:noFill/>
        </a:ln>
      </xdr:spPr>
    </xdr:pic>
  </etc:cellImage>
  <etc:cellImage>
    <xdr:pic>
      <xdr:nvPicPr>
        <xdr:cNvPr id="35" name="ID_270C8E09E27D4A28928379BB2733EA42" descr="结晶盾​​​​​​​"/>
        <xdr:cNvPicPr>
          <a:picLocks noChangeAspect="1"/>
        </xdr:cNvPicPr>
      </xdr:nvPicPr>
      <xdr:blipFill>
        <a:blip r:embed="rId272" r:link="rId2"/>
        <a:stretch>
          <a:fillRect/>
        </a:stretch>
      </xdr:blipFill>
      <xdr:spPr>
        <a:xfrm>
          <a:off x="0" y="29566870"/>
          <a:ext cx="762000" cy="952500"/>
        </a:xfrm>
        <a:prstGeom prst="rect">
          <a:avLst/>
        </a:prstGeom>
        <a:noFill/>
        <a:ln w="9525">
          <a:noFill/>
        </a:ln>
      </xdr:spPr>
    </xdr:pic>
  </etc:cellImage>
  <etc:cellImage>
    <xdr:pic>
      <xdr:nvPicPr>
        <xdr:cNvPr id="45" name="ID_C9191AF868764E06B2A4269983F811FF" descr="双蛇纹风筝形盾"/>
        <xdr:cNvPicPr>
          <a:picLocks noChangeAspect="1"/>
        </xdr:cNvPicPr>
      </xdr:nvPicPr>
      <xdr:blipFill>
        <a:blip r:embed="rId273" r:link="rId2"/>
        <a:stretch>
          <a:fillRect/>
        </a:stretch>
      </xdr:blipFill>
      <xdr:spPr>
        <a:xfrm>
          <a:off x="0" y="28613100"/>
          <a:ext cx="762000" cy="952500"/>
        </a:xfrm>
        <a:prstGeom prst="rect">
          <a:avLst/>
        </a:prstGeom>
        <a:noFill/>
        <a:ln w="9525">
          <a:noFill/>
        </a:ln>
      </xdr:spPr>
    </xdr:pic>
  </etc:cellImage>
  <etc:cellImage>
    <xdr:pic>
      <xdr:nvPicPr>
        <xdr:cNvPr id="46" name="ID_BB93E5E16F5642D49F6F0739F879098C" descr="塔纹风筝形盾"/>
        <xdr:cNvPicPr>
          <a:picLocks noChangeAspect="1"/>
        </xdr:cNvPicPr>
      </xdr:nvPicPr>
      <xdr:blipFill>
        <a:blip r:embed="rId274" r:link="rId2"/>
        <a:stretch>
          <a:fillRect/>
        </a:stretch>
      </xdr:blipFill>
      <xdr:spPr>
        <a:xfrm>
          <a:off x="0" y="27659330"/>
          <a:ext cx="762000" cy="952500"/>
        </a:xfrm>
        <a:prstGeom prst="rect">
          <a:avLst/>
        </a:prstGeom>
        <a:noFill/>
        <a:ln w="9525">
          <a:noFill/>
        </a:ln>
      </xdr:spPr>
    </xdr:pic>
  </etc:cellImage>
  <etc:cellImage>
    <xdr:pic>
      <xdr:nvPicPr>
        <xdr:cNvPr id="47" name="ID_34072ED7754C421A8384AAC947DB0BD7" descr="太阳纹盾"/>
        <xdr:cNvPicPr>
          <a:picLocks noChangeAspect="1"/>
        </xdr:cNvPicPr>
      </xdr:nvPicPr>
      <xdr:blipFill>
        <a:blip r:embed="rId275" r:link="rId2"/>
        <a:stretch>
          <a:fillRect/>
        </a:stretch>
      </xdr:blipFill>
      <xdr:spPr>
        <a:xfrm>
          <a:off x="0" y="26705560"/>
          <a:ext cx="762000" cy="952500"/>
        </a:xfrm>
        <a:prstGeom prst="rect">
          <a:avLst/>
        </a:prstGeom>
        <a:noFill/>
        <a:ln w="9525">
          <a:noFill/>
        </a:ln>
      </xdr:spPr>
    </xdr:pic>
  </etc:cellImage>
  <etc:cellImage>
    <xdr:pic>
      <xdr:nvPicPr>
        <xdr:cNvPr id="48" name="ID_17643440DE0748499582F593D1A870B0" descr="骑士盾"/>
        <xdr:cNvPicPr>
          <a:picLocks noChangeAspect="1"/>
        </xdr:cNvPicPr>
      </xdr:nvPicPr>
      <xdr:blipFill>
        <a:blip r:embed="rId276" r:link="rId2"/>
        <a:stretch>
          <a:fillRect/>
        </a:stretch>
      </xdr:blipFill>
      <xdr:spPr>
        <a:xfrm>
          <a:off x="0" y="25751790"/>
          <a:ext cx="762000" cy="952500"/>
        </a:xfrm>
        <a:prstGeom prst="rect">
          <a:avLst/>
        </a:prstGeom>
        <a:noFill/>
        <a:ln w="9525">
          <a:noFill/>
        </a:ln>
      </xdr:spPr>
    </xdr:pic>
  </etc:cellImage>
  <etc:cellImage>
    <xdr:pic>
      <xdr:nvPicPr>
        <xdr:cNvPr id="49" name="ID_4007FABE4D1C4667A0125F71403281EF" descr="石像鬼的盾"/>
        <xdr:cNvPicPr>
          <a:picLocks noChangeAspect="1"/>
        </xdr:cNvPicPr>
      </xdr:nvPicPr>
      <xdr:blipFill>
        <a:blip r:embed="rId277" r:link="rId2"/>
        <a:stretch>
          <a:fillRect/>
        </a:stretch>
      </xdr:blipFill>
      <xdr:spPr>
        <a:xfrm>
          <a:off x="0" y="24798020"/>
          <a:ext cx="762000" cy="952500"/>
        </a:xfrm>
        <a:prstGeom prst="rect">
          <a:avLst/>
        </a:prstGeom>
        <a:noFill/>
        <a:ln w="9525">
          <a:noFill/>
        </a:ln>
      </xdr:spPr>
    </xdr:pic>
  </etc:cellImage>
  <etc:cellImage>
    <xdr:pic>
      <xdr:nvPicPr>
        <xdr:cNvPr id="50" name="ID_26D2E87213F248F18B9CFC55EFC6C106"/>
        <xdr:cNvPicPr>
          <a:picLocks noChangeAspect="1"/>
        </xdr:cNvPicPr>
      </xdr:nvPicPr>
      <xdr:blipFill>
        <a:blip r:embed="rId278" r:link="rId2"/>
        <a:stretch>
          <a:fillRect/>
        </a:stretch>
      </xdr:blipFill>
      <xdr:spPr>
        <a:xfrm>
          <a:off x="0" y="23844250"/>
          <a:ext cx="762000" cy="952500"/>
        </a:xfrm>
        <a:prstGeom prst="rect">
          <a:avLst/>
        </a:prstGeom>
        <a:noFill/>
        <a:ln w="9525">
          <a:noFill/>
        </a:ln>
      </xdr:spPr>
    </xdr:pic>
  </etc:cellImage>
  <etc:cellImage>
    <xdr:pic>
      <xdr:nvPicPr>
        <xdr:cNvPr id="51" name="ID_EDB5A44248A94A998CA658BF279CE609" descr="蜘蛛纹盾"/>
        <xdr:cNvPicPr>
          <a:picLocks noChangeAspect="1"/>
        </xdr:cNvPicPr>
      </xdr:nvPicPr>
      <xdr:blipFill>
        <a:blip r:embed="rId279" r:link="rId2"/>
        <a:stretch>
          <a:fillRect/>
        </a:stretch>
      </xdr:blipFill>
      <xdr:spPr>
        <a:xfrm>
          <a:off x="0" y="22890480"/>
          <a:ext cx="762000" cy="952500"/>
        </a:xfrm>
        <a:prstGeom prst="rect">
          <a:avLst/>
        </a:prstGeom>
        <a:noFill/>
        <a:ln w="9525">
          <a:noFill/>
        </a:ln>
      </xdr:spPr>
    </xdr:pic>
  </etc:cellImage>
  <etc:cellImage>
    <xdr:pic>
      <xdr:nvPicPr>
        <xdr:cNvPr id="52" name="ID_2E3C0AB809D74691B7BB9EB36BAC8E1E" descr="铁圆盾​​​​​​​"/>
        <xdr:cNvPicPr>
          <a:picLocks noChangeAspect="1"/>
        </xdr:cNvPicPr>
      </xdr:nvPicPr>
      <xdr:blipFill>
        <a:blip r:embed="rId280" r:link="rId2"/>
        <a:stretch>
          <a:fillRect/>
        </a:stretch>
      </xdr:blipFill>
      <xdr:spPr>
        <a:xfrm>
          <a:off x="0" y="21936710"/>
          <a:ext cx="762000" cy="952500"/>
        </a:xfrm>
        <a:prstGeom prst="rect">
          <a:avLst/>
        </a:prstGeom>
        <a:noFill/>
        <a:ln w="9525">
          <a:noFill/>
        </a:ln>
      </xdr:spPr>
    </xdr:pic>
  </etc:cellImage>
  <etc:cellImage>
    <xdr:pic>
      <xdr:nvPicPr>
        <xdr:cNvPr id="53" name="ID_FCDF41F6FA96480DAB3419FB82FEB7D8" descr="龙徽章盾"/>
        <xdr:cNvPicPr>
          <a:picLocks noChangeAspect="1"/>
        </xdr:cNvPicPr>
      </xdr:nvPicPr>
      <xdr:blipFill>
        <a:blip r:embed="rId281" r:link="rId2"/>
        <a:stretch>
          <a:fillRect/>
        </a:stretch>
      </xdr:blipFill>
      <xdr:spPr>
        <a:xfrm>
          <a:off x="0" y="20982940"/>
          <a:ext cx="762000" cy="952500"/>
        </a:xfrm>
        <a:prstGeom prst="rect">
          <a:avLst/>
        </a:prstGeom>
        <a:noFill/>
        <a:ln w="9525">
          <a:noFill/>
        </a:ln>
      </xdr:spPr>
    </xdr:pic>
  </etc:cellImage>
  <etc:cellImage>
    <xdr:pic>
      <xdr:nvPicPr>
        <xdr:cNvPr id="54" name="ID_FF76AAAC80324EADA2CC8E5177FC14E3" descr="徽章盾​​​​​​​"/>
        <xdr:cNvPicPr>
          <a:picLocks noChangeAspect="1"/>
        </xdr:cNvPicPr>
      </xdr:nvPicPr>
      <xdr:blipFill>
        <a:blip r:embed="rId282" r:link="rId2"/>
        <a:stretch>
          <a:fillRect/>
        </a:stretch>
      </xdr:blipFill>
      <xdr:spPr>
        <a:xfrm>
          <a:off x="0" y="20029170"/>
          <a:ext cx="762000" cy="952500"/>
        </a:xfrm>
        <a:prstGeom prst="rect">
          <a:avLst/>
        </a:prstGeom>
        <a:noFill/>
        <a:ln w="9525">
          <a:noFill/>
        </a:ln>
      </xdr:spPr>
    </xdr:pic>
  </etc:cellImage>
  <etc:cellImage>
    <xdr:pic>
      <xdr:nvPicPr>
        <xdr:cNvPr id="55" name="ID_A8A42CB7D3214AD19D1251E6DA1E8688" descr="熨斗形盾"/>
        <xdr:cNvPicPr>
          <a:picLocks noChangeAspect="1"/>
        </xdr:cNvPicPr>
      </xdr:nvPicPr>
      <xdr:blipFill>
        <a:blip r:embed="rId283" r:link="rId2"/>
        <a:stretch>
          <a:fillRect/>
        </a:stretch>
      </xdr:blipFill>
      <xdr:spPr>
        <a:xfrm>
          <a:off x="0" y="19075400"/>
          <a:ext cx="762000" cy="952500"/>
        </a:xfrm>
        <a:prstGeom prst="rect">
          <a:avLst/>
        </a:prstGeom>
        <a:noFill/>
        <a:ln w="9525">
          <a:noFill/>
        </a:ln>
      </xdr:spPr>
    </xdr:pic>
  </etc:cellImage>
  <etc:cellImage>
    <xdr:pic>
      <xdr:nvPicPr>
        <xdr:cNvPr id="56" name="ID_B4920331A017432C9CF51E92F28C9994" descr="血盾"/>
        <xdr:cNvPicPr>
          <a:picLocks noChangeAspect="1"/>
        </xdr:cNvPicPr>
      </xdr:nvPicPr>
      <xdr:blipFill>
        <a:blip r:embed="rId284" r:link="rId2"/>
        <a:stretch>
          <a:fillRect/>
        </a:stretch>
      </xdr:blipFill>
      <xdr:spPr>
        <a:xfrm>
          <a:off x="0" y="18121630"/>
          <a:ext cx="762000" cy="952500"/>
        </a:xfrm>
        <a:prstGeom prst="rect">
          <a:avLst/>
        </a:prstGeom>
        <a:noFill/>
        <a:ln w="9525">
          <a:noFill/>
        </a:ln>
      </xdr:spPr>
    </xdr:pic>
  </etc:cellImage>
  <etc:cellImage>
    <xdr:pic>
      <xdr:nvPicPr>
        <xdr:cNvPr id="57" name="ID_965BCE897EE44A138239AF6B4D1F22B5" descr="大皮盾"/>
        <xdr:cNvPicPr>
          <a:picLocks noChangeAspect="1"/>
        </xdr:cNvPicPr>
      </xdr:nvPicPr>
      <xdr:blipFill>
        <a:blip r:embed="rId285" r:link="rId2"/>
        <a:stretch>
          <a:fillRect/>
        </a:stretch>
      </xdr:blipFill>
      <xdr:spPr>
        <a:xfrm>
          <a:off x="0" y="17167860"/>
          <a:ext cx="762000" cy="952500"/>
        </a:xfrm>
        <a:prstGeom prst="rect">
          <a:avLst/>
        </a:prstGeom>
        <a:noFill/>
        <a:ln w="9525">
          <a:noFill/>
        </a:ln>
      </xdr:spPr>
    </xdr:pic>
  </etc:cellImage>
  <etc:cellImage>
    <xdr:pic>
      <xdr:nvPicPr>
        <xdr:cNvPr id="58" name="ID_20C3D0ABF6A34C358351CB045E808278" descr="木盾"/>
        <xdr:cNvPicPr>
          <a:picLocks noChangeAspect="1"/>
        </xdr:cNvPicPr>
      </xdr:nvPicPr>
      <xdr:blipFill>
        <a:blip r:embed="rId286" r:link="rId2"/>
        <a:stretch>
          <a:fillRect/>
        </a:stretch>
      </xdr:blipFill>
      <xdr:spPr>
        <a:xfrm>
          <a:off x="0" y="16214090"/>
          <a:ext cx="762000" cy="952500"/>
        </a:xfrm>
        <a:prstGeom prst="rect">
          <a:avLst/>
        </a:prstGeom>
        <a:noFill/>
        <a:ln w="9525">
          <a:noFill/>
        </a:ln>
      </xdr:spPr>
    </xdr:pic>
  </etc:cellImage>
  <etc:cellImage>
    <xdr:pic>
      <xdr:nvPicPr>
        <xdr:cNvPr id="59" name="ID_AC2B43E86D8D450299E5705042044F30" descr="草纹盾"/>
        <xdr:cNvPicPr>
          <a:picLocks noChangeAspect="1"/>
        </xdr:cNvPicPr>
      </xdr:nvPicPr>
      <xdr:blipFill>
        <a:blip r:embed="rId287" r:link="rId2"/>
        <a:stretch>
          <a:fillRect/>
        </a:stretch>
      </xdr:blipFill>
      <xdr:spPr>
        <a:xfrm>
          <a:off x="0" y="15260320"/>
          <a:ext cx="762000" cy="952500"/>
        </a:xfrm>
        <a:prstGeom prst="rect">
          <a:avLst/>
        </a:prstGeom>
        <a:noFill/>
        <a:ln w="9525">
          <a:noFill/>
        </a:ln>
      </xdr:spPr>
    </xdr:pic>
  </etc:cellImage>
  <etc:cellImage>
    <xdr:pic>
      <xdr:nvPicPr>
        <xdr:cNvPr id="60" name="ID_7B96F107DDEA44078E8018891F485501" descr="圣者的盾"/>
        <xdr:cNvPicPr>
          <a:picLocks noChangeAspect="1"/>
        </xdr:cNvPicPr>
      </xdr:nvPicPr>
      <xdr:blipFill>
        <a:blip r:embed="rId288" r:link="rId2"/>
        <a:stretch>
          <a:fillRect/>
        </a:stretch>
      </xdr:blipFill>
      <xdr:spPr>
        <a:xfrm>
          <a:off x="0" y="14306550"/>
          <a:ext cx="762000" cy="952500"/>
        </a:xfrm>
        <a:prstGeom prst="rect">
          <a:avLst/>
        </a:prstGeom>
        <a:noFill/>
        <a:ln w="9525">
          <a:noFill/>
        </a:ln>
      </xdr:spPr>
    </xdr:pic>
  </etc:cellImage>
  <etc:cellImage>
    <xdr:pic>
      <xdr:nvPicPr>
        <xdr:cNvPr id="61" name="ID_5C38CD0A879F46C7BED4987872203789" descr="突刺盾"/>
        <xdr:cNvPicPr>
          <a:picLocks noChangeAspect="1"/>
        </xdr:cNvPicPr>
      </xdr:nvPicPr>
      <xdr:blipFill>
        <a:blip r:embed="rId289" r:link="rId2"/>
        <a:stretch>
          <a:fillRect/>
        </a:stretch>
      </xdr:blipFill>
      <xdr:spPr>
        <a:xfrm>
          <a:off x="0" y="13352780"/>
          <a:ext cx="762000" cy="952500"/>
        </a:xfrm>
        <a:prstGeom prst="rect">
          <a:avLst/>
        </a:prstGeom>
        <a:noFill/>
        <a:ln w="9525">
          <a:noFill/>
        </a:ln>
      </xdr:spPr>
    </xdr:pic>
  </etc:cellImage>
  <etc:cellImage>
    <xdr:pic>
      <xdr:nvPicPr>
        <xdr:cNvPr id="62" name="ID_16A4B3E9BDEA4839959C8E746A5F0A47" descr="刺针盾"/>
        <xdr:cNvPicPr>
          <a:picLocks noChangeAspect="1"/>
        </xdr:cNvPicPr>
      </xdr:nvPicPr>
      <xdr:blipFill>
        <a:blip r:embed="rId290" r:link="rId2"/>
        <a:stretch>
          <a:fillRect/>
        </a:stretch>
      </xdr:blipFill>
      <xdr:spPr>
        <a:xfrm>
          <a:off x="0" y="12399010"/>
          <a:ext cx="762000" cy="952500"/>
        </a:xfrm>
        <a:prstGeom prst="rect">
          <a:avLst/>
        </a:prstGeom>
        <a:noFill/>
        <a:ln w="9525">
          <a:noFill/>
        </a:ln>
      </xdr:spPr>
    </xdr:pic>
  </etc:cellImage>
  <etc:cellImage>
    <xdr:pic>
      <xdr:nvPicPr>
        <xdr:cNvPr id="63" name="ID_CDBD62D6334648F796C3C3B225DB1737" descr="双鸟纹木盾"/>
        <xdr:cNvPicPr>
          <a:picLocks noChangeAspect="1"/>
        </xdr:cNvPicPr>
      </xdr:nvPicPr>
      <xdr:blipFill>
        <a:blip r:embed="rId291" r:link="rId2"/>
        <a:stretch>
          <a:fillRect/>
        </a:stretch>
      </xdr:blipFill>
      <xdr:spPr>
        <a:xfrm>
          <a:off x="0" y="11445240"/>
          <a:ext cx="762000" cy="952500"/>
        </a:xfrm>
        <a:prstGeom prst="rect">
          <a:avLst/>
        </a:prstGeom>
        <a:noFill/>
        <a:ln w="9525">
          <a:noFill/>
        </a:ln>
      </xdr:spPr>
    </xdr:pic>
  </etc:cellImage>
  <etc:cellImage>
    <xdr:pic>
      <xdr:nvPicPr>
        <xdr:cNvPr id="64" name="ID_D96EADB64DAF4CFCAD180096D431FFAF" descr="邪神的盾"/>
        <xdr:cNvPicPr>
          <a:picLocks noChangeAspect="1"/>
        </xdr:cNvPicPr>
      </xdr:nvPicPr>
      <xdr:blipFill>
        <a:blip r:embed="rId292" r:link="rId2"/>
        <a:stretch>
          <a:fillRect/>
        </a:stretch>
      </xdr:blipFill>
      <xdr:spPr>
        <a:xfrm>
          <a:off x="0" y="10491470"/>
          <a:ext cx="762000" cy="952500"/>
        </a:xfrm>
        <a:prstGeom prst="rect">
          <a:avLst/>
        </a:prstGeom>
        <a:noFill/>
        <a:ln w="9525">
          <a:noFill/>
        </a:ln>
      </xdr:spPr>
    </xdr:pic>
  </etc:cellImage>
  <etc:cellImage>
    <xdr:pic>
      <xdr:nvPicPr>
        <xdr:cNvPr id="65" name="ID_EC17DF87D576476CA5168868327B6770" descr="团牌"/>
        <xdr:cNvPicPr>
          <a:picLocks noChangeAspect="1"/>
        </xdr:cNvPicPr>
      </xdr:nvPicPr>
      <xdr:blipFill>
        <a:blip r:embed="rId293" r:link="rId2"/>
        <a:stretch>
          <a:fillRect/>
        </a:stretch>
      </xdr:blipFill>
      <xdr:spPr>
        <a:xfrm>
          <a:off x="0" y="9537700"/>
          <a:ext cx="762000" cy="952500"/>
        </a:xfrm>
        <a:prstGeom prst="rect">
          <a:avLst/>
        </a:prstGeom>
        <a:noFill/>
        <a:ln w="9525">
          <a:noFill/>
        </a:ln>
      </xdr:spPr>
    </xdr:pic>
  </etc:cellImage>
  <etc:cellImage>
    <xdr:pic>
      <xdr:nvPicPr>
        <xdr:cNvPr id="66" name="ID_62C85434E4684AA0834004B633C0E817" descr="木板盾"/>
        <xdr:cNvPicPr>
          <a:picLocks noChangeAspect="1"/>
        </xdr:cNvPicPr>
      </xdr:nvPicPr>
      <xdr:blipFill>
        <a:blip r:embed="rId294" r:link="rId2"/>
        <a:stretch>
          <a:fillRect/>
        </a:stretch>
      </xdr:blipFill>
      <xdr:spPr>
        <a:xfrm>
          <a:off x="0" y="8583930"/>
          <a:ext cx="762000" cy="952500"/>
        </a:xfrm>
        <a:prstGeom prst="rect">
          <a:avLst/>
        </a:prstGeom>
        <a:noFill/>
        <a:ln w="9525">
          <a:noFill/>
        </a:ln>
      </xdr:spPr>
    </xdr:pic>
  </etc:cellImage>
  <etc:cellImage>
    <xdr:pic>
      <xdr:nvPicPr>
        <xdr:cNvPr id="67" name="ID_E64D607F423E469994E9FE16535C539B" descr="皮盾"/>
        <xdr:cNvPicPr>
          <a:picLocks noChangeAspect="1"/>
        </xdr:cNvPicPr>
      </xdr:nvPicPr>
      <xdr:blipFill>
        <a:blip r:embed="rId295" r:link="rId2"/>
        <a:stretch>
          <a:fillRect/>
        </a:stretch>
      </xdr:blipFill>
      <xdr:spPr>
        <a:xfrm>
          <a:off x="0" y="7630160"/>
          <a:ext cx="762000" cy="952500"/>
        </a:xfrm>
        <a:prstGeom prst="rect">
          <a:avLst/>
        </a:prstGeom>
        <a:noFill/>
        <a:ln w="9525">
          <a:noFill/>
        </a:ln>
      </xdr:spPr>
    </xdr:pic>
  </etc:cellImage>
  <etc:cellImage>
    <xdr:pic>
      <xdr:nvPicPr>
        <xdr:cNvPr id="68" name="ID_6C788F00983E4321A6E433A601AA3AEB" descr="结晶环盾"/>
        <xdr:cNvPicPr>
          <a:picLocks noChangeAspect="1"/>
        </xdr:cNvPicPr>
      </xdr:nvPicPr>
      <xdr:blipFill>
        <a:blip r:embed="rId296" r:link="rId2"/>
        <a:stretch>
          <a:fillRect/>
        </a:stretch>
      </xdr:blipFill>
      <xdr:spPr>
        <a:xfrm>
          <a:off x="635" y="6687185"/>
          <a:ext cx="762000" cy="952500"/>
        </a:xfrm>
        <a:prstGeom prst="rect">
          <a:avLst/>
        </a:prstGeom>
        <a:noFill/>
        <a:ln w="9525">
          <a:noFill/>
        </a:ln>
      </xdr:spPr>
    </xdr:pic>
  </etc:cellImage>
  <etc:cellImage>
    <xdr:pic>
      <xdr:nvPicPr>
        <xdr:cNvPr id="69" name="ID_0541B5C71BC3477C98D65160782BD9E1" descr="小圆盾"/>
        <xdr:cNvPicPr>
          <a:picLocks noChangeAspect="1"/>
        </xdr:cNvPicPr>
      </xdr:nvPicPr>
      <xdr:blipFill>
        <a:blip r:embed="rId297" r:link="rId2"/>
        <a:stretch>
          <a:fillRect/>
        </a:stretch>
      </xdr:blipFill>
      <xdr:spPr>
        <a:xfrm>
          <a:off x="0" y="5722620"/>
          <a:ext cx="762000" cy="952500"/>
        </a:xfrm>
        <a:prstGeom prst="rect">
          <a:avLst/>
        </a:prstGeom>
        <a:noFill/>
        <a:ln w="9525">
          <a:noFill/>
        </a:ln>
      </xdr:spPr>
    </xdr:pic>
  </etc:cellImage>
  <etc:cellImage>
    <xdr:pic>
      <xdr:nvPicPr>
        <xdr:cNvPr id="70" name="ID_B81EA170FC704548B5B3F4FB94EBE828" descr="红白圆盾"/>
        <xdr:cNvPicPr>
          <a:picLocks noChangeAspect="1"/>
        </xdr:cNvPicPr>
      </xdr:nvPicPr>
      <xdr:blipFill>
        <a:blip r:embed="rId298" r:link="rId2"/>
        <a:stretch>
          <a:fillRect/>
        </a:stretch>
      </xdr:blipFill>
      <xdr:spPr>
        <a:xfrm>
          <a:off x="0" y="4768850"/>
          <a:ext cx="762000" cy="952500"/>
        </a:xfrm>
        <a:prstGeom prst="rect">
          <a:avLst/>
        </a:prstGeom>
        <a:noFill/>
        <a:ln w="9525">
          <a:noFill/>
        </a:ln>
      </xdr:spPr>
    </xdr:pic>
  </etc:cellImage>
  <etc:cellImage>
    <xdr:pic>
      <xdr:nvPicPr>
        <xdr:cNvPr id="71" name="ID_024D7AFE5330471884F2B14693829D3D" descr="双蛇纹圆盾"/>
        <xdr:cNvPicPr>
          <a:picLocks noChangeAspect="1"/>
        </xdr:cNvPicPr>
      </xdr:nvPicPr>
      <xdr:blipFill>
        <a:blip r:embed="rId299" r:link="rId2"/>
        <a:stretch>
          <a:fillRect/>
        </a:stretch>
      </xdr:blipFill>
      <xdr:spPr>
        <a:xfrm>
          <a:off x="0" y="3815080"/>
          <a:ext cx="762000" cy="952500"/>
        </a:xfrm>
        <a:prstGeom prst="rect">
          <a:avLst/>
        </a:prstGeom>
        <a:noFill/>
        <a:ln w="9525">
          <a:noFill/>
        </a:ln>
      </xdr:spPr>
    </xdr:pic>
  </etc:cellImage>
  <etc:cellImage>
    <xdr:pic>
      <xdr:nvPicPr>
        <xdr:cNvPr id="72" name="ID_504712FE728645A69C1D0688CCD6C957" descr="战士圆盾"/>
        <xdr:cNvPicPr>
          <a:picLocks noChangeAspect="1"/>
        </xdr:cNvPicPr>
      </xdr:nvPicPr>
      <xdr:blipFill>
        <a:blip r:embed="rId300" r:link="rId2"/>
        <a:stretch>
          <a:fillRect/>
        </a:stretch>
      </xdr:blipFill>
      <xdr:spPr>
        <a:xfrm>
          <a:off x="0" y="2861310"/>
          <a:ext cx="762000" cy="952500"/>
        </a:xfrm>
        <a:prstGeom prst="rect">
          <a:avLst/>
        </a:prstGeom>
        <a:noFill/>
        <a:ln w="9525">
          <a:noFill/>
        </a:ln>
      </xdr:spPr>
    </xdr:pic>
  </etc:cellImage>
  <etc:cellImage>
    <xdr:pic>
      <xdr:nvPicPr>
        <xdr:cNvPr id="73" name="ID_963859925296478F96D02F3664088B2E" descr="小皮盾"/>
        <xdr:cNvPicPr>
          <a:picLocks noChangeAspect="1"/>
        </xdr:cNvPicPr>
      </xdr:nvPicPr>
      <xdr:blipFill>
        <a:blip r:embed="rId301" r:link="rId2"/>
        <a:stretch>
          <a:fillRect/>
        </a:stretch>
      </xdr:blipFill>
      <xdr:spPr>
        <a:xfrm>
          <a:off x="0" y="1907540"/>
          <a:ext cx="762000" cy="952500"/>
        </a:xfrm>
        <a:prstGeom prst="rect">
          <a:avLst/>
        </a:prstGeom>
        <a:noFill/>
        <a:ln w="9525">
          <a:noFill/>
        </a:ln>
      </xdr:spPr>
    </xdr:pic>
  </etc:cellImage>
  <etc:cellImage>
    <xdr:pic>
      <xdr:nvPicPr>
        <xdr:cNvPr id="74" name="ID_4D2EB7EC178F4B05B92880D98FA7DCAD" descr="快毁损的木盾"/>
        <xdr:cNvPicPr>
          <a:picLocks noChangeAspect="1"/>
        </xdr:cNvPicPr>
      </xdr:nvPicPr>
      <xdr:blipFill>
        <a:blip r:embed="rId302" r:link="rId2"/>
        <a:stretch>
          <a:fillRect/>
        </a:stretch>
      </xdr:blipFill>
      <xdr:spPr>
        <a:xfrm>
          <a:off x="0" y="953770"/>
          <a:ext cx="762000" cy="952500"/>
        </a:xfrm>
        <a:prstGeom prst="rect">
          <a:avLst/>
        </a:prstGeom>
        <a:noFill/>
        <a:ln w="9525">
          <a:noFill/>
        </a:ln>
      </xdr:spPr>
    </xdr:pic>
  </etc:cellImage>
  <etc:cellImage>
    <xdr:pic>
      <xdr:nvPicPr>
        <xdr:cNvPr id="75" name="ID_98E44CD3CA8C44DFB875C1792068D1BD" descr="201805251653413822"/>
        <xdr:cNvPicPr>
          <a:picLocks noChangeAspect="1"/>
        </xdr:cNvPicPr>
      </xdr:nvPicPr>
      <xdr:blipFill>
        <a:blip r:embed="rId303"/>
        <a:stretch>
          <a:fillRect/>
        </a:stretch>
      </xdr:blipFill>
      <xdr:spPr>
        <a:xfrm>
          <a:off x="5934075" y="1990725"/>
          <a:ext cx="1714500" cy="3314700"/>
        </a:xfrm>
        <a:prstGeom prst="rect">
          <a:avLst/>
        </a:prstGeom>
      </xdr:spPr>
    </xdr:pic>
  </etc:cellImage>
  <etc:cellImage>
    <xdr:pic>
      <xdr:nvPicPr>
        <xdr:cNvPr id="76" name="ID_C0DD5479C19C475D865E48B7542DCDA2" descr="201805251655240344"/>
        <xdr:cNvPicPr>
          <a:picLocks noChangeAspect="1"/>
        </xdr:cNvPicPr>
      </xdr:nvPicPr>
      <xdr:blipFill>
        <a:blip r:embed="rId304"/>
        <a:stretch>
          <a:fillRect/>
        </a:stretch>
      </xdr:blipFill>
      <xdr:spPr>
        <a:xfrm>
          <a:off x="514350" y="1085850"/>
          <a:ext cx="1714500" cy="3314700"/>
        </a:xfrm>
        <a:prstGeom prst="rect">
          <a:avLst/>
        </a:prstGeom>
      </xdr:spPr>
    </xdr:pic>
  </etc:cellImage>
  <etc:cellImage>
    <xdr:pic>
      <xdr:nvPicPr>
        <xdr:cNvPr id="79" name="ID_3D18BBDB7370400D90E884EF0BA2FB50" descr="201805251656124897"/>
        <xdr:cNvPicPr>
          <a:picLocks noChangeAspect="1"/>
        </xdr:cNvPicPr>
      </xdr:nvPicPr>
      <xdr:blipFill>
        <a:blip r:embed="rId305"/>
        <a:stretch>
          <a:fillRect/>
        </a:stretch>
      </xdr:blipFill>
      <xdr:spPr>
        <a:xfrm>
          <a:off x="895350" y="3238500"/>
          <a:ext cx="1714500" cy="3314700"/>
        </a:xfrm>
        <a:prstGeom prst="rect">
          <a:avLst/>
        </a:prstGeom>
      </xdr:spPr>
    </xdr:pic>
  </etc:cellImage>
  <etc:cellImage>
    <xdr:pic>
      <xdr:nvPicPr>
        <xdr:cNvPr id="80" name="ID_EE9D1D09D8004F9FBB6B1ECF3AC1DCDF" descr="201805251657118642"/>
        <xdr:cNvPicPr>
          <a:picLocks noChangeAspect="1"/>
        </xdr:cNvPicPr>
      </xdr:nvPicPr>
      <xdr:blipFill>
        <a:blip r:embed="rId306"/>
        <a:stretch>
          <a:fillRect/>
        </a:stretch>
      </xdr:blipFill>
      <xdr:spPr>
        <a:xfrm>
          <a:off x="4286250" y="2257425"/>
          <a:ext cx="1714500" cy="3314700"/>
        </a:xfrm>
        <a:prstGeom prst="rect">
          <a:avLst/>
        </a:prstGeom>
      </xdr:spPr>
    </xdr:pic>
  </etc:cellImage>
  <etc:cellImage>
    <xdr:pic>
      <xdr:nvPicPr>
        <xdr:cNvPr id="82" name="ID_B61F478A4AB8463196D451E083EB1428" descr="201805251700124873"/>
        <xdr:cNvPicPr>
          <a:picLocks noChangeAspect="1"/>
        </xdr:cNvPicPr>
      </xdr:nvPicPr>
      <xdr:blipFill>
        <a:blip r:embed="rId307"/>
        <a:stretch>
          <a:fillRect/>
        </a:stretch>
      </xdr:blipFill>
      <xdr:spPr>
        <a:xfrm>
          <a:off x="590550" y="4905375"/>
          <a:ext cx="1714500" cy="3257550"/>
        </a:xfrm>
        <a:prstGeom prst="rect">
          <a:avLst/>
        </a:prstGeom>
      </xdr:spPr>
    </xdr:pic>
  </etc:cellImage>
  <etc:cellImage>
    <xdr:pic>
      <xdr:nvPicPr>
        <xdr:cNvPr id="83" name="ID_6FEA53DC24564C639E18C1D0B6010CE6" descr="201805251700480162"/>
        <xdr:cNvPicPr>
          <a:picLocks noChangeAspect="1"/>
        </xdr:cNvPicPr>
      </xdr:nvPicPr>
      <xdr:blipFill>
        <a:blip r:embed="rId308"/>
        <a:stretch>
          <a:fillRect/>
        </a:stretch>
      </xdr:blipFill>
      <xdr:spPr>
        <a:xfrm>
          <a:off x="3495675" y="6838950"/>
          <a:ext cx="1714500" cy="3257550"/>
        </a:xfrm>
        <a:prstGeom prst="rect">
          <a:avLst/>
        </a:prstGeom>
      </xdr:spPr>
    </xdr:pic>
  </etc:cellImage>
  <etc:cellImage>
    <xdr:pic>
      <xdr:nvPicPr>
        <xdr:cNvPr id="84" name="ID_9225D91D15D5455FB0485F1E3CDF41FA" descr="201805251705483422"/>
        <xdr:cNvPicPr>
          <a:picLocks noChangeAspect="1"/>
        </xdr:cNvPicPr>
      </xdr:nvPicPr>
      <xdr:blipFill>
        <a:blip r:embed="rId309"/>
        <a:stretch>
          <a:fillRect/>
        </a:stretch>
      </xdr:blipFill>
      <xdr:spPr>
        <a:xfrm>
          <a:off x="581025" y="7381875"/>
          <a:ext cx="1714500" cy="3257550"/>
        </a:xfrm>
        <a:prstGeom prst="rect">
          <a:avLst/>
        </a:prstGeom>
      </xdr:spPr>
    </xdr:pic>
  </etc:cellImage>
  <etc:cellImage>
    <xdr:pic>
      <xdr:nvPicPr>
        <xdr:cNvPr id="85" name="ID_77287D6F5DE1487D9E16E783736D9DDE" descr="201805251706236299"/>
        <xdr:cNvPicPr>
          <a:picLocks noChangeAspect="1"/>
        </xdr:cNvPicPr>
      </xdr:nvPicPr>
      <xdr:blipFill>
        <a:blip r:embed="rId310"/>
        <a:stretch>
          <a:fillRect/>
        </a:stretch>
      </xdr:blipFill>
      <xdr:spPr>
        <a:xfrm>
          <a:off x="485775" y="8315325"/>
          <a:ext cx="1714500" cy="3314700"/>
        </a:xfrm>
        <a:prstGeom prst="rect">
          <a:avLst/>
        </a:prstGeom>
      </xdr:spPr>
    </xdr:pic>
  </etc:cellImage>
  <etc:cellImage>
    <xdr:pic>
      <xdr:nvPicPr>
        <xdr:cNvPr id="86" name="ID_C6DC65AC0E2249AAAEC6EAAC98558705" descr="201805251707376265"/>
        <xdr:cNvPicPr>
          <a:picLocks noChangeAspect="1"/>
        </xdr:cNvPicPr>
      </xdr:nvPicPr>
      <xdr:blipFill>
        <a:blip r:embed="rId311"/>
        <a:stretch>
          <a:fillRect/>
        </a:stretch>
      </xdr:blipFill>
      <xdr:spPr>
        <a:xfrm>
          <a:off x="400050" y="8734425"/>
          <a:ext cx="1714500" cy="3314700"/>
        </a:xfrm>
        <a:prstGeom prst="rect">
          <a:avLst/>
        </a:prstGeom>
      </xdr:spPr>
    </xdr:pic>
  </etc:cellImage>
  <etc:cellImage>
    <xdr:pic>
      <xdr:nvPicPr>
        <xdr:cNvPr id="87" name="ID_78EAA1F8A0C84D7792C075BABA9D157D" descr="201805251708592822"/>
        <xdr:cNvPicPr>
          <a:picLocks noChangeAspect="1"/>
        </xdr:cNvPicPr>
      </xdr:nvPicPr>
      <xdr:blipFill>
        <a:blip r:embed="rId312"/>
        <a:stretch>
          <a:fillRect/>
        </a:stretch>
      </xdr:blipFill>
      <xdr:spPr>
        <a:xfrm>
          <a:off x="352425" y="10229850"/>
          <a:ext cx="1714500" cy="3314700"/>
        </a:xfrm>
        <a:prstGeom prst="rect">
          <a:avLst/>
        </a:prstGeom>
      </xdr:spPr>
    </xdr:pic>
  </etc:cellImage>
  <etc:cellImage>
    <xdr:pic>
      <xdr:nvPicPr>
        <xdr:cNvPr id="88" name="ID_730C1CB878BB454D81C6D0ACEAE59F39" descr="201805251710051209"/>
        <xdr:cNvPicPr>
          <a:picLocks noChangeAspect="1"/>
        </xdr:cNvPicPr>
      </xdr:nvPicPr>
      <xdr:blipFill>
        <a:blip r:embed="rId313"/>
        <a:stretch>
          <a:fillRect/>
        </a:stretch>
      </xdr:blipFill>
      <xdr:spPr>
        <a:xfrm>
          <a:off x="371475" y="12058650"/>
          <a:ext cx="1714500" cy="3314700"/>
        </a:xfrm>
        <a:prstGeom prst="rect">
          <a:avLst/>
        </a:prstGeom>
      </xdr:spPr>
    </xdr:pic>
  </etc:cellImage>
  <etc:cellImage>
    <xdr:pic>
      <xdr:nvPicPr>
        <xdr:cNvPr id="89" name="ID_9793C0779DE04492B6D53A22D5AC2D79" descr="201805251710502755"/>
        <xdr:cNvPicPr>
          <a:picLocks noChangeAspect="1"/>
        </xdr:cNvPicPr>
      </xdr:nvPicPr>
      <xdr:blipFill>
        <a:blip r:embed="rId314"/>
        <a:stretch>
          <a:fillRect/>
        </a:stretch>
      </xdr:blipFill>
      <xdr:spPr>
        <a:xfrm>
          <a:off x="314325" y="13658850"/>
          <a:ext cx="2286000" cy="4051300"/>
        </a:xfrm>
        <a:prstGeom prst="rect">
          <a:avLst/>
        </a:prstGeom>
      </xdr:spPr>
    </xdr:pic>
  </etc:cellImage>
  <etc:cellImage>
    <xdr:pic>
      <xdr:nvPicPr>
        <xdr:cNvPr id="90" name="ID_675DED55C2E94E09885F46128D3CB9B9" descr="201805251711241079"/>
        <xdr:cNvPicPr>
          <a:picLocks noChangeAspect="1"/>
        </xdr:cNvPicPr>
      </xdr:nvPicPr>
      <xdr:blipFill>
        <a:blip r:embed="rId315"/>
        <a:stretch>
          <a:fillRect/>
        </a:stretch>
      </xdr:blipFill>
      <xdr:spPr>
        <a:xfrm>
          <a:off x="352425" y="15211425"/>
          <a:ext cx="1714500" cy="3314700"/>
        </a:xfrm>
        <a:prstGeom prst="rect">
          <a:avLst/>
        </a:prstGeom>
      </xdr:spPr>
    </xdr:pic>
  </etc:cellImage>
  <etc:cellImage>
    <xdr:pic>
      <xdr:nvPicPr>
        <xdr:cNvPr id="91" name="ID_2C3D0792E5EF4FCD829DDE009431CB6C" descr="201805251712116464"/>
        <xdr:cNvPicPr>
          <a:picLocks noChangeAspect="1"/>
        </xdr:cNvPicPr>
      </xdr:nvPicPr>
      <xdr:blipFill>
        <a:blip r:embed="rId316"/>
        <a:stretch>
          <a:fillRect/>
        </a:stretch>
      </xdr:blipFill>
      <xdr:spPr>
        <a:xfrm>
          <a:off x="342900" y="16535400"/>
          <a:ext cx="1714500" cy="3314700"/>
        </a:xfrm>
        <a:prstGeom prst="rect">
          <a:avLst/>
        </a:prstGeom>
      </xdr:spPr>
    </xdr:pic>
  </etc:cellImage>
  <etc:cellImage>
    <xdr:pic>
      <xdr:nvPicPr>
        <xdr:cNvPr id="92" name="ID_1BA42B586482403B8F96582D3A8799A5" descr="201805251714142456"/>
        <xdr:cNvPicPr>
          <a:picLocks noChangeAspect="1"/>
        </xdr:cNvPicPr>
      </xdr:nvPicPr>
      <xdr:blipFill>
        <a:blip r:embed="rId317"/>
        <a:stretch>
          <a:fillRect/>
        </a:stretch>
      </xdr:blipFill>
      <xdr:spPr>
        <a:xfrm>
          <a:off x="209550" y="17764125"/>
          <a:ext cx="1714500" cy="3314700"/>
        </a:xfrm>
        <a:prstGeom prst="rect">
          <a:avLst/>
        </a:prstGeom>
      </xdr:spPr>
    </xdr:pic>
  </etc:cellImage>
  <etc:cellImage>
    <xdr:pic>
      <xdr:nvPicPr>
        <xdr:cNvPr id="93" name="ID_25C759054FDB441780C2093ECD95432D" descr="201805251715183829"/>
        <xdr:cNvPicPr>
          <a:picLocks noChangeAspect="1"/>
        </xdr:cNvPicPr>
      </xdr:nvPicPr>
      <xdr:blipFill>
        <a:blip r:embed="rId318"/>
        <a:stretch>
          <a:fillRect/>
        </a:stretch>
      </xdr:blipFill>
      <xdr:spPr>
        <a:xfrm>
          <a:off x="333375" y="19030950"/>
          <a:ext cx="1714500" cy="3314700"/>
        </a:xfrm>
        <a:prstGeom prst="rect">
          <a:avLst/>
        </a:prstGeom>
      </xdr:spPr>
    </xdr:pic>
  </etc:cellImage>
  <etc:cellImage>
    <xdr:pic>
      <xdr:nvPicPr>
        <xdr:cNvPr id="94" name="ID_AD61F2CE8B064AAA99E0C34F85E89883" descr="201805251715455087"/>
        <xdr:cNvPicPr>
          <a:picLocks noChangeAspect="1"/>
        </xdr:cNvPicPr>
      </xdr:nvPicPr>
      <xdr:blipFill>
        <a:blip r:embed="rId319"/>
        <a:stretch>
          <a:fillRect/>
        </a:stretch>
      </xdr:blipFill>
      <xdr:spPr>
        <a:xfrm>
          <a:off x="247650" y="20278725"/>
          <a:ext cx="1714500" cy="3314700"/>
        </a:xfrm>
        <a:prstGeom prst="rect">
          <a:avLst/>
        </a:prstGeom>
      </xdr:spPr>
    </xdr:pic>
  </etc:cellImage>
  <etc:cellImage>
    <xdr:pic>
      <xdr:nvPicPr>
        <xdr:cNvPr id="95" name="ID_4740CCD9621F4C4EB6F1E18AD04B9A71" descr="201805251716197862"/>
        <xdr:cNvPicPr>
          <a:picLocks noChangeAspect="1"/>
        </xdr:cNvPicPr>
      </xdr:nvPicPr>
      <xdr:blipFill>
        <a:blip r:embed="rId320"/>
        <a:stretch>
          <a:fillRect/>
        </a:stretch>
      </xdr:blipFill>
      <xdr:spPr>
        <a:xfrm>
          <a:off x="266700" y="21393150"/>
          <a:ext cx="1714500" cy="3314700"/>
        </a:xfrm>
        <a:prstGeom prst="rect">
          <a:avLst/>
        </a:prstGeom>
      </xdr:spPr>
    </xdr:pic>
  </etc:cellImage>
  <etc:cellImage>
    <xdr:pic>
      <xdr:nvPicPr>
        <xdr:cNvPr id="96" name="ID_B2115A130B234A58810C8FF61DEA0C34" descr="201805251717025573"/>
        <xdr:cNvPicPr>
          <a:picLocks noChangeAspect="1"/>
        </xdr:cNvPicPr>
      </xdr:nvPicPr>
      <xdr:blipFill>
        <a:blip r:embed="rId321"/>
        <a:stretch>
          <a:fillRect/>
        </a:stretch>
      </xdr:blipFill>
      <xdr:spPr>
        <a:xfrm>
          <a:off x="438150" y="22498050"/>
          <a:ext cx="1714500" cy="3257550"/>
        </a:xfrm>
        <a:prstGeom prst="rect">
          <a:avLst/>
        </a:prstGeom>
      </xdr:spPr>
    </xdr:pic>
  </etc:cellImage>
  <etc:cellImage>
    <xdr:pic>
      <xdr:nvPicPr>
        <xdr:cNvPr id="97" name="ID_A65BBF1E0BA8404D900F9BCD55EC5499" descr="201805251718019831"/>
        <xdr:cNvPicPr>
          <a:picLocks noChangeAspect="1"/>
        </xdr:cNvPicPr>
      </xdr:nvPicPr>
      <xdr:blipFill>
        <a:blip r:embed="rId322"/>
        <a:stretch>
          <a:fillRect/>
        </a:stretch>
      </xdr:blipFill>
      <xdr:spPr>
        <a:xfrm>
          <a:off x="361950" y="23926800"/>
          <a:ext cx="1714500" cy="3257550"/>
        </a:xfrm>
        <a:prstGeom prst="rect">
          <a:avLst/>
        </a:prstGeom>
      </xdr:spPr>
    </xdr:pic>
  </etc:cellImage>
  <etc:cellImage>
    <xdr:pic>
      <xdr:nvPicPr>
        <xdr:cNvPr id="98" name="ID_4B97E1C012124FB58E1B4806115241E6" descr="201805251718321410"/>
        <xdr:cNvPicPr>
          <a:picLocks noChangeAspect="1"/>
        </xdr:cNvPicPr>
      </xdr:nvPicPr>
      <xdr:blipFill>
        <a:blip r:embed="rId323"/>
        <a:stretch>
          <a:fillRect/>
        </a:stretch>
      </xdr:blipFill>
      <xdr:spPr>
        <a:xfrm>
          <a:off x="457200" y="25326975"/>
          <a:ext cx="1714500" cy="3314700"/>
        </a:xfrm>
        <a:prstGeom prst="rect">
          <a:avLst/>
        </a:prstGeom>
      </xdr:spPr>
    </xdr:pic>
  </etc:cellImage>
  <etc:cellImage>
    <xdr:pic>
      <xdr:nvPicPr>
        <xdr:cNvPr id="99" name="ID_A7E9F5FDA9AC4717BBAA1DD03CEC46DE" descr="201805251719196311"/>
        <xdr:cNvPicPr>
          <a:picLocks noChangeAspect="1"/>
        </xdr:cNvPicPr>
      </xdr:nvPicPr>
      <xdr:blipFill>
        <a:blip r:embed="rId324"/>
        <a:stretch>
          <a:fillRect/>
        </a:stretch>
      </xdr:blipFill>
      <xdr:spPr>
        <a:xfrm>
          <a:off x="457200" y="26536650"/>
          <a:ext cx="1714500" cy="3257550"/>
        </a:xfrm>
        <a:prstGeom prst="rect">
          <a:avLst/>
        </a:prstGeom>
      </xdr:spPr>
    </xdr:pic>
  </etc:cellImage>
  <etc:cellImage>
    <xdr:pic>
      <xdr:nvPicPr>
        <xdr:cNvPr id="100" name="ID_53BE345B2D304630907E4B21126D01BF" descr="201805251720040290"/>
        <xdr:cNvPicPr>
          <a:picLocks noChangeAspect="1"/>
        </xdr:cNvPicPr>
      </xdr:nvPicPr>
      <xdr:blipFill>
        <a:blip r:embed="rId325"/>
        <a:stretch>
          <a:fillRect/>
        </a:stretch>
      </xdr:blipFill>
      <xdr:spPr>
        <a:xfrm>
          <a:off x="219075" y="27755850"/>
          <a:ext cx="1714500" cy="3314700"/>
        </a:xfrm>
        <a:prstGeom prst="rect">
          <a:avLst/>
        </a:prstGeom>
      </xdr:spPr>
    </xdr:pic>
  </etc:cellImage>
  <etc:cellImage>
    <xdr:pic>
      <xdr:nvPicPr>
        <xdr:cNvPr id="101" name="ID_1CE96BB3D0BD430ABD9F932576F43C5F" descr="201805251721061458"/>
        <xdr:cNvPicPr>
          <a:picLocks noChangeAspect="1"/>
        </xdr:cNvPicPr>
      </xdr:nvPicPr>
      <xdr:blipFill>
        <a:blip r:embed="rId326"/>
        <a:stretch>
          <a:fillRect/>
        </a:stretch>
      </xdr:blipFill>
      <xdr:spPr>
        <a:xfrm>
          <a:off x="514350" y="28984575"/>
          <a:ext cx="1714500" cy="3257550"/>
        </a:xfrm>
        <a:prstGeom prst="rect">
          <a:avLst/>
        </a:prstGeom>
      </xdr:spPr>
    </xdr:pic>
  </etc:cellImage>
  <etc:cellImage>
    <xdr:pic>
      <xdr:nvPicPr>
        <xdr:cNvPr id="102" name="ID_5B1A3A6726F948AAB13A5296507C02E5" descr="201805251721553621"/>
        <xdr:cNvPicPr>
          <a:picLocks noChangeAspect="1"/>
        </xdr:cNvPicPr>
      </xdr:nvPicPr>
      <xdr:blipFill>
        <a:blip r:embed="rId327"/>
        <a:stretch>
          <a:fillRect/>
        </a:stretch>
      </xdr:blipFill>
      <xdr:spPr>
        <a:xfrm>
          <a:off x="342900" y="30346650"/>
          <a:ext cx="1714500" cy="3257550"/>
        </a:xfrm>
        <a:prstGeom prst="rect">
          <a:avLst/>
        </a:prstGeom>
      </xdr:spPr>
    </xdr:pic>
  </etc:cellImage>
  <etc:cellImage>
    <xdr:pic>
      <xdr:nvPicPr>
        <xdr:cNvPr id="103" name="ID_8E4DD799E0C04C4B827474444E21C8DD" descr="201805251722300266"/>
        <xdr:cNvPicPr>
          <a:picLocks noChangeAspect="1"/>
        </xdr:cNvPicPr>
      </xdr:nvPicPr>
      <xdr:blipFill>
        <a:blip r:embed="rId328"/>
        <a:stretch>
          <a:fillRect/>
        </a:stretch>
      </xdr:blipFill>
      <xdr:spPr>
        <a:xfrm>
          <a:off x="266700" y="31823025"/>
          <a:ext cx="1714500" cy="3314700"/>
        </a:xfrm>
        <a:prstGeom prst="rect">
          <a:avLst/>
        </a:prstGeom>
      </xdr:spPr>
    </xdr:pic>
  </etc:cellImage>
  <etc:cellImage>
    <xdr:pic>
      <xdr:nvPicPr>
        <xdr:cNvPr id="104" name="ID_5B8E867E3098416E84E99F87C0F67F39" descr="201805251723121564"/>
        <xdr:cNvPicPr>
          <a:picLocks noChangeAspect="1"/>
        </xdr:cNvPicPr>
      </xdr:nvPicPr>
      <xdr:blipFill>
        <a:blip r:embed="rId329"/>
        <a:stretch>
          <a:fillRect/>
        </a:stretch>
      </xdr:blipFill>
      <xdr:spPr>
        <a:xfrm>
          <a:off x="457200" y="33147000"/>
          <a:ext cx="1714500" cy="3257550"/>
        </a:xfrm>
        <a:prstGeom prst="rect">
          <a:avLst/>
        </a:prstGeom>
      </xdr:spPr>
    </xdr:pic>
  </etc:cellImage>
  <etc:cellImage>
    <xdr:pic>
      <xdr:nvPicPr>
        <xdr:cNvPr id="105" name="ID_354324C38F944567931E51CFB45EC5EF" descr="201805251724359544"/>
        <xdr:cNvPicPr>
          <a:picLocks noChangeAspect="1"/>
        </xdr:cNvPicPr>
      </xdr:nvPicPr>
      <xdr:blipFill>
        <a:blip r:embed="rId330"/>
        <a:stretch>
          <a:fillRect/>
        </a:stretch>
      </xdr:blipFill>
      <xdr:spPr>
        <a:xfrm>
          <a:off x="476250" y="34423350"/>
          <a:ext cx="1714500" cy="3257550"/>
        </a:xfrm>
        <a:prstGeom prst="rect">
          <a:avLst/>
        </a:prstGeom>
      </xdr:spPr>
    </xdr:pic>
  </etc:cellImage>
  <etc:cellImage>
    <xdr:pic>
      <xdr:nvPicPr>
        <xdr:cNvPr id="106" name="ID_FC4B51735427462DA514CB6AA17E89A0" descr="201805251725065054"/>
        <xdr:cNvPicPr>
          <a:picLocks noChangeAspect="1"/>
        </xdr:cNvPicPr>
      </xdr:nvPicPr>
      <xdr:blipFill>
        <a:blip r:embed="rId331"/>
        <a:stretch>
          <a:fillRect/>
        </a:stretch>
      </xdr:blipFill>
      <xdr:spPr>
        <a:xfrm>
          <a:off x="523875" y="35794950"/>
          <a:ext cx="1714500" cy="3257550"/>
        </a:xfrm>
        <a:prstGeom prst="rect">
          <a:avLst/>
        </a:prstGeom>
      </xdr:spPr>
    </xdr:pic>
  </etc:cellImage>
  <etc:cellImage>
    <xdr:pic>
      <xdr:nvPicPr>
        <xdr:cNvPr id="107" name="ID_33889D11188C4A7286F2337EB703C6F8" descr="201805251725545541"/>
        <xdr:cNvPicPr>
          <a:picLocks noChangeAspect="1"/>
        </xdr:cNvPicPr>
      </xdr:nvPicPr>
      <xdr:blipFill>
        <a:blip r:embed="rId332"/>
        <a:stretch>
          <a:fillRect/>
        </a:stretch>
      </xdr:blipFill>
      <xdr:spPr>
        <a:xfrm>
          <a:off x="323850" y="37318950"/>
          <a:ext cx="1714500" cy="3314700"/>
        </a:xfrm>
        <a:prstGeom prst="rect">
          <a:avLst/>
        </a:prstGeom>
      </xdr:spPr>
    </xdr:pic>
  </etc:cellImage>
  <etc:cellImage>
    <xdr:pic>
      <xdr:nvPicPr>
        <xdr:cNvPr id="108" name="ID_4BE39FE465CD4999911078435E4FB639" descr="201805251727380757"/>
        <xdr:cNvPicPr>
          <a:picLocks noChangeAspect="1"/>
        </xdr:cNvPicPr>
      </xdr:nvPicPr>
      <xdr:blipFill>
        <a:blip r:embed="rId333"/>
        <a:stretch>
          <a:fillRect/>
        </a:stretch>
      </xdr:blipFill>
      <xdr:spPr>
        <a:xfrm>
          <a:off x="295275" y="38909625"/>
          <a:ext cx="1714500" cy="3257550"/>
        </a:xfrm>
        <a:prstGeom prst="rect">
          <a:avLst/>
        </a:prstGeom>
      </xdr:spPr>
    </xdr:pic>
  </etc:cellImage>
  <etc:cellImage>
    <xdr:pic>
      <xdr:nvPicPr>
        <xdr:cNvPr id="109" name="ID_A9227C0DE659406A8A42E61EAFA54336" descr="201805251728141185"/>
        <xdr:cNvPicPr>
          <a:picLocks noChangeAspect="1"/>
        </xdr:cNvPicPr>
      </xdr:nvPicPr>
      <xdr:blipFill>
        <a:blip r:embed="rId334"/>
        <a:stretch>
          <a:fillRect/>
        </a:stretch>
      </xdr:blipFill>
      <xdr:spPr>
        <a:xfrm>
          <a:off x="361950" y="40243125"/>
          <a:ext cx="1714500" cy="3257550"/>
        </a:xfrm>
        <a:prstGeom prst="rect">
          <a:avLst/>
        </a:prstGeom>
      </xdr:spPr>
    </xdr:pic>
  </etc:cellImage>
  <etc:cellImage>
    <xdr:pic>
      <xdr:nvPicPr>
        <xdr:cNvPr id="110" name="ID_20B981B8A5464D61B6E3B93209CF0A2A" descr="201805251728335873"/>
        <xdr:cNvPicPr>
          <a:picLocks noChangeAspect="1"/>
        </xdr:cNvPicPr>
      </xdr:nvPicPr>
      <xdr:blipFill>
        <a:blip r:embed="rId335"/>
        <a:stretch>
          <a:fillRect/>
        </a:stretch>
      </xdr:blipFill>
      <xdr:spPr>
        <a:xfrm>
          <a:off x="0" y="41548050"/>
          <a:ext cx="1714500" cy="3314700"/>
        </a:xfrm>
        <a:prstGeom prst="rect">
          <a:avLst/>
        </a:prstGeom>
      </xdr:spPr>
    </xdr:pic>
  </etc:cellImage>
  <etc:cellImage>
    <xdr:pic>
      <xdr:nvPicPr>
        <xdr:cNvPr id="111" name="ID_5CC14996A0444310A4C70140982115AC" descr="201805251730052795"/>
        <xdr:cNvPicPr>
          <a:picLocks noChangeAspect="1"/>
        </xdr:cNvPicPr>
      </xdr:nvPicPr>
      <xdr:blipFill>
        <a:blip r:embed="rId336"/>
        <a:stretch>
          <a:fillRect/>
        </a:stretch>
      </xdr:blipFill>
      <xdr:spPr>
        <a:xfrm>
          <a:off x="276225" y="42986325"/>
          <a:ext cx="1714500" cy="3257550"/>
        </a:xfrm>
        <a:prstGeom prst="rect">
          <a:avLst/>
        </a:prstGeom>
      </xdr:spPr>
    </xdr:pic>
  </etc:cellImage>
  <etc:cellImage>
    <xdr:pic>
      <xdr:nvPicPr>
        <xdr:cNvPr id="112" name="ID_D888522C23EE4712BEFCA9A79BE2996E" descr="201805261548426041"/>
        <xdr:cNvPicPr>
          <a:picLocks noChangeAspect="1"/>
        </xdr:cNvPicPr>
      </xdr:nvPicPr>
      <xdr:blipFill>
        <a:blip r:embed="rId337"/>
        <a:stretch>
          <a:fillRect/>
        </a:stretch>
      </xdr:blipFill>
      <xdr:spPr>
        <a:xfrm>
          <a:off x="428625" y="44253150"/>
          <a:ext cx="1714500" cy="3257550"/>
        </a:xfrm>
        <a:prstGeom prst="rect">
          <a:avLst/>
        </a:prstGeom>
      </xdr:spPr>
    </xdr:pic>
  </etc:cellImage>
  <etc:cellImage>
    <xdr:pic>
      <xdr:nvPicPr>
        <xdr:cNvPr id="113" name="ID_C9359437AAF8438888190802CDDC65BF" descr="201805261549500969"/>
        <xdr:cNvPicPr>
          <a:picLocks noChangeAspect="1"/>
        </xdr:cNvPicPr>
      </xdr:nvPicPr>
      <xdr:blipFill>
        <a:blip r:embed="rId338"/>
        <a:stretch>
          <a:fillRect/>
        </a:stretch>
      </xdr:blipFill>
      <xdr:spPr>
        <a:xfrm>
          <a:off x="428625" y="45462825"/>
          <a:ext cx="1714500" cy="3257550"/>
        </a:xfrm>
        <a:prstGeom prst="rect">
          <a:avLst/>
        </a:prstGeom>
      </xdr:spPr>
    </xdr:pic>
  </etc:cellImage>
  <etc:cellImage>
    <xdr:pic>
      <xdr:nvPicPr>
        <xdr:cNvPr id="114" name="ID_703421C676894802BBA84A40A3634C07" descr="201805261551433628"/>
        <xdr:cNvPicPr>
          <a:picLocks noChangeAspect="1"/>
        </xdr:cNvPicPr>
      </xdr:nvPicPr>
      <xdr:blipFill>
        <a:blip r:embed="rId339"/>
        <a:stretch>
          <a:fillRect/>
        </a:stretch>
      </xdr:blipFill>
      <xdr:spPr>
        <a:xfrm>
          <a:off x="419100" y="46929675"/>
          <a:ext cx="1714500" cy="3257550"/>
        </a:xfrm>
        <a:prstGeom prst="rect">
          <a:avLst/>
        </a:prstGeom>
      </xdr:spPr>
    </xdr:pic>
  </etc:cellImage>
  <etc:cellImage>
    <xdr:pic>
      <xdr:nvPicPr>
        <xdr:cNvPr id="115" name="ID_12C143A4824F48B79F23CB816114A959" descr="201805261551517735"/>
        <xdr:cNvPicPr>
          <a:picLocks noChangeAspect="1"/>
        </xdr:cNvPicPr>
      </xdr:nvPicPr>
      <xdr:blipFill>
        <a:blip r:embed="rId340"/>
        <a:stretch>
          <a:fillRect/>
        </a:stretch>
      </xdr:blipFill>
      <xdr:spPr>
        <a:xfrm>
          <a:off x="476250" y="48329850"/>
          <a:ext cx="1714500" cy="3257550"/>
        </a:xfrm>
        <a:prstGeom prst="rect">
          <a:avLst/>
        </a:prstGeom>
      </xdr:spPr>
    </xdr:pic>
  </etc:cellImage>
  <etc:cellImage>
    <xdr:pic>
      <xdr:nvPicPr>
        <xdr:cNvPr id="116" name="ID_5B52BCD344704338943D36E8FC8D93C2" descr="201805261552178756"/>
        <xdr:cNvPicPr>
          <a:picLocks noChangeAspect="1"/>
        </xdr:cNvPicPr>
      </xdr:nvPicPr>
      <xdr:blipFill>
        <a:blip r:embed="rId341"/>
        <a:stretch>
          <a:fillRect/>
        </a:stretch>
      </xdr:blipFill>
      <xdr:spPr>
        <a:xfrm>
          <a:off x="295275" y="49625250"/>
          <a:ext cx="1714500" cy="3257550"/>
        </a:xfrm>
        <a:prstGeom prst="rect">
          <a:avLst/>
        </a:prstGeom>
      </xdr:spPr>
    </xdr:pic>
  </etc:cellImage>
  <etc:cellImage>
    <xdr:pic>
      <xdr:nvPicPr>
        <xdr:cNvPr id="117" name="ID_48F92A3CB8C34CB2B3B6715646B77423" descr="201805261553122597"/>
        <xdr:cNvPicPr>
          <a:picLocks noChangeAspect="1"/>
        </xdr:cNvPicPr>
      </xdr:nvPicPr>
      <xdr:blipFill>
        <a:blip r:embed="rId342"/>
        <a:stretch>
          <a:fillRect/>
        </a:stretch>
      </xdr:blipFill>
      <xdr:spPr>
        <a:xfrm>
          <a:off x="476250" y="50987325"/>
          <a:ext cx="1714500" cy="3257550"/>
        </a:xfrm>
        <a:prstGeom prst="rect">
          <a:avLst/>
        </a:prstGeom>
      </xdr:spPr>
    </xdr:pic>
  </etc:cellImage>
  <etc:cellImage>
    <xdr:pic>
      <xdr:nvPicPr>
        <xdr:cNvPr id="118" name="ID_A825826523274CF186A9148F29281FDC" descr="201805261554176994"/>
        <xdr:cNvPicPr>
          <a:picLocks noChangeAspect="1"/>
        </xdr:cNvPicPr>
      </xdr:nvPicPr>
      <xdr:blipFill>
        <a:blip r:embed="rId343"/>
        <a:stretch>
          <a:fillRect/>
        </a:stretch>
      </xdr:blipFill>
      <xdr:spPr>
        <a:xfrm>
          <a:off x="352425" y="52254150"/>
          <a:ext cx="1714500" cy="3257550"/>
        </a:xfrm>
        <a:prstGeom prst="rect">
          <a:avLst/>
        </a:prstGeom>
      </xdr:spPr>
    </xdr:pic>
  </etc:cellImage>
  <etc:cellImage>
    <xdr:pic>
      <xdr:nvPicPr>
        <xdr:cNvPr id="119" name="ID_A4A4E0AD89D54B3EBE77DE43FAE67755" descr="201805261554510779"/>
        <xdr:cNvPicPr>
          <a:picLocks noChangeAspect="1"/>
        </xdr:cNvPicPr>
      </xdr:nvPicPr>
      <xdr:blipFill>
        <a:blip r:embed="rId344"/>
        <a:stretch>
          <a:fillRect/>
        </a:stretch>
      </xdr:blipFill>
      <xdr:spPr>
        <a:xfrm>
          <a:off x="400050" y="53625750"/>
          <a:ext cx="1714500" cy="3695700"/>
        </a:xfrm>
        <a:prstGeom prst="rect">
          <a:avLst/>
        </a:prstGeom>
      </xdr:spPr>
    </xdr:pic>
  </etc:cellImage>
  <etc:cellImage>
    <xdr:pic>
      <xdr:nvPicPr>
        <xdr:cNvPr id="120" name="ID_2C10E24B807F4277AF2B32E1185E849D" descr="201805261555354749"/>
        <xdr:cNvPicPr>
          <a:picLocks noChangeAspect="1"/>
        </xdr:cNvPicPr>
      </xdr:nvPicPr>
      <xdr:blipFill>
        <a:blip r:embed="rId345"/>
        <a:stretch>
          <a:fillRect/>
        </a:stretch>
      </xdr:blipFill>
      <xdr:spPr>
        <a:xfrm>
          <a:off x="514350" y="54892575"/>
          <a:ext cx="2286000" cy="4394200"/>
        </a:xfrm>
        <a:prstGeom prst="rect">
          <a:avLst/>
        </a:prstGeom>
      </xdr:spPr>
    </xdr:pic>
  </etc:cellImage>
  <etc:cellImage>
    <xdr:pic>
      <xdr:nvPicPr>
        <xdr:cNvPr id="121" name="ID_4A498B2462D248D2925A4DB04CD322DE" descr="201805261556116759"/>
        <xdr:cNvPicPr>
          <a:picLocks noChangeAspect="1"/>
        </xdr:cNvPicPr>
      </xdr:nvPicPr>
      <xdr:blipFill>
        <a:blip r:embed="rId346"/>
        <a:stretch>
          <a:fillRect/>
        </a:stretch>
      </xdr:blipFill>
      <xdr:spPr>
        <a:xfrm>
          <a:off x="314325" y="56207025"/>
          <a:ext cx="1714500" cy="3257550"/>
        </a:xfrm>
        <a:prstGeom prst="rect">
          <a:avLst/>
        </a:prstGeom>
      </xdr:spPr>
    </xdr:pic>
  </etc:cellImage>
  <etc:cellImage>
    <xdr:pic>
      <xdr:nvPicPr>
        <xdr:cNvPr id="122" name="ID_E34D45D8BB264DB7AAD57EA1BE452BC7" descr="201805261557090580"/>
        <xdr:cNvPicPr>
          <a:picLocks noChangeAspect="1"/>
        </xdr:cNvPicPr>
      </xdr:nvPicPr>
      <xdr:blipFill>
        <a:blip r:embed="rId347"/>
        <a:stretch>
          <a:fillRect/>
        </a:stretch>
      </xdr:blipFill>
      <xdr:spPr>
        <a:xfrm>
          <a:off x="276225" y="57369075"/>
          <a:ext cx="1714500" cy="2895600"/>
        </a:xfrm>
        <a:prstGeom prst="rect">
          <a:avLst/>
        </a:prstGeom>
      </xdr:spPr>
    </xdr:pic>
  </etc:cellImage>
  <etc:cellImage>
    <xdr:pic>
      <xdr:nvPicPr>
        <xdr:cNvPr id="123" name="ID_BB73AE56C1184CFD8EDDCDAA33767AA1" descr="201805261558155303"/>
        <xdr:cNvPicPr>
          <a:picLocks noChangeAspect="1"/>
        </xdr:cNvPicPr>
      </xdr:nvPicPr>
      <xdr:blipFill>
        <a:blip r:embed="rId348"/>
        <a:stretch>
          <a:fillRect/>
        </a:stretch>
      </xdr:blipFill>
      <xdr:spPr>
        <a:xfrm>
          <a:off x="438150" y="58702575"/>
          <a:ext cx="1714500" cy="3314700"/>
        </a:xfrm>
        <a:prstGeom prst="rect">
          <a:avLst/>
        </a:prstGeom>
      </xdr:spPr>
    </xdr:pic>
  </etc:cellImage>
  <etc:cellImage>
    <xdr:pic>
      <xdr:nvPicPr>
        <xdr:cNvPr id="124" name="ID_5CAE8E362DDD4C0AA3A69F6A37CC99BA" descr="201805261558499941"/>
        <xdr:cNvPicPr>
          <a:picLocks noChangeAspect="1"/>
        </xdr:cNvPicPr>
      </xdr:nvPicPr>
      <xdr:blipFill>
        <a:blip r:embed="rId349"/>
        <a:stretch>
          <a:fillRect/>
        </a:stretch>
      </xdr:blipFill>
      <xdr:spPr>
        <a:xfrm>
          <a:off x="47625" y="59931300"/>
          <a:ext cx="1714500" cy="2981325"/>
        </a:xfrm>
        <a:prstGeom prst="rect">
          <a:avLst/>
        </a:prstGeom>
      </xdr:spPr>
    </xdr:pic>
  </etc:cellImage>
  <etc:cellImage>
    <xdr:pic>
      <xdr:nvPicPr>
        <xdr:cNvPr id="125" name="ID_64DE07118C064685887EF5BFA2AEAC5A" descr="201805261600344400"/>
        <xdr:cNvPicPr>
          <a:picLocks noChangeAspect="1"/>
        </xdr:cNvPicPr>
      </xdr:nvPicPr>
      <xdr:blipFill>
        <a:blip r:embed="rId350"/>
        <a:stretch>
          <a:fillRect/>
        </a:stretch>
      </xdr:blipFill>
      <xdr:spPr>
        <a:xfrm>
          <a:off x="428625" y="61321950"/>
          <a:ext cx="1714500" cy="3257550"/>
        </a:xfrm>
        <a:prstGeom prst="rect">
          <a:avLst/>
        </a:prstGeom>
      </xdr:spPr>
    </xdr:pic>
  </etc:cellImage>
  <etc:cellImage>
    <xdr:pic>
      <xdr:nvPicPr>
        <xdr:cNvPr id="126" name="ID_8C76535E57A04B8189EAB54E60EFFE64" descr="201805261601042136"/>
        <xdr:cNvPicPr>
          <a:picLocks noChangeAspect="1"/>
        </xdr:cNvPicPr>
      </xdr:nvPicPr>
      <xdr:blipFill>
        <a:blip r:embed="rId351"/>
        <a:stretch>
          <a:fillRect/>
        </a:stretch>
      </xdr:blipFill>
      <xdr:spPr>
        <a:xfrm>
          <a:off x="476250" y="62569725"/>
          <a:ext cx="1714500" cy="3314700"/>
        </a:xfrm>
        <a:prstGeom prst="rect">
          <a:avLst/>
        </a:prstGeom>
      </xdr:spPr>
    </xdr:pic>
  </etc:cellImage>
</etc:cellImages>
</file>

<file path=xl/sharedStrings.xml><?xml version="1.0" encoding="utf-8"?>
<sst xmlns="http://schemas.openxmlformats.org/spreadsheetml/2006/main" count="2155" uniqueCount="1106">
  <si>
    <t>图标</t>
  </si>
  <si>
    <t>类型</t>
  </si>
  <si>
    <t>中文</t>
  </si>
  <si>
    <t>日文</t>
  </si>
  <si>
    <t>英文</t>
  </si>
  <si>
    <t>攻击</t>
  </si>
  <si>
    <t>抵挡</t>
  </si>
  <si>
    <t>物防</t>
  </si>
  <si>
    <t>魔防</t>
  </si>
  <si>
    <t>防火</t>
  </si>
  <si>
    <t>防雷</t>
  </si>
  <si>
    <t>耐久</t>
  </si>
  <si>
    <t>力气</t>
  </si>
  <si>
    <t>重量</t>
  </si>
  <si>
    <t>基数</t>
  </si>
  <si>
    <t>特性</t>
  </si>
  <si>
    <t>地点</t>
  </si>
  <si>
    <t>小盾</t>
  </si>
  <si>
    <t>快毁损的木盾</t>
  </si>
  <si>
    <t>壊れかけの木盾</t>
  </si>
  <si>
    <t>Cracked Round Shield</t>
  </si>
  <si>
    <t>从带斧和带剑的活尸战士身上掉落。掉落几率：A</t>
  </si>
  <si>
    <t>小皮盾</t>
  </si>
  <si>
    <t>スモールレザーシールド</t>
  </si>
  <si>
    <t>Small Leather Shield</t>
  </si>
  <si>
    <t>弹反</t>
  </si>
  <si>
    <t>城外不死镇，从不死商人那里600魂购买</t>
  </si>
  <si>
    <t>战士圆盾</t>
  </si>
  <si>
    <t>戦士の円盾</t>
  </si>
  <si>
    <t>Warrior's Round Shield</t>
  </si>
  <si>
    <t>城外不死镇售价800</t>
  </si>
  <si>
    <t>双蛇纹圆盾</t>
  </si>
  <si>
    <t>双蛇の円盾</t>
  </si>
  <si>
    <t>Caduceus Round Shield</t>
  </si>
  <si>
    <t>传火祭祀场的遗体</t>
  </si>
  <si>
    <t>红白圆盾</t>
  </si>
  <si>
    <t>紅白の円盾</t>
  </si>
  <si>
    <t>Red And White Round Shield</t>
  </si>
  <si>
    <t>从大剑骷髅兵和剑骷髅兵身上掉落，掉落几率：A</t>
  </si>
  <si>
    <t>小圆盾</t>
  </si>
  <si>
    <t>バックラー</t>
  </si>
  <si>
    <t>Buckler</t>
  </si>
  <si>
    <t>敏捷要求
弹反</t>
  </si>
  <si>
    <t>城外不死镇，从不死商人那里600魂购买
巴勒德尔活尸骑士(细剑)身上掉落</t>
  </si>
  <si>
    <t>结晶环盾</t>
  </si>
  <si>
    <t>結晶輪の盾</t>
  </si>
  <si>
    <t>Crystal Ring Shield</t>
  </si>
  <si>
    <t>防魔
魔法攻击</t>
  </si>
  <si>
    <t>击败BOSS月光蝶得到月光蝶的灵魂，王城亚诺尔隆德找巨人铁匠进化</t>
  </si>
  <si>
    <t>皮盾</t>
  </si>
  <si>
    <t>レザーシールド</t>
  </si>
  <si>
    <t>Leather Shield</t>
  </si>
  <si>
    <t>城外不死镇，从不死商人那里800魂购买</t>
  </si>
  <si>
    <t>木板盾</t>
  </si>
  <si>
    <t>木板の盾</t>
  </si>
  <si>
    <t>Plank Shield</t>
  </si>
  <si>
    <t>大树洞区域的遗体</t>
  </si>
  <si>
    <t>团牌</t>
  </si>
  <si>
    <t>ターゲットシールド</t>
  </si>
  <si>
    <t>Target Shield</t>
  </si>
  <si>
    <t>城外不死镇遗体
城外不死镇(下层)的敌人活尸盗贼身上掉落</t>
  </si>
  <si>
    <t>邪神的盾</t>
  </si>
  <si>
    <t>邪神の盾</t>
  </si>
  <si>
    <t>Effigy Shield</t>
  </si>
  <si>
    <t>信仰要求
防雷</t>
  </si>
  <si>
    <t>巨人墓地的遗体</t>
  </si>
  <si>
    <t>中盾</t>
  </si>
  <si>
    <t>双鸟纹木盾</t>
  </si>
  <si>
    <t>双鳥の木盾</t>
  </si>
  <si>
    <t>East-West Shield</t>
  </si>
  <si>
    <t>城外不死镇，从不死商人那里400魂购买</t>
  </si>
  <si>
    <t>刺针盾</t>
  </si>
  <si>
    <t>トゲの盾</t>
  </si>
  <si>
    <t>Spiked Shield</t>
  </si>
  <si>
    <t>敏捷要求
突刺攻击</t>
  </si>
  <si>
    <t>打倒刺针骑士寇克后掉落 掉落机率：?</t>
  </si>
  <si>
    <t>突刺盾</t>
  </si>
  <si>
    <t>ピアスシールド</t>
  </si>
  <si>
    <t>Pierce Shield</t>
  </si>
  <si>
    <t>病村中，找到卡塔利纳的杰克麦雅，给予3个毒紫苔藓球后获得</t>
  </si>
  <si>
    <t>圣者的盾</t>
  </si>
  <si>
    <t>サンクトゥス</t>
  </si>
  <si>
    <t>Sanctus</t>
  </si>
  <si>
    <t>信仰要求
每2秒HP+2</t>
  </si>
  <si>
    <t>在巨人墓地，打倒圣骑士里罗伊后掉落</t>
  </si>
  <si>
    <t>草纹盾</t>
  </si>
  <si>
    <t>草紋の盾</t>
  </si>
  <si>
    <t>Grass Crest Shield</t>
  </si>
  <si>
    <t>回复精力</t>
  </si>
  <si>
    <t>夹缝森林遗体</t>
  </si>
  <si>
    <t>木盾</t>
  </si>
  <si>
    <t>ウッドシールド</t>
  </si>
  <si>
    <t>Wooden Shield</t>
  </si>
  <si>
    <t>城外不死镇遗体</t>
  </si>
  <si>
    <t>大皮盾</t>
  </si>
  <si>
    <t>ラージレザーシールド</t>
  </si>
  <si>
    <t>Large Leather Shield</t>
  </si>
  <si>
    <t>城外不死镇，从铁匠安德烈那里400魂购买
活尸的纠结活尸身上掉落。掉落几率：A</t>
  </si>
  <si>
    <t>血盾</t>
  </si>
  <si>
    <t>血の盾</t>
  </si>
  <si>
    <t>Bloodshield</t>
  </si>
  <si>
    <t>血毒咒抵抗+50%</t>
  </si>
  <si>
    <t>艾雷米雅斯的绘画世界遗体获得</t>
  </si>
  <si>
    <t>熨斗形盾</t>
  </si>
  <si>
    <t>ヒーターシールド</t>
  </si>
  <si>
    <t>Heater Shield</t>
  </si>
  <si>
    <t>最轻物防</t>
  </si>
  <si>
    <t>城外不死镇，从不死商人那里1000魂购买</t>
  </si>
  <si>
    <t>徽章盾</t>
  </si>
  <si>
    <t>紋章の盾</t>
  </si>
  <si>
    <t>Crest Shield</t>
  </si>
  <si>
    <t>第二次回到北方的不死院，打倒不死院的骑士后掉落</t>
  </si>
  <si>
    <t>龙徽章盾</t>
  </si>
  <si>
    <t>竜紋章の盾</t>
  </si>
  <si>
    <t>Dragon Crest Shield</t>
  </si>
  <si>
    <t>从传火祭祀场到小隆德遗迹，再到飞龙之谷，从腐龙的身边捡到</t>
  </si>
  <si>
    <t>铁圆盾</t>
  </si>
  <si>
    <t>鉄の円盾</t>
  </si>
  <si>
    <t>Iron Round Shield</t>
  </si>
  <si>
    <t>弹刀</t>
  </si>
  <si>
    <t>黑森林庭院中，杀害敌人"东方的芝"后掉落</t>
  </si>
  <si>
    <t>蜘蛛纹盾</t>
  </si>
  <si>
    <t>蜘蛛の盾</t>
  </si>
  <si>
    <t>Spider Shield</t>
  </si>
  <si>
    <t>防毒</t>
  </si>
  <si>
    <t>出身选山贼
小隆德遗迹遗体获得
底层遗体获得</t>
  </si>
  <si>
    <t>活尸士兵盾</t>
  </si>
  <si>
    <t>亡者兵士の盾</t>
  </si>
  <si>
    <t>Hollow Soldier Shield</t>
  </si>
  <si>
    <t>从活尸士兵（剑）或活尸士兵（枪）身上掉落。</t>
  </si>
  <si>
    <t>石像鬼的盾</t>
  </si>
  <si>
    <t>ガーゴイルの盾</t>
  </si>
  <si>
    <t>Gargoyle's Shield</t>
  </si>
  <si>
    <t>城外不死教区，守钟的石像鬼掉落
亚诺尔隆德，石像鬼掉落（不刷新），掉落几率A</t>
  </si>
  <si>
    <t>骑士盾</t>
  </si>
  <si>
    <t>ナイトシールド</t>
  </si>
  <si>
    <t>Knight Shield</t>
  </si>
  <si>
    <t>公爵书库宝箱怪
城外不死教区遗体</t>
  </si>
  <si>
    <t>太阳纹盾</t>
  </si>
  <si>
    <t>太陽の盾</t>
  </si>
  <si>
    <t>Sunlight Shield</t>
  </si>
  <si>
    <t>杀害或打倒索拉尔后掉落</t>
  </si>
  <si>
    <t>塔纹风筝形盾</t>
  </si>
  <si>
    <t>塔のカイトシールド</t>
  </si>
  <si>
    <t>Tower Kite Shield</t>
  </si>
  <si>
    <t>城外不死镇，从铁匠安德烈那里1000魂购买</t>
  </si>
  <si>
    <t>双蛇纹风筝形盾</t>
  </si>
  <si>
    <t>双蛇のカイトシールド</t>
  </si>
  <si>
    <t>Caduceus Kite Shield</t>
  </si>
  <si>
    <t>城外不死镇，从铁匠安德烈那里1000魂购买
公爵书库的结晶活尸身上掉落。掉落几率：A</t>
  </si>
  <si>
    <t>结晶盾</t>
  </si>
  <si>
    <t>結晶の盾</t>
  </si>
  <si>
    <t>Crystal Shield</t>
  </si>
  <si>
    <t>不能强化
突刺攻击</t>
  </si>
  <si>
    <t>从杰纳的德纳尔那里4000魂购买</t>
  </si>
  <si>
    <t>黑骑士的盾</t>
  </si>
  <si>
    <t>黒騎士の盾</t>
  </si>
  <si>
    <t>Black Knight Shield</t>
  </si>
  <si>
    <t>黑骑士(斧)(大剑)(钺)(剑)身上掉落(在初始之火的火炉会重生)，掉落机率：B</t>
  </si>
  <si>
    <t>巴勒德尔的盾</t>
  </si>
  <si>
    <t>バルデルの盾</t>
  </si>
  <si>
    <t>Balder Shield</t>
  </si>
  <si>
    <t>在赛恩古城，从丧志的伯尼斯骑士那4000魂购买
巴勒德尔活尸骑士(弩)（细剑）（剑）</t>
  </si>
  <si>
    <t>银骑士的盾</t>
  </si>
  <si>
    <t>銀騎士の盾</t>
  </si>
  <si>
    <t>Silver Knight Shield</t>
  </si>
  <si>
    <t>亚诺尔隆德中，银骑士(枪)或（剑）身上掉落，掉落几率A</t>
  </si>
  <si>
    <t>大盾</t>
  </si>
  <si>
    <t>骸骨车轮盾</t>
  </si>
  <si>
    <t>骸骨車輪の盾</t>
  </si>
  <si>
    <t>Bonewheel Shield</t>
  </si>
  <si>
    <t>迴转攻击</t>
  </si>
  <si>
    <t>敌人车轮骨骸身上掉落，掉落几率A</t>
  </si>
  <si>
    <t>巨人盾</t>
  </si>
  <si>
    <t>巨人の盾</t>
  </si>
  <si>
    <t>Giant Shield</t>
  </si>
  <si>
    <t>亚诺尔隆德，巨人铁匠那里购买
亚诺尔隆德，巨人卫兵和巨人近卫兵身上掉落。掉落几率A</t>
  </si>
  <si>
    <t>巨鹰纹盾</t>
  </si>
  <si>
    <t>大鷲の盾</t>
  </si>
  <si>
    <t>Eagle Shield</t>
  </si>
  <si>
    <t>最轻大盾</t>
  </si>
  <si>
    <t>病村的遗体获得</t>
  </si>
  <si>
    <t>黑铁大盾</t>
  </si>
  <si>
    <t>黒鉄の大盾</t>
  </si>
  <si>
    <t>Black Iron Greatshield</t>
  </si>
  <si>
    <t>亚诺尔隆德的遗体上获得</t>
  </si>
  <si>
    <t>长方盾</t>
  </si>
  <si>
    <t>タワーシールド</t>
  </si>
  <si>
    <t>Tower Shield</t>
  </si>
  <si>
    <t>在赛恩古城，从丧志的伯尼斯骑士那8000魂购买
绘画世界，伯尼斯活尸骑士(大剑)(鎚矛)身上掉落</t>
  </si>
  <si>
    <t>结界大盾</t>
  </si>
  <si>
    <t>結界の大盾</t>
  </si>
  <si>
    <t>Cleansing Greatshield</t>
  </si>
  <si>
    <t>深渊洞穴，清除巨狼希夫周遭的敌人後取得</t>
  </si>
  <si>
    <t>石制大盾</t>
  </si>
  <si>
    <t>石の大盾</t>
  </si>
  <si>
    <t>Stone Greatshield</t>
  </si>
  <si>
    <t>黑森林庭院中，敌人石之骑士身上掉落。掉落几率A</t>
  </si>
  <si>
    <t>哈维尔的大盾</t>
  </si>
  <si>
    <t>ハベルの大盾</t>
  </si>
  <si>
    <t>Havel's Greatshield</t>
  </si>
  <si>
    <t>防魔
肉体强化</t>
  </si>
  <si>
    <t>亚诺尔隆德中的宝箱</t>
  </si>
  <si>
    <t>亚尔特留斯的大盾</t>
  </si>
  <si>
    <t>アルトリウスの大盾</t>
  </si>
  <si>
    <t>Greatshield of Artorias</t>
  </si>
  <si>
    <t>异常抵抗</t>
  </si>
  <si>
    <t>首先打败BOSS巨狼希夫，得到巨狼希夫的灵魂后，在亚诺尔隆德找巨人铁匠升级</t>
  </si>
  <si>
    <t>部位</t>
  </si>
  <si>
    <t>抗打</t>
  </si>
  <si>
    <t>抗斩</t>
  </si>
  <si>
    <t>抗刺</t>
  </si>
  <si>
    <t>防血</t>
  </si>
  <si>
    <t>防咒</t>
  </si>
  <si>
    <t>韧性</t>
  </si>
  <si>
    <t>套装</t>
  </si>
  <si>
    <t>强化</t>
  </si>
  <si>
    <t>铁头盔</t>
  </si>
  <si>
    <t>アイアンヘルム</t>
  </si>
  <si>
    <t>StandardHelm</t>
  </si>
  <si>
    <t>头盔</t>
  </si>
  <si>
    <t>战士</t>
  </si>
  <si>
    <t>一般</t>
  </si>
  <si>
    <t>硬皮护甲</t>
  </si>
  <si>
    <t>ハードレザーアーマー</t>
  </si>
  <si>
    <t>HardLeatherArmor</t>
  </si>
  <si>
    <t>护甲</t>
  </si>
  <si>
    <t>硬皮护臂</t>
  </si>
  <si>
    <t>ハードレザーガントレット</t>
  </si>
  <si>
    <t>Hard Leather Gauntlets</t>
  </si>
  <si>
    <t>护手</t>
  </si>
  <si>
    <t>皮护臂</t>
  </si>
  <si>
    <t>レザーガントレット</t>
  </si>
  <si>
    <t>Leather Gauntlets</t>
  </si>
  <si>
    <t>硬皮靴子</t>
  </si>
  <si>
    <t>ハードレザーブーツ</t>
  </si>
  <si>
    <t>Hard Leather Boots</t>
  </si>
  <si>
    <t>护腿</t>
  </si>
  <si>
    <t>战士套装</t>
  </si>
  <si>
    <t>贪食之龙BOSS战场景的尸体</t>
  </si>
  <si>
    <t>锁子头盔</t>
  </si>
  <si>
    <t>チェインヘルム</t>
  </si>
  <si>
    <t>ChainHelm</t>
  </si>
  <si>
    <t>链甲</t>
  </si>
  <si>
    <t>锁子护甲</t>
  </si>
  <si>
    <t>チェインアーマー</t>
  </si>
  <si>
    <t>ChainArmor</t>
  </si>
  <si>
    <t>锁子</t>
  </si>
  <si>
    <t>锁子护腿</t>
  </si>
  <si>
    <t>チェインレギンス</t>
  </si>
  <si>
    <t>Chain Leggings</t>
  </si>
  <si>
    <t>锁子铠套装</t>
  </si>
  <si>
    <t>不死街商人贩卖</t>
  </si>
  <si>
    <t>骑士兜鍪</t>
  </si>
  <si>
    <t>骑士の兜</t>
  </si>
  <si>
    <t>KnightHelm</t>
  </si>
  <si>
    <t>骑士</t>
  </si>
  <si>
    <t>骑士铠甲</t>
  </si>
  <si>
    <t>骑士の铠</t>
  </si>
  <si>
    <t>KnightArmor</t>
  </si>
  <si>
    <t>骑士臂甲</t>
  </si>
  <si>
    <t>骑士の手甲</t>
  </si>
  <si>
    <t>Knight Gauntlets</t>
  </si>
  <si>
    <t>骑士腿甲</t>
  </si>
  <si>
    <t>骑士の足甲</t>
  </si>
  <si>
    <t>Knight Leggings</t>
  </si>
  <si>
    <t>骑士套装</t>
  </si>
  <si>
    <t>狭间之森中7头蛇边上的尸体</t>
  </si>
  <si>
    <t>上级骑士兜鍪</t>
  </si>
  <si>
    <t>上级骑士の兜</t>
  </si>
  <si>
    <t>EliteKnightHelm</t>
  </si>
  <si>
    <t>上级骑士</t>
  </si>
  <si>
    <t>上级骑士铠甲</t>
  </si>
  <si>
    <t>上级骑士の铠</t>
  </si>
  <si>
    <t>EliteKnightArmor</t>
  </si>
  <si>
    <t>上级骑士臂甲</t>
  </si>
  <si>
    <t>上级骑士の手甲</t>
  </si>
  <si>
    <t>Elite Knight Gauntlets</t>
  </si>
  <si>
    <t>上级骑士腿甲</t>
  </si>
  <si>
    <t>上级骑士の足甲</t>
  </si>
  <si>
    <t>Elite Knight Leggings</t>
  </si>
  <si>
    <t>上级骑士套装</t>
  </si>
  <si>
    <t>不死森林月光蝶BOSS战前的场景，石像堆中的尸体</t>
  </si>
  <si>
    <t>流浪风帽</t>
  </si>
  <si>
    <t>放浪のフード</t>
  </si>
  <si>
    <t>WandererHood</t>
  </si>
  <si>
    <t>放浪者</t>
  </si>
  <si>
    <t>流浪大衣</t>
  </si>
  <si>
    <t>放浪のコート</t>
  </si>
  <si>
    <t>WandererCoat</t>
  </si>
  <si>
    <t>流浪袖套</t>
  </si>
  <si>
    <t>放浪のマンシェット</t>
  </si>
  <si>
    <t>Wanderer Manchette</t>
  </si>
  <si>
    <t>流浪靴子</t>
  </si>
  <si>
    <t>放浪のブーツ</t>
  </si>
  <si>
    <t>Wanderer Boots</t>
  </si>
  <si>
    <t>放浪者套装</t>
  </si>
  <si>
    <t>完成流浪法师的剧情最后在书库通往结晶洞穴的楼梯旁的房间内会多出一个宝箱</t>
  </si>
  <si>
    <t>小偷面具</t>
  </si>
  <si>
    <t>盗人マスク</t>
  </si>
  <si>
    <t>ThiefMask</t>
  </si>
  <si>
    <t>盗贼</t>
  </si>
  <si>
    <t>黑皮铠甲</t>
  </si>
  <si>
    <t>黒革の铠</t>
  </si>
  <si>
    <t>BlackLeatherArmor</t>
  </si>
  <si>
    <t>黑皮手笼</t>
  </si>
  <si>
    <t>黒革の手袋</t>
  </si>
  <si>
    <t>Black Leather Gloves</t>
  </si>
  <si>
    <t>黑皮靴子</t>
  </si>
  <si>
    <t>黒革のブーツ</t>
  </si>
  <si>
    <t>Black Leather Boots</t>
  </si>
  <si>
    <t>盗贼套装</t>
  </si>
  <si>
    <t>不死城下层被亡者盗贼踢开的门内</t>
  </si>
  <si>
    <t>山贼头巾</t>
  </si>
  <si>
    <t>山贼の头巾</t>
  </si>
  <si>
    <t>BrigandHood</t>
  </si>
  <si>
    <t>山贼</t>
  </si>
  <si>
    <t>山贼铠甲</t>
  </si>
  <si>
    <t>山贼の铠</t>
  </si>
  <si>
    <t>BrigandArmor</t>
  </si>
  <si>
    <t>山贼护手</t>
  </si>
  <si>
    <t>山贼の篭手</t>
  </si>
  <si>
    <t>Brigand Gauntlets</t>
  </si>
  <si>
    <t>山贼长裤</t>
  </si>
  <si>
    <t>山贼のズボン</t>
  </si>
  <si>
    <t>Brigand Trousers</t>
  </si>
  <si>
    <t>山贼套装</t>
  </si>
  <si>
    <t>飞龙谷黑BOSS的龙群中的尸体</t>
  </si>
  <si>
    <t>魔法师的帽子</t>
  </si>
  <si>
    <t>魔术师の帽子</t>
  </si>
  <si>
    <t>SorcererHat</t>
  </si>
  <si>
    <t>魔术师</t>
  </si>
  <si>
    <t>魔法师的大衣</t>
  </si>
  <si>
    <t>魔术师のコート</t>
  </si>
  <si>
    <t>SorcererCloak</t>
  </si>
  <si>
    <t>魔法师的护臂</t>
  </si>
  <si>
    <t>魔术师のガントレット</t>
  </si>
  <si>
    <t>Sorcerer Gauntlets</t>
  </si>
  <si>
    <t>魔法师的靴子</t>
  </si>
  <si>
    <t>魔术师のブーツ</t>
  </si>
  <si>
    <t>Sorcerer Boots</t>
  </si>
  <si>
    <t>魔术师套装</t>
  </si>
  <si>
    <t>最下层用民家钥匙救出魔术师的房间内的尸体</t>
  </si>
  <si>
    <t>魔法师的黑帽子</t>
  </si>
  <si>
    <t>魔术师の黒帽子</t>
  </si>
  <si>
    <t>BlackSorcererHat</t>
  </si>
  <si>
    <t>黑魔术师</t>
  </si>
  <si>
    <t>魔法师的黑大衣</t>
  </si>
  <si>
    <t>魔术师の黒コート</t>
  </si>
  <si>
    <t>BlackSorcererCloak</t>
  </si>
  <si>
    <t>魔法师的黑护臂</t>
  </si>
  <si>
    <t>魔术师の黒ガントレット</t>
  </si>
  <si>
    <t>Black Sorcerer Gauntlets</t>
  </si>
  <si>
    <t>魔法师的黑靴子</t>
  </si>
  <si>
    <t>魔术师の黒ブーツ</t>
  </si>
  <si>
    <t>Black Sorcerer Boots</t>
  </si>
  <si>
    <t>黑魔术师套装</t>
  </si>
  <si>
    <t>滚铁球另一条道路中有个蛇人，所在位置的右边</t>
  </si>
  <si>
    <t>破布风帽</t>
  </si>
  <si>
    <t>ボロ布のフード</t>
  </si>
  <si>
    <t>TatteredClothHood</t>
  </si>
  <si>
    <t>咒术师</t>
  </si>
  <si>
    <t>破布长袍</t>
  </si>
  <si>
    <t>ボロ布のコート</t>
  </si>
  <si>
    <t>TatteredClothRobe</t>
  </si>
  <si>
    <t>破布袖套</t>
  </si>
  <si>
    <t>ボロ布のマンシェット</t>
  </si>
  <si>
    <t>Tattered Cloth Manchette</t>
  </si>
  <si>
    <t>厚靴子</t>
  </si>
  <si>
    <t>厚手のブーツ</t>
  </si>
  <si>
    <t>Heavy Boots</t>
  </si>
  <si>
    <t>咒术师套装</t>
  </si>
  <si>
    <t>病村沼泽地靠右的角落里</t>
  </si>
  <si>
    <t>司祭的帽子</t>
  </si>
  <si>
    <t>司祭の帽子</t>
  </si>
  <si>
    <t>Priest'sHat</t>
  </si>
  <si>
    <t>圣职者</t>
  </si>
  <si>
    <t>圣职外衣</t>
  </si>
  <si>
    <t>圣职の上衣</t>
  </si>
  <si>
    <t>HolyRobe</t>
  </si>
  <si>
    <t>旅行手笼</t>
  </si>
  <si>
    <t>旅の手袋</t>
  </si>
  <si>
    <t>Traveling Gloves</t>
  </si>
  <si>
    <t>圣职长裤</t>
  </si>
  <si>
    <t>圣职のズボン</t>
  </si>
  <si>
    <t>Holy Trousers</t>
  </si>
  <si>
    <t>圣职者套装</t>
  </si>
  <si>
    <t>地下墓地需要从上往下跳</t>
  </si>
  <si>
    <t>圣职兜鍪</t>
  </si>
  <si>
    <t>圣职の兜</t>
  </si>
  <si>
    <t>ClericHelm</t>
  </si>
  <si>
    <t>圣职战士</t>
  </si>
  <si>
    <t>圣职铠甲</t>
  </si>
  <si>
    <t>圣职の铠</t>
  </si>
  <si>
    <t>ClericArmor</t>
  </si>
  <si>
    <t>圣职臂甲</t>
  </si>
  <si>
    <t>圣职の手甲</t>
  </si>
  <si>
    <t>Cleric Gauntlets</t>
  </si>
  <si>
    <t>圣职腿甲</t>
  </si>
  <si>
    <t>圣职の足甲</t>
  </si>
  <si>
    <t>Cleric Leggings</t>
  </si>
  <si>
    <t>圣职战士套装</t>
  </si>
  <si>
    <t>巨人墓地和库奇言归于好后作为商人在火祭场贩卖</t>
  </si>
  <si>
    <t>法里斯的帽子</t>
  </si>
  <si>
    <t>ファリスの帽子</t>
  </si>
  <si>
    <t>Pharis'sHat</t>
  </si>
  <si>
    <t>猎人</t>
  </si>
  <si>
    <t>黑森林中隐身的射箭妹子掉落</t>
  </si>
  <si>
    <t>皮护甲</t>
  </si>
  <si>
    <t>レザーアーマー</t>
  </si>
  <si>
    <t>LeatherArmor</t>
  </si>
  <si>
    <t>皮手套</t>
  </si>
  <si>
    <t>レザーグローブ</t>
  </si>
  <si>
    <t>Leather Gloves</t>
  </si>
  <si>
    <t>皮靴子</t>
  </si>
  <si>
    <t>レザーブーツ</t>
  </si>
  <si>
    <t>Leather Boots</t>
  </si>
  <si>
    <t>猎人套装</t>
  </si>
  <si>
    <t>黑森林通往夹缝森林山道的某处平台尸体</t>
  </si>
  <si>
    <t>铁兜鍪</t>
  </si>
  <si>
    <t>鉄の兜</t>
  </si>
  <si>
    <t>IronHelm</t>
  </si>
  <si>
    <t>太阳</t>
  </si>
  <si>
    <t>太阳纹铠甲</t>
  </si>
  <si>
    <t>太阳印の铠</t>
  </si>
  <si>
    <t>ArmoroftheSun</t>
  </si>
  <si>
    <t>铁臂套</t>
  </si>
  <si>
    <t>鉄の腕轮</t>
  </si>
  <si>
    <t>Iron Bracelet</t>
  </si>
  <si>
    <t>铁腿甲</t>
  </si>
  <si>
    <t>鉄の足甲</t>
  </si>
  <si>
    <t>Iron Leggings</t>
  </si>
  <si>
    <t>太阳战士套装</t>
  </si>
  <si>
    <t>完成太阳战士的剧情
杀死太阳战士</t>
  </si>
  <si>
    <t>巴勒德尔的兜鍪</t>
  </si>
  <si>
    <t>バルデルの兜</t>
  </si>
  <si>
    <t>BalderHelm</t>
  </si>
  <si>
    <t>巴勒德尔</t>
  </si>
  <si>
    <t>巴勒德尔的铠甲</t>
  </si>
  <si>
    <t>バルデルの铠</t>
  </si>
  <si>
    <t>BalderArmor</t>
  </si>
  <si>
    <t>巴勒德尔的臂甲</t>
  </si>
  <si>
    <t>バルデルの手甲</t>
  </si>
  <si>
    <t>Balder Gauntlets</t>
  </si>
  <si>
    <t>巴勒德尔的腿甲</t>
  </si>
  <si>
    <t>バルデルの足甲</t>
  </si>
  <si>
    <t>Balder Leggings</t>
  </si>
  <si>
    <t>巴勒德尔套装</t>
  </si>
  <si>
    <t>不死教堂的亡者骑士掉落
赛恩古城断桥后面的商人贩卖</t>
  </si>
  <si>
    <t>钢铁兜鍪</t>
  </si>
  <si>
    <t>钢鉄の兜</t>
  </si>
  <si>
    <t>SteelHelm</t>
  </si>
  <si>
    <t>钢铁</t>
  </si>
  <si>
    <t>钢铁铠甲</t>
  </si>
  <si>
    <t>钢鉄の铠</t>
  </si>
  <si>
    <t>SteelArmor</t>
  </si>
  <si>
    <t>钢铁臂甲</t>
  </si>
  <si>
    <t>钢鉄の手甲</t>
  </si>
  <si>
    <t>Steel Gauntlets</t>
  </si>
  <si>
    <t>钢铁腿甲</t>
  </si>
  <si>
    <t>钢鉄の足甲</t>
  </si>
  <si>
    <t>Steel Leggings</t>
  </si>
  <si>
    <t>钢铁套装</t>
  </si>
  <si>
    <t>亡者大盾骑士掉落
赛恩古城断桥后面的商人贩卖</t>
  </si>
  <si>
    <t>圣女的风帽</t>
  </si>
  <si>
    <t>圣女のフード</t>
  </si>
  <si>
    <t>MaidenHood</t>
  </si>
  <si>
    <t>圣女</t>
  </si>
  <si>
    <t>圣女的外衣</t>
  </si>
  <si>
    <t>圣女の上衣</t>
  </si>
  <si>
    <t>MaidenRobe</t>
  </si>
  <si>
    <t>圣女的手笼</t>
  </si>
  <si>
    <t>圣女の手袋</t>
  </si>
  <si>
    <t>Maiden Gloves</t>
  </si>
  <si>
    <t>圣女的裙子</t>
  </si>
  <si>
    <t>圣女のスカート</t>
  </si>
  <si>
    <t>Maiden Skirt</t>
  </si>
  <si>
    <t>圣女套装</t>
  </si>
  <si>
    <t>公爵图书馆越狱后爬上顶层的梯子，不出门，往左走然后跳下去</t>
  </si>
  <si>
    <t>骯脏风帽</t>
  </si>
  <si>
    <t>うす汚れたフード</t>
  </si>
  <si>
    <t>DingyHood</t>
  </si>
  <si>
    <t>污秽圣女</t>
  </si>
  <si>
    <t>骯脏外衣</t>
  </si>
  <si>
    <t>うす汚れた上衣</t>
  </si>
  <si>
    <t>DingyRobe</t>
  </si>
  <si>
    <t>骯脏手套</t>
  </si>
  <si>
    <t>うす汚れた手袋</t>
  </si>
  <si>
    <t>Dingy Gloves</t>
  </si>
  <si>
    <t>染血裙子</t>
  </si>
  <si>
    <t>血濡れたスカート</t>
  </si>
  <si>
    <t>Blood-Stained Skirt</t>
  </si>
  <si>
    <t>污秽圣女套装</t>
  </si>
  <si>
    <t>敲响2口钟后，火祭场火防女被金闪闪的杀死后牢房处拾取</t>
  </si>
  <si>
    <t>大帽子</t>
  </si>
  <si>
    <t>ビッグハット</t>
  </si>
  <si>
    <t>BigHat</t>
  </si>
  <si>
    <t>法师</t>
  </si>
  <si>
    <t>光辉</t>
  </si>
  <si>
    <t>公爵图书馆，杀死发狂的罗根掉落</t>
  </si>
  <si>
    <t>贤者长袍</t>
  </si>
  <si>
    <t>贤者のローブ</t>
  </si>
  <si>
    <t>SageRobe</t>
  </si>
  <si>
    <t>旅行长手笼</t>
  </si>
  <si>
    <t>旅の长手袋</t>
  </si>
  <si>
    <t>旅行靴子</t>
  </si>
  <si>
    <t>旅の靴</t>
  </si>
  <si>
    <t>Traveling Boots</t>
  </si>
  <si>
    <t>法师套装</t>
  </si>
  <si>
    <t>公爵图书馆，杀死发狂的罗根后书库中获取</t>
  </si>
  <si>
    <t>黑铁兜鍪</t>
  </si>
  <si>
    <t>黒鉄の兜</t>
  </si>
  <si>
    <t>BlackIronHelm</t>
  </si>
  <si>
    <t>黑铁</t>
  </si>
  <si>
    <t>黑铁铠甲</t>
  </si>
  <si>
    <t>黒鉄の铠</t>
  </si>
  <si>
    <t>BlackIronArmor</t>
  </si>
  <si>
    <t>黑铁臂甲</t>
  </si>
  <si>
    <t>黒鉄の手甲</t>
  </si>
  <si>
    <t>Black Iron Gauntlets</t>
  </si>
  <si>
    <t>黑铁腿甲</t>
  </si>
  <si>
    <t>黒鉄の足甲</t>
  </si>
  <si>
    <t>Black Iron Leggings</t>
  </si>
  <si>
    <t>黑铁套装</t>
  </si>
  <si>
    <t>王城绘画大堂角落的宝箱</t>
  </si>
  <si>
    <t>卡塔利纳头盔</t>
  </si>
  <si>
    <t>カタリナヘルム</t>
  </si>
  <si>
    <t>CatarinaHelm</t>
  </si>
  <si>
    <t>洋葱</t>
  </si>
  <si>
    <t>卡塔利纳护甲</t>
  </si>
  <si>
    <t>カタリナアーマー</t>
  </si>
  <si>
    <t>CatarinaArmor</t>
  </si>
  <si>
    <t>卡塔利纳护臂</t>
  </si>
  <si>
    <t>カタリナガントレット</t>
  </si>
  <si>
    <t>Catarina Gauntlets</t>
  </si>
  <si>
    <t>卡塔利纳护腿</t>
  </si>
  <si>
    <t>カタリナレギンス</t>
  </si>
  <si>
    <t>Catarina Leggings</t>
  </si>
  <si>
    <t>洋葱骑士套装</t>
  </si>
  <si>
    <t>古城断桥后面的商人贩卖</t>
  </si>
  <si>
    <t>封印者的面罩</t>
  </si>
  <si>
    <t>封印者の仮面</t>
  </si>
  <si>
    <t>MaskoftheSealer</t>
  </si>
  <si>
    <t>封印</t>
  </si>
  <si>
    <t>红色长袍</t>
  </si>
  <si>
    <t>红のローブ</t>
  </si>
  <si>
    <t>CrimsonRobe</t>
  </si>
  <si>
    <t>红色手套</t>
  </si>
  <si>
    <t>红のグローブ</t>
  </si>
  <si>
    <t>Crimson Gloves</t>
  </si>
  <si>
    <t>红色围裙</t>
  </si>
  <si>
    <t>红の腰巻き</t>
  </si>
  <si>
    <t>Crimson Waistcloth</t>
  </si>
  <si>
    <t>封印者套装</t>
  </si>
  <si>
    <t>飞龙谷通往病村，在进入病村后不远处获得</t>
  </si>
  <si>
    <t>魔女的三角帽</t>
  </si>
  <si>
    <t>魔女のとんがり帽子</t>
  </si>
  <si>
    <t>WitchHat</t>
  </si>
  <si>
    <t>魔女</t>
  </si>
  <si>
    <t>魔女的大衣</t>
  </si>
  <si>
    <t>魔女のコート</t>
  </si>
  <si>
    <t>WitchCloak</t>
  </si>
  <si>
    <t>魔女的手套</t>
  </si>
  <si>
    <t>魔女のグローブ</t>
  </si>
  <si>
    <t>Witch Gloves</t>
  </si>
  <si>
    <t>魔女的裙子</t>
  </si>
  <si>
    <t>魔女のスカート</t>
  </si>
  <si>
    <t>Witch Skirt</t>
  </si>
  <si>
    <t>魔女碧翠丝套装</t>
  </si>
  <si>
    <t>小隆德遗迹通往飞龙谷捷径出铁门后场景边缘的尸体</t>
  </si>
  <si>
    <t>蓓尔嘉的面罩</t>
  </si>
  <si>
    <t>ベルカの仮面</t>
  </si>
  <si>
    <t>MaskofVelka</t>
  </si>
  <si>
    <t>赎罪</t>
  </si>
  <si>
    <t>黑色圣职衣</t>
  </si>
  <si>
    <t>黒の圣职衣</t>
  </si>
  <si>
    <t>BlackClericRobe</t>
  </si>
  <si>
    <t>黑色袖套</t>
  </si>
  <si>
    <t>黒のマンシェット</t>
  </si>
  <si>
    <t>Black Manchette</t>
  </si>
  <si>
    <t>黑色紧身裤</t>
  </si>
  <si>
    <t>黒のタイツ</t>
  </si>
  <si>
    <t>Black Tights</t>
  </si>
  <si>
    <t>赎罪套装</t>
  </si>
  <si>
    <t>绘画世界中的宝箱</t>
  </si>
  <si>
    <t>东方兜鍪</t>
  </si>
  <si>
    <t>东国の兜</t>
  </si>
  <si>
    <t>EasternHelm</t>
  </si>
  <si>
    <t>东国</t>
  </si>
  <si>
    <t>东方铠甲</t>
  </si>
  <si>
    <t>东国の铠</t>
  </si>
  <si>
    <t>EasternArmor</t>
  </si>
  <si>
    <t>东方臂甲</t>
  </si>
  <si>
    <t>东国の手甲</t>
  </si>
  <si>
    <t>Eastern Gauntlets</t>
  </si>
  <si>
    <t>东方腿甲</t>
  </si>
  <si>
    <t>东国の足甲</t>
  </si>
  <si>
    <t>Eastern Leggings</t>
  </si>
  <si>
    <t>东国装套装</t>
  </si>
  <si>
    <t>黑森林刷魂NPC处的场景边缘的尸体</t>
  </si>
  <si>
    <t>黑影蒙面布</t>
  </si>
  <si>
    <t>影の覆面</t>
  </si>
  <si>
    <t>ShadowMask</t>
  </si>
  <si>
    <t>忍者</t>
  </si>
  <si>
    <t>黑影外衣</t>
  </si>
  <si>
    <t>影の上衣</t>
  </si>
  <si>
    <t>ShadowGarb</t>
  </si>
  <si>
    <t>黑影臂甲</t>
  </si>
  <si>
    <t>影の手甲</t>
  </si>
  <si>
    <t>Shadow Gauntlets</t>
  </si>
  <si>
    <t>黑影腿甲</t>
  </si>
  <si>
    <t>影の足甲</t>
  </si>
  <si>
    <t>Shadow Leggings</t>
  </si>
  <si>
    <t>忍者套装</t>
  </si>
  <si>
    <t>最下层通往病村后，在离居合刀不远的场景的尸体</t>
  </si>
  <si>
    <t>银骑士的兜鍪</t>
  </si>
  <si>
    <t>银骑士の兜</t>
  </si>
  <si>
    <t>SilverKnightHelm</t>
  </si>
  <si>
    <t>银骑士</t>
  </si>
  <si>
    <t>银骑士的铠甲</t>
  </si>
  <si>
    <t>银骑士の铠</t>
  </si>
  <si>
    <t>SilverKnightArmor</t>
  </si>
  <si>
    <t>银骑士的臂甲</t>
  </si>
  <si>
    <t>银骑士の手甲</t>
  </si>
  <si>
    <t>Silver Knight Gauntlets</t>
  </si>
  <si>
    <t>银骑士腿甲</t>
  </si>
  <si>
    <t>银骑士の足甲</t>
  </si>
  <si>
    <t>Silver Knight Leggings</t>
  </si>
  <si>
    <t>银骑士套装</t>
  </si>
  <si>
    <t>王城内部一个有2个长枪银骑士守护的房间内的宝箱</t>
  </si>
  <si>
    <t>黑骑士的兜鍪</t>
  </si>
  <si>
    <t>黒骑士の兜</t>
  </si>
  <si>
    <t>BlackKnightHelm</t>
  </si>
  <si>
    <t>黑骑士</t>
  </si>
  <si>
    <t>黑骑士的铠甲</t>
  </si>
  <si>
    <t>黒骑士の铠</t>
  </si>
  <si>
    <t>BlackKnightArmor</t>
  </si>
  <si>
    <t>黑骑士的臂甲</t>
  </si>
  <si>
    <t>黒骑士の手甲</t>
  </si>
  <si>
    <t>Black Knight Gauntlets</t>
  </si>
  <si>
    <t>黑骑士的腿甲</t>
  </si>
  <si>
    <t>黒骑士の足甲</t>
  </si>
  <si>
    <t>Black Knight Leggings</t>
  </si>
  <si>
    <t>黑骑士套装</t>
  </si>
  <si>
    <t>最初火炉的悬崖边的尸体</t>
  </si>
  <si>
    <t>巨人兜鍪</t>
  </si>
  <si>
    <t>巨人の兜</t>
  </si>
  <si>
    <t>GiantHelm</t>
  </si>
  <si>
    <t>巨人</t>
  </si>
  <si>
    <t>巨人铠甲</t>
  </si>
  <si>
    <t>巨人の铠</t>
  </si>
  <si>
    <t>GiantArmor</t>
  </si>
  <si>
    <t>巨人臂甲</t>
  </si>
  <si>
    <t>巨人の手甲</t>
  </si>
  <si>
    <t>Giant Gauntlets</t>
  </si>
  <si>
    <t>巨人腿甲</t>
  </si>
  <si>
    <t>巨人の足甲</t>
  </si>
  <si>
    <t>Giant Leggings</t>
  </si>
  <si>
    <t>巨人套装</t>
  </si>
  <si>
    <t>王城巨人铁匠处贩卖</t>
  </si>
  <si>
    <t>绘画守护者的头巾</t>
  </si>
  <si>
    <t>絵画守りの头巾</t>
  </si>
  <si>
    <t>PaintingGuardianHood</t>
  </si>
  <si>
    <t>绘画</t>
  </si>
  <si>
    <t>绘画守护者的长衣</t>
  </si>
  <si>
    <t>絵画守りの长衣</t>
  </si>
  <si>
    <t>PaintingGuardianRobe</t>
  </si>
  <si>
    <t>绘画守护者的长手笼</t>
  </si>
  <si>
    <t>絵画守りの长手袋</t>
  </si>
  <si>
    <t>Painting Guardian Gloves</t>
  </si>
  <si>
    <t>绘画守护者的围裙</t>
  </si>
  <si>
    <t>絵画守りの腰巻き</t>
  </si>
  <si>
    <t>Painting Guardian Waistcloth</t>
  </si>
  <si>
    <t>绘画守护者套装</t>
  </si>
  <si>
    <t>绘画世界中一处有老鼠的房间内的宝箱</t>
  </si>
  <si>
    <t>黑暗面罩</t>
  </si>
  <si>
    <t>闇の仮面</t>
  </si>
  <si>
    <t>DarkMask</t>
  </si>
  <si>
    <t>堕落</t>
  </si>
  <si>
    <t>黑暗铠甲</t>
  </si>
  <si>
    <t>闇の铠</t>
  </si>
  <si>
    <t>DarkArmor</t>
  </si>
  <si>
    <t>黑暗臂甲</t>
  </si>
  <si>
    <t>闇の手甲</t>
  </si>
  <si>
    <t>Dark Gauntlets</t>
  </si>
  <si>
    <t>黑暗腿甲</t>
  </si>
  <si>
    <t>闇の足甲</t>
  </si>
  <si>
    <t>Dark Leggings</t>
  </si>
  <si>
    <t>堕落骑士套装</t>
  </si>
  <si>
    <t>与深渊大蛇契约后献上30人间性后获得，在契约前都不能找世界大蛇说话，不然深渊大神就不会出现</t>
  </si>
  <si>
    <t>刺针兜鍪</t>
  </si>
  <si>
    <t>トゲの兜</t>
  </si>
  <si>
    <t>HelmofThorns</t>
  </si>
  <si>
    <t>刺针</t>
  </si>
  <si>
    <t>刺针铠甲</t>
  </si>
  <si>
    <t>トゲの铠</t>
  </si>
  <si>
    <t>ArmorofThorns</t>
  </si>
  <si>
    <t>刺针臂甲</t>
  </si>
  <si>
    <t>トゲの手甲</t>
  </si>
  <si>
    <t>Gauntlets of Thorns</t>
  </si>
  <si>
    <t>刺针腿甲</t>
  </si>
  <si>
    <t>トゲの足甲</t>
  </si>
  <si>
    <t>Leggings of Thorns</t>
  </si>
  <si>
    <t>尖刺装套装</t>
  </si>
  <si>
    <t>完成寇科的三次入侵，在白蜘蛛妹子房间的墙边尸体</t>
  </si>
  <si>
    <t>宠爱的兜鍪</t>
  </si>
  <si>
    <t>宠爱の兜</t>
  </si>
  <si>
    <t>HelmofFavor</t>
  </si>
  <si>
    <t>金闪闪</t>
  </si>
  <si>
    <t>宠爱的拥抱铠甲</t>
  </si>
  <si>
    <t>宠爱の抱かれ铠</t>
  </si>
  <si>
    <t>EmbracedArmorofFavor</t>
  </si>
  <si>
    <t>宠爱的臂甲</t>
  </si>
  <si>
    <t>宠爱の手甲</t>
  </si>
  <si>
    <t>Gauntlets of Favor</t>
  </si>
  <si>
    <t>宠爱的腿甲</t>
  </si>
  <si>
    <t>宠爱の足甲</t>
  </si>
  <si>
    <t>Leggings of Favor</t>
  </si>
  <si>
    <t>金闪闪套装</t>
  </si>
  <si>
    <t>在金闪闪杀死火防女后，再火防女的牢房外捡了黑之瞳，在王城金银BOSS前的场景使用，入侵金闪闪的世界把他杀了后，在王女之间外的场景角落的尸体</t>
  </si>
  <si>
    <t>圣骑士兜鍪</t>
  </si>
  <si>
    <t>圣骑士の兜</t>
  </si>
  <si>
    <t>PaladinHelm</t>
  </si>
  <si>
    <t>圣骑士</t>
  </si>
  <si>
    <t>圣骑士铠甲</t>
  </si>
  <si>
    <t>圣骑士の铠</t>
  </si>
  <si>
    <t>PaladinArmor</t>
  </si>
  <si>
    <t>圣骑士臂甲</t>
  </si>
  <si>
    <t>圣骑士の手甲</t>
  </si>
  <si>
    <t>Paladin Gauntlets</t>
  </si>
  <si>
    <t>圣骑士腿甲</t>
  </si>
  <si>
    <t>圣骑士の足甲</t>
  </si>
  <si>
    <t>Paladin Leggings</t>
  </si>
  <si>
    <t>圣骑士套装</t>
  </si>
  <si>
    <t>肉身在巨人墓地赤子之间前打败入侵的黑暗幽灵后在墓王的房间处会多出一具尸体</t>
  </si>
  <si>
    <t>黄衣头冠</t>
  </si>
  <si>
    <t>黄衣の冠</t>
  </si>
  <si>
    <t>XanthousCrown</t>
  </si>
  <si>
    <t>黄王</t>
  </si>
  <si>
    <t>黄外衣</t>
  </si>
  <si>
    <t>黄の上衣</t>
  </si>
  <si>
    <t>XanthousOvercoat</t>
  </si>
  <si>
    <t>黄衣长手笼</t>
  </si>
  <si>
    <t>黄衣の长手袋</t>
  </si>
  <si>
    <t>Xanthous Gloves</t>
  </si>
  <si>
    <t>黄衣围裙</t>
  </si>
  <si>
    <t>黄衣の腰巻き</t>
  </si>
  <si>
    <t>Xanthous Waistcloth</t>
  </si>
  <si>
    <t>黄之王套装</t>
  </si>
  <si>
    <t>肉身绘画世界篝火后进城门右手边的雪地杀死入侵的黑暗幽灵，之后在BOSS战场景通往现世的过道边上的尸体</t>
  </si>
  <si>
    <t>黄铜兜鍪</t>
  </si>
  <si>
    <t>真鍮の兜</t>
  </si>
  <si>
    <t>BrassHelm</t>
  </si>
  <si>
    <t>真鍮</t>
  </si>
  <si>
    <t>黄铜铠甲</t>
  </si>
  <si>
    <t>真鍮の铠</t>
  </si>
  <si>
    <t>BrassArmor</t>
  </si>
  <si>
    <t>黄铜臂甲</t>
  </si>
  <si>
    <t>真鍮の手甲</t>
  </si>
  <si>
    <t>Brass Gauntlets</t>
  </si>
  <si>
    <t>黄铜腿甲</t>
  </si>
  <si>
    <t>真鍮の足甲</t>
  </si>
  <si>
    <t>Brass Leggings</t>
  </si>
  <si>
    <t>真鍮套装</t>
  </si>
  <si>
    <t>王城杀死暗月之王后，王女灵朝里的宝箱</t>
  </si>
  <si>
    <t>亚尔特留斯之兜</t>
  </si>
  <si>
    <t>アルトリウスの兜</t>
  </si>
  <si>
    <t>HelmofArtorias</t>
  </si>
  <si>
    <t>亚尔特留斯</t>
  </si>
  <si>
    <t>亚尔特留斯之铠</t>
  </si>
  <si>
    <t>アルトリウスの铠</t>
  </si>
  <si>
    <t>ArmorofArtorias</t>
  </si>
  <si>
    <t>亚尔特留斯护手</t>
  </si>
  <si>
    <t>アルトリウスの手甲</t>
  </si>
  <si>
    <t>Gauntlets of Artorias</t>
  </si>
  <si>
    <t>亚尔特留斯护腿</t>
  </si>
  <si>
    <t>アルトリウスの足甲</t>
  </si>
  <si>
    <t>Leggings of Artorias</t>
  </si>
  <si>
    <t>亚尔特留斯套装</t>
  </si>
  <si>
    <t>打败亚尔特留斯后，最下层通往病村大门前的商人处购买
打败亚尔特留斯后，火祭场通往不死街桥墩下的商人处购买</t>
  </si>
  <si>
    <t>白磁面具</t>
  </si>
  <si>
    <t>白磁の仮面</t>
  </si>
  <si>
    <t>PorcelainMask</t>
  </si>
  <si>
    <t>基亚蓝</t>
  </si>
  <si>
    <t>王刃长衣</t>
  </si>
  <si>
    <t>王刃の长衣</t>
  </si>
  <si>
    <t>Lord's BladeRobe</t>
  </si>
  <si>
    <t>王刃长手套</t>
  </si>
  <si>
    <t>王刃の长手袋</t>
  </si>
  <si>
    <t>Lord's Blade Gloves</t>
  </si>
  <si>
    <t>王刃围裙</t>
  </si>
  <si>
    <t>王刃の腰巻き</t>
  </si>
  <si>
    <t>Lord's Blade Waistcloth</t>
  </si>
  <si>
    <t>王刃套装</t>
  </si>
  <si>
    <t>杀死基亚蓝后掉落</t>
  </si>
  <si>
    <t>戈夫之兜</t>
  </si>
  <si>
    <t>ゴーの兜</t>
  </si>
  <si>
    <t>Gough'sHelm</t>
  </si>
  <si>
    <t>戈夫</t>
  </si>
  <si>
    <t>戈夫之铠</t>
  </si>
  <si>
    <t>ゴーの铠</t>
  </si>
  <si>
    <t>Gough'sArmor</t>
  </si>
  <si>
    <t>戈夫之护手</t>
  </si>
  <si>
    <t>ゴーの手甲</t>
  </si>
  <si>
    <t>Gough's Gauntlets</t>
  </si>
  <si>
    <t>戈夫之护腿</t>
  </si>
  <si>
    <t>ゴーの足甲</t>
  </si>
  <si>
    <t>Gough's Leggings</t>
  </si>
  <si>
    <t>戈夫套装</t>
  </si>
  <si>
    <t>杀死戈夫后掉落</t>
  </si>
  <si>
    <t>微笑高帽</t>
  </si>
  <si>
    <t>微笑みロングハット</t>
  </si>
  <si>
    <t>SnickeringTopHat</t>
  </si>
  <si>
    <t>切斯特</t>
  </si>
  <si>
    <t>切斯特的长大衣</t>
  </si>
  <si>
    <t>チェスターのロングコート</t>
  </si>
  <si>
    <t>Chester`sLongCoat</t>
  </si>
  <si>
    <t>切斯特的手套</t>
  </si>
  <si>
    <t>チェスターのグローブ</t>
  </si>
  <si>
    <t>Chester's Gloves</t>
  </si>
  <si>
    <t>切斯特的裤子</t>
  </si>
  <si>
    <t>チェスターのズボン</t>
  </si>
  <si>
    <t>Chester's Trousers</t>
  </si>
  <si>
    <t>切斯特套装</t>
  </si>
  <si>
    <t>杀死切斯特后掉落</t>
  </si>
  <si>
    <t>幽暗头冠</t>
  </si>
  <si>
    <t>宵闇の头冠</t>
  </si>
  <si>
    <t>CrownofDusk</t>
  </si>
  <si>
    <t>幽暗</t>
  </si>
  <si>
    <t>无</t>
  </si>
  <si>
    <t>古典礼服</t>
  </si>
  <si>
    <t>古めかしいドレス</t>
  </si>
  <si>
    <t>AntiquatedDress</t>
  </si>
  <si>
    <t>古典长手套</t>
  </si>
  <si>
    <t>古めかしいロンググローブ</t>
  </si>
  <si>
    <t>Antiquated Gloves</t>
  </si>
  <si>
    <t>古典裙子</t>
  </si>
  <si>
    <t>古めかしいスカート</t>
  </si>
  <si>
    <t>Antiquated Skirt</t>
  </si>
  <si>
    <t>古之少女套装</t>
  </si>
  <si>
    <t>肉身在狭间之森7头蛇的湖的最里面打败金色水晶人后，再次来到此处时出现的尸体</t>
  </si>
  <si>
    <t>缠金黑风帽</t>
  </si>
  <si>
    <t>黒金纟のフード</t>
  </si>
  <si>
    <t>Gold-HemmedBlackHood</t>
  </si>
  <si>
    <t>黑金</t>
  </si>
  <si>
    <t>缠金黑长袍</t>
  </si>
  <si>
    <t>黒金纟のローブ</t>
  </si>
  <si>
    <t>Gold-HemmedBlackCloak</t>
  </si>
  <si>
    <t>缠金黑长手套</t>
  </si>
  <si>
    <t>黒金纟のロンググローブ</t>
  </si>
  <si>
    <t>Gold-Hemmed Black Gloves</t>
  </si>
  <si>
    <t>缠金黑裙子</t>
  </si>
  <si>
    <t>黒金纟のスカート</t>
  </si>
  <si>
    <t>Gold-Hemmed Black Skirt</t>
  </si>
  <si>
    <t>黑金套装</t>
  </si>
  <si>
    <t>恶魔遗迹，持续溃烂的生物处的祭坛拾取</t>
  </si>
  <si>
    <t>智慧兜鍪</t>
  </si>
  <si>
    <t>知恵者の兜</t>
  </si>
  <si>
    <t>HelmoftheWise</t>
  </si>
  <si>
    <t>探知</t>
  </si>
  <si>
    <t>荣耀铠甲</t>
  </si>
  <si>
    <t>名誉者の铠</t>
  </si>
  <si>
    <t>ArmoroftheGlorious</t>
  </si>
  <si>
    <t>探求护手</t>
  </si>
  <si>
    <t>获得者の篭手</t>
  </si>
  <si>
    <t>Gauntlets of the Vanquisher</t>
  </si>
  <si>
    <t>探索长靴</t>
  </si>
  <si>
    <t>探索者の长靴</t>
  </si>
  <si>
    <t>Boots of the Explorer</t>
  </si>
  <si>
    <t>知慧者套装</t>
  </si>
  <si>
    <t>最下层通往病村大门前的商人处购买
火祭场通往不死街桥墩下的商人处购买</t>
  </si>
  <si>
    <t>附结晶的兜鍪</t>
  </si>
  <si>
    <t>结晶付きの兜</t>
  </si>
  <si>
    <t>CrystallineHelm</t>
  </si>
  <si>
    <t>结晶</t>
  </si>
  <si>
    <t>附结晶的铠甲</t>
  </si>
  <si>
    <t>结晶付きの铠</t>
  </si>
  <si>
    <t>CrystallineArmor</t>
  </si>
  <si>
    <t>附结晶臂甲</t>
  </si>
  <si>
    <t>结晶付きの手甲</t>
  </si>
  <si>
    <t>Crystalline Gauntlets</t>
  </si>
  <si>
    <t>附结晶腿甲</t>
  </si>
  <si>
    <t>结晶付きの足甲</t>
  </si>
  <si>
    <t>Crystalline Leggings</t>
  </si>
  <si>
    <t>结晶套装</t>
  </si>
  <si>
    <t>离开图书馆通往结晶洞穴路上的尸体</t>
  </si>
  <si>
    <t>传道者的六眼兜鍪</t>
  </si>
  <si>
    <t>伝道者の六目兜</t>
  </si>
  <si>
    <t>Six-EyedHelmoftheChannelers</t>
  </si>
  <si>
    <t>传道者</t>
  </si>
  <si>
    <t>传道者的圣衣</t>
  </si>
  <si>
    <t>伝道者の圣衣</t>
  </si>
  <si>
    <t>RobeoftheChannelers</t>
  </si>
  <si>
    <t>传道者的护手</t>
  </si>
  <si>
    <t>伝道者の篭手</t>
  </si>
  <si>
    <t>Gauntlets of the Channelers</t>
  </si>
  <si>
    <t>传道者的围裙</t>
  </si>
  <si>
    <t>伝道者の腰巻き</t>
  </si>
  <si>
    <t>Waistcloth of the Channelers</t>
  </si>
  <si>
    <t>传道者套装</t>
  </si>
  <si>
    <t>公爵图书馆宝箱</t>
  </si>
  <si>
    <t>巨偶头盔</t>
  </si>
  <si>
    <t>ゴーレムヘルム</t>
  </si>
  <si>
    <t>GolemHelm</t>
  </si>
  <si>
    <t>巨偶</t>
  </si>
  <si>
    <t>巨偶护甲</t>
  </si>
  <si>
    <t>ゴーレムアーマー</t>
  </si>
  <si>
    <t>GolemArmor</t>
  </si>
  <si>
    <t>巨偶护臂</t>
  </si>
  <si>
    <t>ゴーレムガントレット</t>
  </si>
  <si>
    <t>Golem Gauntlets</t>
  </si>
  <si>
    <t>巨偶护腿</t>
  </si>
  <si>
    <t>ゴーレムレギンス</t>
  </si>
  <si>
    <t>Golem Leggings</t>
  </si>
  <si>
    <t>巨偶套装</t>
  </si>
  <si>
    <t>打倒巨偶BOSS后，病村大门前的商人处购买
打倒巨偶BOSS后，火祭场通往不死街桥墩下的商人处购买</t>
  </si>
  <si>
    <t>石制兜鍪</t>
  </si>
  <si>
    <t>石の兜</t>
  </si>
  <si>
    <t>StoneHelm</t>
  </si>
  <si>
    <t>石像</t>
  </si>
  <si>
    <t>石制铠甲</t>
  </si>
  <si>
    <t>石の铠</t>
  </si>
  <si>
    <t>StoneArmor</t>
  </si>
  <si>
    <t>石制臂甲</t>
  </si>
  <si>
    <t>石の手甲</t>
  </si>
  <si>
    <t>Stone Gauntlets</t>
  </si>
  <si>
    <t>石制腿甲</t>
  </si>
  <si>
    <t>石の足甲</t>
  </si>
  <si>
    <t>Stone Leggings</t>
  </si>
  <si>
    <t>石像套装</t>
  </si>
  <si>
    <t>不死森林的白猫场景过后中庭桥墩下的宝箱</t>
  </si>
  <si>
    <t>守护者头盔</t>
  </si>
  <si>
    <t>守护者の兜</t>
  </si>
  <si>
    <t>GuardianHelm</t>
  </si>
  <si>
    <t>守护者</t>
  </si>
  <si>
    <t>王家御苑中，过桥后，靠左边走，跳过左边的缝隙，就在前方山坡顶上，路上有个地方要跳过去</t>
  </si>
  <si>
    <t>守护者铠甲</t>
  </si>
  <si>
    <t>守护者の铠</t>
  </si>
  <si>
    <t>GuardianArmor</t>
  </si>
  <si>
    <t>王家御苑中，拿到头部件后，往过来的方向望去，有两个守护者的地方悬崖边上</t>
  </si>
  <si>
    <t>守护者护手</t>
  </si>
  <si>
    <t>守护者の手甲</t>
  </si>
  <si>
    <t>Guardian Gauntlets</t>
  </si>
  <si>
    <t>王家御苑中，现代猫屋的另一边，楼梯上面</t>
  </si>
  <si>
    <t>守护者护腿</t>
  </si>
  <si>
    <t>守护者の足甲</t>
  </si>
  <si>
    <t>Guardian Leggings</t>
  </si>
  <si>
    <t>王家御苑中，现代打三只狼崽的地方，那个守护者后面</t>
  </si>
  <si>
    <t>守护者套装</t>
  </si>
  <si>
    <t>斯摩的兜鍪</t>
  </si>
  <si>
    <t>スモウの兜</t>
  </si>
  <si>
    <t>Smough'sHelm</t>
  </si>
  <si>
    <t>处刑</t>
  </si>
  <si>
    <t>物防
防火
防雷</t>
  </si>
  <si>
    <t>斯摩的铠甲</t>
  </si>
  <si>
    <t>スモウの铠</t>
  </si>
  <si>
    <t>Smough'sArmor</t>
  </si>
  <si>
    <t>斯摩的臂甲</t>
  </si>
  <si>
    <t>スモウの手甲</t>
  </si>
  <si>
    <t>Smough's Gauntlets</t>
  </si>
  <si>
    <t>斯摩的腿甲</t>
  </si>
  <si>
    <t>スモウの足甲</t>
  </si>
  <si>
    <t>Smough's Leggings</t>
  </si>
  <si>
    <t>处刑者斯摩套装</t>
  </si>
  <si>
    <t>王城金银BOSS战时先灭龙狩者，最后灭处刑者，之后去火祭场通往不死街桥墩下的商人处购买，1周目仅限购一套</t>
  </si>
  <si>
    <t>翁斯坦的兜鍪</t>
  </si>
  <si>
    <t>オーンスタインの兜</t>
  </si>
  <si>
    <t>Ornstein'sHelm</t>
  </si>
  <si>
    <t>龙狩</t>
  </si>
  <si>
    <t>翁斯坦的铠甲</t>
  </si>
  <si>
    <t>オーンスタインの铠</t>
  </si>
  <si>
    <t>Ornstein'sArmor</t>
  </si>
  <si>
    <t>翁斯坦的臂甲</t>
  </si>
  <si>
    <t>オーンスタインの手甲</t>
  </si>
  <si>
    <t>Ornstein's Gauntlets</t>
  </si>
  <si>
    <t>翁斯坦的腿甲</t>
  </si>
  <si>
    <t>オーンスタインの足甲</t>
  </si>
  <si>
    <t>Ornstein's Leggings</t>
  </si>
  <si>
    <t>猎龙者翁斯坦套装</t>
  </si>
  <si>
    <t>王城金银BOSS战时先灭处刑者，最后灭龙狩者，之后去火祭场通往不死街桥墩下的商人处购买，1周目仅限购一套</t>
  </si>
  <si>
    <t>黯影太阳王冠</t>
  </si>
  <si>
    <t>阴の太阳の王冠</t>
  </si>
  <si>
    <t>CrownoftheDarkSun</t>
  </si>
  <si>
    <t>暗月</t>
  </si>
  <si>
    <t>月光长衣</t>
  </si>
  <si>
    <t>月光の长衣</t>
  </si>
  <si>
    <t>MoonlightRobe</t>
  </si>
  <si>
    <t>月光长手笼</t>
  </si>
  <si>
    <t>月光の长手袋</t>
  </si>
  <si>
    <t>Moonlight Gloves</t>
  </si>
  <si>
    <t>月光围裙</t>
  </si>
  <si>
    <t>月光の腰巻き</t>
  </si>
  <si>
    <t>Moonlight Waistcloth</t>
  </si>
  <si>
    <t>暗月之王套装</t>
  </si>
  <si>
    <t>王城打败暗月之王后，最下层通往病村大门前的商人处购买
王城打败暗月之王后，火祭场通往不死街桥墩下的商人处购买</t>
  </si>
  <si>
    <t>葛温王的王冠</t>
  </si>
  <si>
    <t>大王の王冠</t>
  </si>
  <si>
    <t>CrownoftheGreatLord</t>
  </si>
  <si>
    <t>乌薪王</t>
  </si>
  <si>
    <t>葛温王的长衣</t>
  </si>
  <si>
    <t>大王の长衣</t>
  </si>
  <si>
    <t>RobeoftheGreatLord</t>
  </si>
  <si>
    <t>葛温王的臂套</t>
  </si>
  <si>
    <t>大王の腕轮</t>
  </si>
  <si>
    <t>Bracelet of the Great Lord</t>
  </si>
  <si>
    <t>葛温王的腿套</t>
  </si>
  <si>
    <t>大王の脚轮</t>
  </si>
  <si>
    <t>Anklet of the Great Lord</t>
  </si>
  <si>
    <t>薪王葛温套装</t>
  </si>
  <si>
    <t>打败薪王后的下一周目，最下层通往病村大门前的商人处购买
打败薪王后的下一周目，火祭场通往不死街桥墩下的商人处购买</t>
  </si>
  <si>
    <t>哈维尔的兜鍪</t>
  </si>
  <si>
    <t>ハベルの兜</t>
  </si>
  <si>
    <t>Havel'sHelm</t>
  </si>
  <si>
    <t>哈维尔</t>
  </si>
  <si>
    <t>防魔
韧性</t>
  </si>
  <si>
    <t>哈维尔的铠甲</t>
  </si>
  <si>
    <t>ハベルの铠</t>
  </si>
  <si>
    <t>Havel'sArmor</t>
  </si>
  <si>
    <t>哈维尔的臂甲</t>
  </si>
  <si>
    <t>ハベルの手甲</t>
  </si>
  <si>
    <t>Havel's Gauntlets</t>
  </si>
  <si>
    <t>哈维尔的腿甲</t>
  </si>
  <si>
    <t>ハベルの足甲</t>
  </si>
  <si>
    <t>Havel's Leggings</t>
  </si>
  <si>
    <t>哈维尔套装</t>
  </si>
  <si>
    <t>到了王城内部的小隔间场景中，一个唯一没有银骑士的房间的壁炉，打破后有密道，在密室的宝箱中</t>
  </si>
  <si>
    <t>亡者战士的兜鍪</t>
  </si>
  <si>
    <t>亡者戦士の兜</t>
  </si>
  <si>
    <t>HollowWarriorHelm</t>
  </si>
  <si>
    <t>亡者战士</t>
  </si>
  <si>
    <t>亡者战士的铠甲</t>
  </si>
  <si>
    <t>亡者戦士の铠</t>
  </si>
  <si>
    <t>HollowWarriorArmor</t>
  </si>
  <si>
    <t>亡者战士的围裙</t>
  </si>
  <si>
    <t>亡者戦士の腰巻き</t>
  </si>
  <si>
    <t>Hollow Warrior Waistcloth</t>
  </si>
  <si>
    <t>亡者战士套装</t>
  </si>
  <si>
    <t>不死街的亡者战士掉落</t>
  </si>
  <si>
    <t>亡者士兵的兜鍪</t>
  </si>
  <si>
    <t>亡者兵士の兜</t>
  </si>
  <si>
    <t>HollowSoldierHelm</t>
  </si>
  <si>
    <t>亡者士兵</t>
  </si>
  <si>
    <t>亡者士兵的铠甲</t>
  </si>
  <si>
    <t>亡者兵士の铠</t>
  </si>
  <si>
    <t>HollowSoldierArmor</t>
  </si>
  <si>
    <t>亡者士兵的围裙</t>
  </si>
  <si>
    <t>亡者兵士の腰巻き</t>
  </si>
  <si>
    <t>Hollow Soldier Waistcloth</t>
  </si>
  <si>
    <t>亡者士兵套装</t>
  </si>
  <si>
    <t>不死街的亡者士兵掉落</t>
  </si>
  <si>
    <t>亡者盗贼的风帽</t>
  </si>
  <si>
    <t>亡者盗贼のフード</t>
  </si>
  <si>
    <t>HollowThief'sHood</t>
  </si>
  <si>
    <t>亡者盗贼</t>
  </si>
  <si>
    <t>亡者盗贼的皮铠甲</t>
  </si>
  <si>
    <t>亡者盗贼の革铠</t>
  </si>
  <si>
    <t>HollowThief'sLeatherArmor</t>
  </si>
  <si>
    <t>亡者盗贼的紧身裤</t>
  </si>
  <si>
    <t>亡者盗贼のタイツ</t>
  </si>
  <si>
    <t>Hollow Thief's Tights</t>
  </si>
  <si>
    <t>亡者盗贼套装</t>
  </si>
  <si>
    <t>最下层亡者盗贼掉落</t>
  </si>
  <si>
    <t>王族兜鍪</t>
  </si>
  <si>
    <t>王族の兜</t>
  </si>
  <si>
    <t>RoyalHelm</t>
  </si>
  <si>
    <t>地下墓地杀死骷髅铁匠</t>
  </si>
  <si>
    <t>烂麻袋</t>
  </si>
  <si>
    <t>ずた袋</t>
  </si>
  <si>
    <t>Sack</t>
  </si>
  <si>
    <t>不死城下层厨师掉落</t>
  </si>
  <si>
    <t>牙猪的兜鍪</t>
  </si>
  <si>
    <t>牙猪の兜</t>
  </si>
  <si>
    <t>FangBoarHelm</t>
  </si>
  <si>
    <t>铁皮豪猪掉落（每周目3只）</t>
  </si>
  <si>
    <t>石像鬼的兜鍪</t>
  </si>
  <si>
    <t>ガーゴイルの兜</t>
  </si>
  <si>
    <t>GargoyleHelm</t>
  </si>
  <si>
    <t>石像鬼掉落（每周目3只）</t>
  </si>
  <si>
    <t>父亲的面罩</t>
  </si>
  <si>
    <t>父の仮面</t>
  </si>
  <si>
    <t>MaskoftheFather</t>
  </si>
  <si>
    <t>持重增加</t>
  </si>
  <si>
    <t>三人羽织掉落
巨人墓地和库奇言归于好后作为商人在火祭场贩卖</t>
  </si>
  <si>
    <t>母亲的面罩</t>
  </si>
  <si>
    <t>母の仮面</t>
  </si>
  <si>
    <t>MaskoftheMother</t>
  </si>
  <si>
    <t>体力增加</t>
  </si>
  <si>
    <t>儿子的面罩</t>
  </si>
  <si>
    <t>子の仮面</t>
  </si>
  <si>
    <t>MaskoftheChild</t>
  </si>
  <si>
    <t>回精加速</t>
  </si>
  <si>
    <t>太阳虫</t>
  </si>
  <si>
    <t>SunlightMaggot</t>
  </si>
  <si>
    <t>照明</t>
  </si>
  <si>
    <t>混沌废都的太阳虫掉落（每周目固定掉落1个）</t>
  </si>
  <si>
    <t>贪欲者的烙印</t>
  </si>
  <si>
    <t>贪欲者の烙印</t>
  </si>
  <si>
    <t>SymbolofAvarice</t>
  </si>
  <si>
    <t>掉宝率增加
持续掉血</t>
  </si>
  <si>
    <t>宝箱怪掉落</t>
  </si>
  <si>
    <t>肥大的头颅</t>
  </si>
  <si>
    <t>肥大した头部</t>
  </si>
  <si>
    <t>BloatedHead</t>
  </si>
  <si>
    <t>肥大的魔法师头颅</t>
  </si>
  <si>
    <t>肥大した魔术师の头部</t>
  </si>
  <si>
    <t>BloatedSorcererHead</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</si>
</sst>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_ "/>
  </numFmts>
  <fonts count="22">
    <font>
      <sz val="11"/>
      <color theme="1"/>
      <name val="宋体"/>
      <charset val="134"/>
      <scheme val="minor"/>
    </font>
    <font>
      <sz val="11"/>
      <name val="宋体"/>
      <charset val="134"/>
      <scheme val="minor"/>
    </font>
    <font>
      <sz val="11"/>
      <color theme="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1"/>
      <color rgb="FF3F3F3F"/>
      <name val="宋体"/>
      <charset val="0"/>
      <scheme val="minor"/>
    </font>
    <font>
      <b/>
      <sz val="13"/>
      <color theme="3"/>
      <name val="宋体"/>
      <charset val="134"/>
      <scheme val="minor"/>
    </font>
    <font>
      <b/>
      <sz val="11"/>
      <color theme="3"/>
      <name val="宋体"/>
      <charset val="134"/>
      <scheme val="minor"/>
    </font>
    <font>
      <b/>
      <sz val="11"/>
      <color theme="1"/>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s>
  <fills count="38">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
      <patternFill patternType="solid">
        <fgColor rgb="FF7030A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9"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0" borderId="0" applyNumberFormat="0" applyBorder="0" applyAlignment="0" applyProtection="0">
      <alignment vertical="center"/>
    </xf>
    <xf numFmtId="0" fontId="4"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8" borderId="0" applyNumberFormat="0" applyBorder="0" applyAlignment="0" applyProtection="0">
      <alignment vertical="center"/>
    </xf>
    <xf numFmtId="0" fontId="5" fillId="13"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7" borderId="3" applyNumberFormat="0" applyFont="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5" applyNumberFormat="0" applyFill="0" applyAlignment="0" applyProtection="0">
      <alignment vertical="center"/>
    </xf>
    <xf numFmtId="0" fontId="11" fillId="0" borderId="5" applyNumberFormat="0" applyFill="0" applyAlignment="0" applyProtection="0">
      <alignment vertical="center"/>
    </xf>
    <xf numFmtId="0" fontId="6" fillId="16" borderId="0" applyNumberFormat="0" applyBorder="0" applyAlignment="0" applyProtection="0">
      <alignment vertical="center"/>
    </xf>
    <xf numFmtId="0" fontId="12" fillId="0" borderId="9" applyNumberFormat="0" applyFill="0" applyAlignment="0" applyProtection="0">
      <alignment vertical="center"/>
    </xf>
    <xf numFmtId="0" fontId="6" fillId="22" borderId="0" applyNumberFormat="0" applyBorder="0" applyAlignment="0" applyProtection="0">
      <alignment vertical="center"/>
    </xf>
    <xf numFmtId="0" fontId="10" fillId="18" borderId="4" applyNumberFormat="0" applyAlignment="0" applyProtection="0">
      <alignment vertical="center"/>
    </xf>
    <xf numFmtId="0" fontId="14" fillId="18" borderId="2" applyNumberFormat="0" applyAlignment="0" applyProtection="0">
      <alignment vertical="center"/>
    </xf>
    <xf numFmtId="0" fontId="16" fillId="20" borderId="7" applyNumberFormat="0" applyAlignment="0" applyProtection="0">
      <alignment vertical="center"/>
    </xf>
    <xf numFmtId="0" fontId="3" fillId="24" borderId="0" applyNumberFormat="0" applyBorder="0" applyAlignment="0" applyProtection="0">
      <alignment vertical="center"/>
    </xf>
    <xf numFmtId="0" fontId="6" fillId="27" borderId="0" applyNumberFormat="0" applyBorder="0" applyAlignment="0" applyProtection="0">
      <alignment vertical="center"/>
    </xf>
    <xf numFmtId="0" fontId="18" fillId="0" borderId="8" applyNumberFormat="0" applyFill="0" applyAlignment="0" applyProtection="0">
      <alignment vertical="center"/>
    </xf>
    <xf numFmtId="0" fontId="13" fillId="0" borderId="6" applyNumberFormat="0" applyFill="0" applyAlignment="0" applyProtection="0">
      <alignment vertical="center"/>
    </xf>
    <xf numFmtId="0" fontId="20" fillId="26" borderId="0" applyNumberFormat="0" applyBorder="0" applyAlignment="0" applyProtection="0">
      <alignment vertical="center"/>
    </xf>
    <xf numFmtId="0" fontId="21" fillId="30" borderId="0" applyNumberFormat="0" applyBorder="0" applyAlignment="0" applyProtection="0">
      <alignment vertical="center"/>
    </xf>
    <xf numFmtId="0" fontId="3" fillId="32" borderId="0" applyNumberFormat="0" applyBorder="0" applyAlignment="0" applyProtection="0">
      <alignment vertical="center"/>
    </xf>
    <xf numFmtId="0" fontId="6" fillId="29" borderId="0" applyNumberFormat="0" applyBorder="0" applyAlignment="0" applyProtection="0">
      <alignment vertical="center"/>
    </xf>
    <xf numFmtId="0" fontId="3" fillId="19"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11" borderId="0" applyNumberFormat="0" applyBorder="0" applyAlignment="0" applyProtection="0">
      <alignment vertical="center"/>
    </xf>
    <xf numFmtId="0" fontId="6" fillId="35" borderId="0" applyNumberFormat="0" applyBorder="0" applyAlignment="0" applyProtection="0">
      <alignment vertical="center"/>
    </xf>
    <xf numFmtId="0" fontId="6" fillId="23" borderId="0" applyNumberFormat="0" applyBorder="0" applyAlignment="0" applyProtection="0">
      <alignment vertical="center"/>
    </xf>
    <xf numFmtId="0" fontId="3" fillId="9" borderId="0" applyNumberFormat="0" applyBorder="0" applyAlignment="0" applyProtection="0">
      <alignment vertical="center"/>
    </xf>
    <xf numFmtId="0" fontId="3" fillId="31" borderId="0" applyNumberFormat="0" applyBorder="0" applyAlignment="0" applyProtection="0">
      <alignment vertical="center"/>
    </xf>
    <xf numFmtId="0" fontId="6" fillId="34" borderId="0" applyNumberFormat="0" applyBorder="0" applyAlignment="0" applyProtection="0">
      <alignment vertical="center"/>
    </xf>
    <xf numFmtId="0" fontId="3" fillId="7" borderId="0" applyNumberFormat="0" applyBorder="0" applyAlignment="0" applyProtection="0">
      <alignment vertical="center"/>
    </xf>
    <xf numFmtId="0" fontId="6" fillId="21" borderId="0" applyNumberFormat="0" applyBorder="0" applyAlignment="0" applyProtection="0">
      <alignment vertical="center"/>
    </xf>
    <xf numFmtId="0" fontId="6" fillId="37" borderId="0" applyNumberFormat="0" applyBorder="0" applyAlignment="0" applyProtection="0">
      <alignment vertical="center"/>
    </xf>
    <xf numFmtId="0" fontId="3" fillId="33" borderId="0" applyNumberFormat="0" applyBorder="0" applyAlignment="0" applyProtection="0">
      <alignment vertical="center"/>
    </xf>
    <xf numFmtId="0" fontId="6" fillId="36" borderId="0" applyNumberFormat="0" applyBorder="0" applyAlignment="0" applyProtection="0">
      <alignment vertical="center"/>
    </xf>
  </cellStyleXfs>
  <cellXfs count="26">
    <xf numFmtId="0" fontId="0" fillId="0" borderId="0" xfId="0">
      <alignment vertical="center"/>
    </xf>
    <xf numFmtId="0" fontId="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xf>
    <xf numFmtId="176" fontId="0" fillId="0" borderId="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xf>
    <xf numFmtId="0" fontId="0" fillId="2" borderId="1" xfId="0" applyFont="1" applyFill="1" applyBorder="1" applyAlignment="1">
      <alignment horizontal="center" vertical="center" wrapText="1"/>
    </xf>
    <xf numFmtId="176" fontId="0" fillId="2"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176" fontId="0" fillId="3"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176" fontId="0" fillId="4"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wrapText="1"/>
    </xf>
    <xf numFmtId="176" fontId="0" fillId="5" borderId="1" xfId="0" applyNumberFormat="1" applyFont="1" applyFill="1" applyBorder="1" applyAlignment="1">
      <alignment horizontal="center" vertical="center" wrapText="1"/>
    </xf>
    <xf numFmtId="0" fontId="1" fillId="0" borderId="1" xfId="0" applyFont="1" applyFill="1" applyBorder="1" applyAlignment="1">
      <alignment vertical="center"/>
    </xf>
    <xf numFmtId="0" fontId="2" fillId="6" borderId="1" xfId="0" applyFont="1" applyFill="1" applyBorder="1" applyAlignment="1">
      <alignment horizontal="center" vertical="center" wrapText="1"/>
    </xf>
    <xf numFmtId="176" fontId="2" fillId="6" borderId="1" xfId="0" applyNumberFormat="1"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0" borderId="1" xfId="0" applyBorder="1">
      <alignment vertical="center"/>
    </xf>
    <xf numFmtId="0" fontId="0" fillId="3" borderId="1" xfId="0" applyFill="1" applyBorder="1" applyAlignment="1">
      <alignment horizontal="left" vertical="center" wrapText="1"/>
    </xf>
    <xf numFmtId="0" fontId="0" fillId="0" borderId="1"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9" Type="http://schemas.openxmlformats.org/officeDocument/2006/relationships/image" Target="media/image101.jpeg"/><Relationship Id="rId98" Type="http://schemas.openxmlformats.org/officeDocument/2006/relationships/image" Target="media/image100.jpeg"/><Relationship Id="rId97" Type="http://schemas.openxmlformats.org/officeDocument/2006/relationships/image" Target="media/image99.jpeg"/><Relationship Id="rId96" Type="http://schemas.openxmlformats.org/officeDocument/2006/relationships/image" Target="media/image98.jpeg"/><Relationship Id="rId95" Type="http://schemas.openxmlformats.org/officeDocument/2006/relationships/image" Target="media/image97.jpeg"/><Relationship Id="rId94" Type="http://schemas.openxmlformats.org/officeDocument/2006/relationships/image" Target="media/image96.jpeg"/><Relationship Id="rId93" Type="http://schemas.openxmlformats.org/officeDocument/2006/relationships/image" Target="media/image95.jpeg"/><Relationship Id="rId92" Type="http://schemas.openxmlformats.org/officeDocument/2006/relationships/image" Target="media/image94.jpeg"/><Relationship Id="rId91" Type="http://schemas.openxmlformats.org/officeDocument/2006/relationships/image" Target="media/image93.jpeg"/><Relationship Id="rId90" Type="http://schemas.openxmlformats.org/officeDocument/2006/relationships/image" Target="media/image92.jpeg"/><Relationship Id="rId9" Type="http://schemas.openxmlformats.org/officeDocument/2006/relationships/image" Target="media/image11.jpeg"/><Relationship Id="rId89" Type="http://schemas.openxmlformats.org/officeDocument/2006/relationships/image" Target="media/image91.jpeg"/><Relationship Id="rId88" Type="http://schemas.openxmlformats.org/officeDocument/2006/relationships/image" Target="media/image90.jpeg"/><Relationship Id="rId87" Type="http://schemas.openxmlformats.org/officeDocument/2006/relationships/image" Target="media/image89.jpeg"/><Relationship Id="rId86" Type="http://schemas.openxmlformats.org/officeDocument/2006/relationships/image" Target="media/image88.jpeg"/><Relationship Id="rId85" Type="http://schemas.openxmlformats.org/officeDocument/2006/relationships/image" Target="media/image87.jpeg"/><Relationship Id="rId84" Type="http://schemas.openxmlformats.org/officeDocument/2006/relationships/image" Target="media/image86.jpeg"/><Relationship Id="rId83" Type="http://schemas.openxmlformats.org/officeDocument/2006/relationships/image" Target="media/image85.jpeg"/><Relationship Id="rId82" Type="http://schemas.openxmlformats.org/officeDocument/2006/relationships/image" Target="media/image84.jpeg"/><Relationship Id="rId81" Type="http://schemas.openxmlformats.org/officeDocument/2006/relationships/image" Target="media/image83.jpeg"/><Relationship Id="rId80" Type="http://schemas.openxmlformats.org/officeDocument/2006/relationships/image" Target="media/image82.jpeg"/><Relationship Id="rId8" Type="http://schemas.openxmlformats.org/officeDocument/2006/relationships/image" Target="media/image10.jpeg"/><Relationship Id="rId79" Type="http://schemas.openxmlformats.org/officeDocument/2006/relationships/image" Target="media/image81.jpeg"/><Relationship Id="rId78" Type="http://schemas.openxmlformats.org/officeDocument/2006/relationships/image" Target="media/image80.jpeg"/><Relationship Id="rId77" Type="http://schemas.openxmlformats.org/officeDocument/2006/relationships/image" Target="media/image79.jpeg"/><Relationship Id="rId76" Type="http://schemas.openxmlformats.org/officeDocument/2006/relationships/image" Target="media/image78.jpeg"/><Relationship Id="rId75" Type="http://schemas.openxmlformats.org/officeDocument/2006/relationships/image" Target="media/image77.jpeg"/><Relationship Id="rId74" Type="http://schemas.openxmlformats.org/officeDocument/2006/relationships/image" Target="media/image76.jpeg"/><Relationship Id="rId73" Type="http://schemas.openxmlformats.org/officeDocument/2006/relationships/image" Target="media/image75.jpeg"/><Relationship Id="rId72" Type="http://schemas.openxmlformats.org/officeDocument/2006/relationships/image" Target="media/image74.jpeg"/><Relationship Id="rId71" Type="http://schemas.openxmlformats.org/officeDocument/2006/relationships/image" Target="media/image73.jpeg"/><Relationship Id="rId70" Type="http://schemas.openxmlformats.org/officeDocument/2006/relationships/image" Target="media/image72.jpeg"/><Relationship Id="rId7" Type="http://schemas.openxmlformats.org/officeDocument/2006/relationships/image" Target="media/image9.jpeg"/><Relationship Id="rId69" Type="http://schemas.openxmlformats.org/officeDocument/2006/relationships/image" Target="media/image71.jpeg"/><Relationship Id="rId68" Type="http://schemas.openxmlformats.org/officeDocument/2006/relationships/image" Target="media/image70.jpeg"/><Relationship Id="rId67" Type="http://schemas.openxmlformats.org/officeDocument/2006/relationships/image" Target="media/image69.jpeg"/><Relationship Id="rId66" Type="http://schemas.openxmlformats.org/officeDocument/2006/relationships/image" Target="media/image68.jpeg"/><Relationship Id="rId65" Type="http://schemas.openxmlformats.org/officeDocument/2006/relationships/image" Target="media/image67.jpeg"/><Relationship Id="rId64" Type="http://schemas.openxmlformats.org/officeDocument/2006/relationships/image" Target="media/image66.jpeg"/><Relationship Id="rId63" Type="http://schemas.openxmlformats.org/officeDocument/2006/relationships/image" Target="media/image65.jpeg"/><Relationship Id="rId62" Type="http://schemas.openxmlformats.org/officeDocument/2006/relationships/image" Target="media/image64.jpeg"/><Relationship Id="rId61" Type="http://schemas.openxmlformats.org/officeDocument/2006/relationships/image" Target="media/image63.jpeg"/><Relationship Id="rId60" Type="http://schemas.openxmlformats.org/officeDocument/2006/relationships/image" Target="media/image62.jpeg"/><Relationship Id="rId6" Type="http://schemas.openxmlformats.org/officeDocument/2006/relationships/image" Target="media/image8.jpeg"/><Relationship Id="rId59" Type="http://schemas.openxmlformats.org/officeDocument/2006/relationships/image" Target="media/image61.jpeg"/><Relationship Id="rId58" Type="http://schemas.openxmlformats.org/officeDocument/2006/relationships/image" Target="media/image60.jpeg"/><Relationship Id="rId57" Type="http://schemas.openxmlformats.org/officeDocument/2006/relationships/image" Target="media/image59.jpeg"/><Relationship Id="rId56" Type="http://schemas.openxmlformats.org/officeDocument/2006/relationships/image" Target="media/image58.jpeg"/><Relationship Id="rId55" Type="http://schemas.openxmlformats.org/officeDocument/2006/relationships/image" Target="media/image57.jpeg"/><Relationship Id="rId54" Type="http://schemas.openxmlformats.org/officeDocument/2006/relationships/image" Target="media/image56.jpeg"/><Relationship Id="rId53" Type="http://schemas.openxmlformats.org/officeDocument/2006/relationships/image" Target="media/image55.jpeg"/><Relationship Id="rId52" Type="http://schemas.openxmlformats.org/officeDocument/2006/relationships/image" Target="media/image54.jpeg"/><Relationship Id="rId51" Type="http://schemas.openxmlformats.org/officeDocument/2006/relationships/image" Target="media/image53.jpeg"/><Relationship Id="rId50" Type="http://schemas.openxmlformats.org/officeDocument/2006/relationships/image" Target="media/image52.jpeg"/><Relationship Id="rId5" Type="http://schemas.openxmlformats.org/officeDocument/2006/relationships/image" Target="media/image7.jpeg"/><Relationship Id="rId49" Type="http://schemas.openxmlformats.org/officeDocument/2006/relationships/image" Target="media/image51.jpeg"/><Relationship Id="rId48" Type="http://schemas.openxmlformats.org/officeDocument/2006/relationships/image" Target="media/image50.jpeg"/><Relationship Id="rId47" Type="http://schemas.openxmlformats.org/officeDocument/2006/relationships/image" Target="media/image49.jpeg"/><Relationship Id="rId46" Type="http://schemas.openxmlformats.org/officeDocument/2006/relationships/image" Target="media/image48.jpeg"/><Relationship Id="rId45" Type="http://schemas.openxmlformats.org/officeDocument/2006/relationships/image" Target="media/image47.jpeg"/><Relationship Id="rId44" Type="http://schemas.openxmlformats.org/officeDocument/2006/relationships/image" Target="media/image46.jpeg"/><Relationship Id="rId43" Type="http://schemas.openxmlformats.org/officeDocument/2006/relationships/image" Target="media/image45.jpeg"/><Relationship Id="rId42" Type="http://schemas.openxmlformats.org/officeDocument/2006/relationships/image" Target="media/image44.jpeg"/><Relationship Id="rId41" Type="http://schemas.openxmlformats.org/officeDocument/2006/relationships/image" Target="media/image43.jpeg"/><Relationship Id="rId40" Type="http://schemas.openxmlformats.org/officeDocument/2006/relationships/image" Target="media/image42.jpeg"/><Relationship Id="rId4" Type="http://schemas.openxmlformats.org/officeDocument/2006/relationships/image" Target="media/image6.jpeg"/><Relationship Id="rId39" Type="http://schemas.openxmlformats.org/officeDocument/2006/relationships/image" Target="media/image41.jpeg"/><Relationship Id="rId38" Type="http://schemas.openxmlformats.org/officeDocument/2006/relationships/image" Target="media/image40.jpeg"/><Relationship Id="rId37" Type="http://schemas.openxmlformats.org/officeDocument/2006/relationships/image" Target="media/image39.jpeg"/><Relationship Id="rId36" Type="http://schemas.openxmlformats.org/officeDocument/2006/relationships/image" Target="media/image38.jpeg"/><Relationship Id="rId351" Type="http://schemas.openxmlformats.org/officeDocument/2006/relationships/image" Target="media/image353.jpeg"/><Relationship Id="rId350" Type="http://schemas.openxmlformats.org/officeDocument/2006/relationships/image" Target="media/image352.jpeg"/><Relationship Id="rId35" Type="http://schemas.openxmlformats.org/officeDocument/2006/relationships/image" Target="media/image37.jpeg"/><Relationship Id="rId349" Type="http://schemas.openxmlformats.org/officeDocument/2006/relationships/image" Target="media/image351.jpeg"/><Relationship Id="rId348" Type="http://schemas.openxmlformats.org/officeDocument/2006/relationships/image" Target="media/image350.jpeg"/><Relationship Id="rId347" Type="http://schemas.openxmlformats.org/officeDocument/2006/relationships/image" Target="media/image349.jpeg"/><Relationship Id="rId346" Type="http://schemas.openxmlformats.org/officeDocument/2006/relationships/image" Target="media/image348.jpeg"/><Relationship Id="rId345" Type="http://schemas.openxmlformats.org/officeDocument/2006/relationships/image" Target="media/image347.jpeg"/><Relationship Id="rId344" Type="http://schemas.openxmlformats.org/officeDocument/2006/relationships/image" Target="media/image346.jpeg"/><Relationship Id="rId343" Type="http://schemas.openxmlformats.org/officeDocument/2006/relationships/image" Target="media/image345.jpeg"/><Relationship Id="rId342" Type="http://schemas.openxmlformats.org/officeDocument/2006/relationships/image" Target="media/image344.jpeg"/><Relationship Id="rId341" Type="http://schemas.openxmlformats.org/officeDocument/2006/relationships/image" Target="media/image343.jpeg"/><Relationship Id="rId340" Type="http://schemas.openxmlformats.org/officeDocument/2006/relationships/image" Target="media/image342.jpeg"/><Relationship Id="rId34" Type="http://schemas.openxmlformats.org/officeDocument/2006/relationships/image" Target="media/image36.jpeg"/><Relationship Id="rId339" Type="http://schemas.openxmlformats.org/officeDocument/2006/relationships/image" Target="media/image341.jpeg"/><Relationship Id="rId338" Type="http://schemas.openxmlformats.org/officeDocument/2006/relationships/image" Target="media/image340.jpeg"/><Relationship Id="rId337" Type="http://schemas.openxmlformats.org/officeDocument/2006/relationships/image" Target="media/image339.jpeg"/><Relationship Id="rId336" Type="http://schemas.openxmlformats.org/officeDocument/2006/relationships/image" Target="media/image338.jpeg"/><Relationship Id="rId335" Type="http://schemas.openxmlformats.org/officeDocument/2006/relationships/image" Target="media/image337.jpeg"/><Relationship Id="rId334" Type="http://schemas.openxmlformats.org/officeDocument/2006/relationships/image" Target="media/image336.jpeg"/><Relationship Id="rId333" Type="http://schemas.openxmlformats.org/officeDocument/2006/relationships/image" Target="media/image335.jpeg"/><Relationship Id="rId332" Type="http://schemas.openxmlformats.org/officeDocument/2006/relationships/image" Target="media/image334.jpeg"/><Relationship Id="rId331" Type="http://schemas.openxmlformats.org/officeDocument/2006/relationships/image" Target="media/image333.jpeg"/><Relationship Id="rId330" Type="http://schemas.openxmlformats.org/officeDocument/2006/relationships/image" Target="media/image332.jpeg"/><Relationship Id="rId33" Type="http://schemas.openxmlformats.org/officeDocument/2006/relationships/image" Target="media/image35.jpeg"/><Relationship Id="rId329" Type="http://schemas.openxmlformats.org/officeDocument/2006/relationships/image" Target="media/image331.jpeg"/><Relationship Id="rId328" Type="http://schemas.openxmlformats.org/officeDocument/2006/relationships/image" Target="media/image330.jpeg"/><Relationship Id="rId327" Type="http://schemas.openxmlformats.org/officeDocument/2006/relationships/image" Target="media/image329.jpeg"/><Relationship Id="rId326" Type="http://schemas.openxmlformats.org/officeDocument/2006/relationships/image" Target="media/image328.jpeg"/><Relationship Id="rId325" Type="http://schemas.openxmlformats.org/officeDocument/2006/relationships/image" Target="media/image327.jpeg"/><Relationship Id="rId324" Type="http://schemas.openxmlformats.org/officeDocument/2006/relationships/image" Target="media/image326.jpeg"/><Relationship Id="rId323" Type="http://schemas.openxmlformats.org/officeDocument/2006/relationships/image" Target="media/image325.jpeg"/><Relationship Id="rId322" Type="http://schemas.openxmlformats.org/officeDocument/2006/relationships/image" Target="media/image324.jpeg"/><Relationship Id="rId321" Type="http://schemas.openxmlformats.org/officeDocument/2006/relationships/image" Target="media/image323.jpeg"/><Relationship Id="rId320" Type="http://schemas.openxmlformats.org/officeDocument/2006/relationships/image" Target="media/image322.jpeg"/><Relationship Id="rId32" Type="http://schemas.openxmlformats.org/officeDocument/2006/relationships/image" Target="media/image34.jpeg"/><Relationship Id="rId319" Type="http://schemas.openxmlformats.org/officeDocument/2006/relationships/image" Target="media/image321.jpeg"/><Relationship Id="rId318" Type="http://schemas.openxmlformats.org/officeDocument/2006/relationships/image" Target="media/image320.jpeg"/><Relationship Id="rId317" Type="http://schemas.openxmlformats.org/officeDocument/2006/relationships/image" Target="media/image319.jpeg"/><Relationship Id="rId316" Type="http://schemas.openxmlformats.org/officeDocument/2006/relationships/image" Target="media/image318.jpeg"/><Relationship Id="rId315" Type="http://schemas.openxmlformats.org/officeDocument/2006/relationships/image" Target="media/image317.jpeg"/><Relationship Id="rId314" Type="http://schemas.openxmlformats.org/officeDocument/2006/relationships/image" Target="media/image316.jpeg"/><Relationship Id="rId313" Type="http://schemas.openxmlformats.org/officeDocument/2006/relationships/image" Target="media/image315.jpeg"/><Relationship Id="rId312" Type="http://schemas.openxmlformats.org/officeDocument/2006/relationships/image" Target="media/image314.jpeg"/><Relationship Id="rId311" Type="http://schemas.openxmlformats.org/officeDocument/2006/relationships/image" Target="media/image313.jpeg"/><Relationship Id="rId310" Type="http://schemas.openxmlformats.org/officeDocument/2006/relationships/image" Target="media/image312.jpeg"/><Relationship Id="rId31" Type="http://schemas.openxmlformats.org/officeDocument/2006/relationships/image" Target="media/image33.jpeg"/><Relationship Id="rId309" Type="http://schemas.openxmlformats.org/officeDocument/2006/relationships/image" Target="media/image311.jpeg"/><Relationship Id="rId308" Type="http://schemas.openxmlformats.org/officeDocument/2006/relationships/image" Target="media/image310.jpeg"/><Relationship Id="rId307" Type="http://schemas.openxmlformats.org/officeDocument/2006/relationships/image" Target="media/image309.jpeg"/><Relationship Id="rId306" Type="http://schemas.openxmlformats.org/officeDocument/2006/relationships/image" Target="media/image308.jpeg"/><Relationship Id="rId305" Type="http://schemas.openxmlformats.org/officeDocument/2006/relationships/image" Target="media/image307.jpeg"/><Relationship Id="rId304" Type="http://schemas.openxmlformats.org/officeDocument/2006/relationships/image" Target="media/image306.jpeg"/><Relationship Id="rId303" Type="http://schemas.openxmlformats.org/officeDocument/2006/relationships/image" Target="media/image305.jpeg"/><Relationship Id="rId302" Type="http://schemas.openxmlformats.org/officeDocument/2006/relationships/image" Target="media/image304.jpeg"/><Relationship Id="rId301" Type="http://schemas.openxmlformats.org/officeDocument/2006/relationships/image" Target="media/image303.jpeg"/><Relationship Id="rId300" Type="http://schemas.openxmlformats.org/officeDocument/2006/relationships/image" Target="media/image302.jpeg"/><Relationship Id="rId30" Type="http://schemas.openxmlformats.org/officeDocument/2006/relationships/image" Target="media/image32.jpeg"/><Relationship Id="rId3" Type="http://schemas.openxmlformats.org/officeDocument/2006/relationships/image" Target="media/image5.jpeg"/><Relationship Id="rId299" Type="http://schemas.openxmlformats.org/officeDocument/2006/relationships/image" Target="media/image301.jpeg"/><Relationship Id="rId298" Type="http://schemas.openxmlformats.org/officeDocument/2006/relationships/image" Target="media/image300.jpeg"/><Relationship Id="rId297" Type="http://schemas.openxmlformats.org/officeDocument/2006/relationships/image" Target="media/image299.jpeg"/><Relationship Id="rId296" Type="http://schemas.openxmlformats.org/officeDocument/2006/relationships/image" Target="media/image298.jpeg"/><Relationship Id="rId295" Type="http://schemas.openxmlformats.org/officeDocument/2006/relationships/image" Target="media/image297.jpeg"/><Relationship Id="rId294" Type="http://schemas.openxmlformats.org/officeDocument/2006/relationships/image" Target="media/image296.jpeg"/><Relationship Id="rId293" Type="http://schemas.openxmlformats.org/officeDocument/2006/relationships/image" Target="media/image295.jpeg"/><Relationship Id="rId292" Type="http://schemas.openxmlformats.org/officeDocument/2006/relationships/image" Target="media/image294.jpeg"/><Relationship Id="rId291" Type="http://schemas.openxmlformats.org/officeDocument/2006/relationships/image" Target="media/image293.jpeg"/><Relationship Id="rId290" Type="http://schemas.openxmlformats.org/officeDocument/2006/relationships/image" Target="media/image292.jpeg"/><Relationship Id="rId29" Type="http://schemas.openxmlformats.org/officeDocument/2006/relationships/image" Target="media/image31.jpeg"/><Relationship Id="rId289" Type="http://schemas.openxmlformats.org/officeDocument/2006/relationships/image" Target="media/image291.jpeg"/><Relationship Id="rId288" Type="http://schemas.openxmlformats.org/officeDocument/2006/relationships/image" Target="media/image290.jpeg"/><Relationship Id="rId287" Type="http://schemas.openxmlformats.org/officeDocument/2006/relationships/image" Target="media/image289.jpeg"/><Relationship Id="rId286" Type="http://schemas.openxmlformats.org/officeDocument/2006/relationships/image" Target="media/image288.jpeg"/><Relationship Id="rId285" Type="http://schemas.openxmlformats.org/officeDocument/2006/relationships/image" Target="media/image287.jpeg"/><Relationship Id="rId284" Type="http://schemas.openxmlformats.org/officeDocument/2006/relationships/image" Target="media/image286.jpeg"/><Relationship Id="rId283" Type="http://schemas.openxmlformats.org/officeDocument/2006/relationships/image" Target="media/image285.jpeg"/><Relationship Id="rId282" Type="http://schemas.openxmlformats.org/officeDocument/2006/relationships/image" Target="media/image284.jpeg"/><Relationship Id="rId281" Type="http://schemas.openxmlformats.org/officeDocument/2006/relationships/image" Target="media/image283.jpeg"/><Relationship Id="rId280" Type="http://schemas.openxmlformats.org/officeDocument/2006/relationships/image" Target="media/image282.jpeg"/><Relationship Id="rId28" Type="http://schemas.openxmlformats.org/officeDocument/2006/relationships/image" Target="media/image30.jpeg"/><Relationship Id="rId279" Type="http://schemas.openxmlformats.org/officeDocument/2006/relationships/image" Target="media/image281.jpeg"/><Relationship Id="rId278" Type="http://schemas.openxmlformats.org/officeDocument/2006/relationships/image" Target="media/image280.jpeg"/><Relationship Id="rId277" Type="http://schemas.openxmlformats.org/officeDocument/2006/relationships/image" Target="media/image279.jpeg"/><Relationship Id="rId276" Type="http://schemas.openxmlformats.org/officeDocument/2006/relationships/image" Target="media/image278.jpeg"/><Relationship Id="rId275" Type="http://schemas.openxmlformats.org/officeDocument/2006/relationships/image" Target="media/image277.jpeg"/><Relationship Id="rId274" Type="http://schemas.openxmlformats.org/officeDocument/2006/relationships/image" Target="media/image276.jpeg"/><Relationship Id="rId273" Type="http://schemas.openxmlformats.org/officeDocument/2006/relationships/image" Target="media/image275.jpeg"/><Relationship Id="rId272" Type="http://schemas.openxmlformats.org/officeDocument/2006/relationships/image" Target="media/image274.jpeg"/><Relationship Id="rId271" Type="http://schemas.openxmlformats.org/officeDocument/2006/relationships/image" Target="media/image273.jpeg"/><Relationship Id="rId270" Type="http://schemas.openxmlformats.org/officeDocument/2006/relationships/image" Target="media/image272.jpeg"/><Relationship Id="rId27" Type="http://schemas.openxmlformats.org/officeDocument/2006/relationships/image" Target="media/image29.jpeg"/><Relationship Id="rId269" Type="http://schemas.openxmlformats.org/officeDocument/2006/relationships/image" Target="media/image271.jpeg"/><Relationship Id="rId268" Type="http://schemas.openxmlformats.org/officeDocument/2006/relationships/image" Target="media/image270.jpeg"/><Relationship Id="rId267" Type="http://schemas.openxmlformats.org/officeDocument/2006/relationships/image" Target="media/image269.jpeg"/><Relationship Id="rId266" Type="http://schemas.openxmlformats.org/officeDocument/2006/relationships/image" Target="media/image268.jpeg"/><Relationship Id="rId265" Type="http://schemas.openxmlformats.org/officeDocument/2006/relationships/image" Target="media/image267.jpeg"/><Relationship Id="rId264" Type="http://schemas.openxmlformats.org/officeDocument/2006/relationships/image" Target="media/image266.jpeg"/><Relationship Id="rId263" Type="http://schemas.openxmlformats.org/officeDocument/2006/relationships/image" Target="media/image265.jpeg"/><Relationship Id="rId262" Type="http://schemas.openxmlformats.org/officeDocument/2006/relationships/image" Target="media/image264.jpeg"/><Relationship Id="rId261" Type="http://schemas.openxmlformats.org/officeDocument/2006/relationships/image" Target="media/image263.jpeg"/><Relationship Id="rId260" Type="http://schemas.openxmlformats.org/officeDocument/2006/relationships/image" Target="media/image262.GIF"/><Relationship Id="rId26" Type="http://schemas.openxmlformats.org/officeDocument/2006/relationships/image" Target="media/image28.jpeg"/><Relationship Id="rId259" Type="http://schemas.openxmlformats.org/officeDocument/2006/relationships/image" Target="media/image261.jpeg"/><Relationship Id="rId258" Type="http://schemas.openxmlformats.org/officeDocument/2006/relationships/image" Target="media/image260.jpeg"/><Relationship Id="rId257" Type="http://schemas.openxmlformats.org/officeDocument/2006/relationships/image" Target="media/image259.jpeg"/><Relationship Id="rId256" Type="http://schemas.openxmlformats.org/officeDocument/2006/relationships/image" Target="media/image258.jpeg"/><Relationship Id="rId255" Type="http://schemas.openxmlformats.org/officeDocument/2006/relationships/image" Target="media/image257.jpeg"/><Relationship Id="rId254" Type="http://schemas.openxmlformats.org/officeDocument/2006/relationships/image" Target="media/image256.jpeg"/><Relationship Id="rId253" Type="http://schemas.openxmlformats.org/officeDocument/2006/relationships/image" Target="media/image255.jpeg"/><Relationship Id="rId252" Type="http://schemas.openxmlformats.org/officeDocument/2006/relationships/image" Target="media/image254.jpeg"/><Relationship Id="rId251" Type="http://schemas.openxmlformats.org/officeDocument/2006/relationships/image" Target="media/image253.jpeg"/><Relationship Id="rId250" Type="http://schemas.openxmlformats.org/officeDocument/2006/relationships/image" Target="media/image252.jpeg"/><Relationship Id="rId25" Type="http://schemas.openxmlformats.org/officeDocument/2006/relationships/image" Target="media/image27.jpeg"/><Relationship Id="rId249" Type="http://schemas.openxmlformats.org/officeDocument/2006/relationships/image" Target="media/image251.jpeg"/><Relationship Id="rId248" Type="http://schemas.openxmlformats.org/officeDocument/2006/relationships/image" Target="media/image250.jpeg"/><Relationship Id="rId247" Type="http://schemas.openxmlformats.org/officeDocument/2006/relationships/image" Target="media/image249.jpeg"/><Relationship Id="rId246" Type="http://schemas.openxmlformats.org/officeDocument/2006/relationships/image" Target="media/image248.jpeg"/><Relationship Id="rId245" Type="http://schemas.openxmlformats.org/officeDocument/2006/relationships/image" Target="media/image247.jpeg"/><Relationship Id="rId244" Type="http://schemas.openxmlformats.org/officeDocument/2006/relationships/image" Target="media/image246.jpeg"/><Relationship Id="rId243" Type="http://schemas.openxmlformats.org/officeDocument/2006/relationships/image" Target="media/image245.jpeg"/><Relationship Id="rId242" Type="http://schemas.openxmlformats.org/officeDocument/2006/relationships/image" Target="media/image244.jpeg"/><Relationship Id="rId241" Type="http://schemas.openxmlformats.org/officeDocument/2006/relationships/image" Target="media/image243.jpeg"/><Relationship Id="rId240" Type="http://schemas.openxmlformats.org/officeDocument/2006/relationships/image" Target="media/image242.jpeg"/><Relationship Id="rId24" Type="http://schemas.openxmlformats.org/officeDocument/2006/relationships/image" Target="media/image26.jpeg"/><Relationship Id="rId239" Type="http://schemas.openxmlformats.org/officeDocument/2006/relationships/image" Target="media/image241.jpeg"/><Relationship Id="rId238" Type="http://schemas.openxmlformats.org/officeDocument/2006/relationships/image" Target="media/image240.jpeg"/><Relationship Id="rId237" Type="http://schemas.openxmlformats.org/officeDocument/2006/relationships/image" Target="media/image239.jpeg"/><Relationship Id="rId236" Type="http://schemas.openxmlformats.org/officeDocument/2006/relationships/image" Target="media/image238.jpeg"/><Relationship Id="rId235" Type="http://schemas.openxmlformats.org/officeDocument/2006/relationships/image" Target="media/image237.jpeg"/><Relationship Id="rId234" Type="http://schemas.openxmlformats.org/officeDocument/2006/relationships/image" Target="media/image236.jpeg"/><Relationship Id="rId233" Type="http://schemas.openxmlformats.org/officeDocument/2006/relationships/image" Target="media/image235.jpeg"/><Relationship Id="rId232" Type="http://schemas.openxmlformats.org/officeDocument/2006/relationships/image" Target="media/image234.jpeg"/><Relationship Id="rId231" Type="http://schemas.openxmlformats.org/officeDocument/2006/relationships/image" Target="media/image233.jpeg"/><Relationship Id="rId230" Type="http://schemas.openxmlformats.org/officeDocument/2006/relationships/image" Target="media/image232.jpeg"/><Relationship Id="rId23" Type="http://schemas.openxmlformats.org/officeDocument/2006/relationships/image" Target="media/image25.jpeg"/><Relationship Id="rId229" Type="http://schemas.openxmlformats.org/officeDocument/2006/relationships/image" Target="media/image231.jpeg"/><Relationship Id="rId228" Type="http://schemas.openxmlformats.org/officeDocument/2006/relationships/image" Target="media/image230.jpeg"/><Relationship Id="rId227" Type="http://schemas.openxmlformats.org/officeDocument/2006/relationships/image" Target="media/image229.jpeg"/><Relationship Id="rId226" Type="http://schemas.openxmlformats.org/officeDocument/2006/relationships/image" Target="media/image228.jpeg"/><Relationship Id="rId225" Type="http://schemas.openxmlformats.org/officeDocument/2006/relationships/image" Target="media/image227.jpeg"/><Relationship Id="rId224" Type="http://schemas.openxmlformats.org/officeDocument/2006/relationships/image" Target="media/image226.jpeg"/><Relationship Id="rId223" Type="http://schemas.openxmlformats.org/officeDocument/2006/relationships/image" Target="media/image225.jpeg"/><Relationship Id="rId222" Type="http://schemas.openxmlformats.org/officeDocument/2006/relationships/image" Target="media/image224.jpeg"/><Relationship Id="rId221" Type="http://schemas.openxmlformats.org/officeDocument/2006/relationships/image" Target="media/image223.jpeg"/><Relationship Id="rId220" Type="http://schemas.openxmlformats.org/officeDocument/2006/relationships/image" Target="media/image222.jpeg"/><Relationship Id="rId22" Type="http://schemas.openxmlformats.org/officeDocument/2006/relationships/image" Target="media/image24.jpeg"/><Relationship Id="rId219" Type="http://schemas.openxmlformats.org/officeDocument/2006/relationships/image" Target="media/image221.jpeg"/><Relationship Id="rId218" Type="http://schemas.openxmlformats.org/officeDocument/2006/relationships/image" Target="media/image220.jpeg"/><Relationship Id="rId217" Type="http://schemas.openxmlformats.org/officeDocument/2006/relationships/image" Target="media/image219.jpeg"/><Relationship Id="rId216" Type="http://schemas.openxmlformats.org/officeDocument/2006/relationships/image" Target="media/image218.jpeg"/><Relationship Id="rId215" Type="http://schemas.openxmlformats.org/officeDocument/2006/relationships/image" Target="media/image217.jpeg"/><Relationship Id="rId214" Type="http://schemas.openxmlformats.org/officeDocument/2006/relationships/image" Target="media/image216.jpeg"/><Relationship Id="rId213" Type="http://schemas.openxmlformats.org/officeDocument/2006/relationships/image" Target="media/image215.jpeg"/><Relationship Id="rId212" Type="http://schemas.openxmlformats.org/officeDocument/2006/relationships/image" Target="media/image214.jpeg"/><Relationship Id="rId211" Type="http://schemas.openxmlformats.org/officeDocument/2006/relationships/image" Target="media/image213.jpeg"/><Relationship Id="rId210" Type="http://schemas.openxmlformats.org/officeDocument/2006/relationships/image" Target="media/image212.jpeg"/><Relationship Id="rId21" Type="http://schemas.openxmlformats.org/officeDocument/2006/relationships/image" Target="media/image23.jpeg"/><Relationship Id="rId209" Type="http://schemas.openxmlformats.org/officeDocument/2006/relationships/image" Target="media/image211.jpeg"/><Relationship Id="rId208" Type="http://schemas.openxmlformats.org/officeDocument/2006/relationships/image" Target="media/image210.jpeg"/><Relationship Id="rId207" Type="http://schemas.openxmlformats.org/officeDocument/2006/relationships/image" Target="media/image209.jpeg"/><Relationship Id="rId206" Type="http://schemas.openxmlformats.org/officeDocument/2006/relationships/image" Target="media/image208.jpeg"/><Relationship Id="rId205" Type="http://schemas.openxmlformats.org/officeDocument/2006/relationships/image" Target="media/image207.jpeg"/><Relationship Id="rId204" Type="http://schemas.openxmlformats.org/officeDocument/2006/relationships/image" Target="media/image206.jpeg"/><Relationship Id="rId203" Type="http://schemas.openxmlformats.org/officeDocument/2006/relationships/image" Target="media/image205.jpeg"/><Relationship Id="rId202" Type="http://schemas.openxmlformats.org/officeDocument/2006/relationships/image" Target="media/image204.jpeg"/><Relationship Id="rId201" Type="http://schemas.openxmlformats.org/officeDocument/2006/relationships/image" Target="media/image203.jpeg"/><Relationship Id="rId200" Type="http://schemas.openxmlformats.org/officeDocument/2006/relationships/image" Target="media/image202.jpeg"/><Relationship Id="rId20" Type="http://schemas.openxmlformats.org/officeDocument/2006/relationships/image" Target="media/image22.jpeg"/><Relationship Id="rId2" Type="http://schemas.openxmlformats.org/officeDocument/2006/relationships/image" Target="NULL" TargetMode="External"/><Relationship Id="rId199" Type="http://schemas.openxmlformats.org/officeDocument/2006/relationships/image" Target="media/image201.jpeg"/><Relationship Id="rId198" Type="http://schemas.openxmlformats.org/officeDocument/2006/relationships/image" Target="media/image200.jpeg"/><Relationship Id="rId197" Type="http://schemas.openxmlformats.org/officeDocument/2006/relationships/image" Target="media/image199.jpeg"/><Relationship Id="rId196" Type="http://schemas.openxmlformats.org/officeDocument/2006/relationships/image" Target="media/image198.jpeg"/><Relationship Id="rId195" Type="http://schemas.openxmlformats.org/officeDocument/2006/relationships/image" Target="media/image197.jpeg"/><Relationship Id="rId194" Type="http://schemas.openxmlformats.org/officeDocument/2006/relationships/image" Target="media/image196.jpeg"/><Relationship Id="rId193" Type="http://schemas.openxmlformats.org/officeDocument/2006/relationships/image" Target="media/image195.jpeg"/><Relationship Id="rId192" Type="http://schemas.openxmlformats.org/officeDocument/2006/relationships/image" Target="media/image194.jpeg"/><Relationship Id="rId191" Type="http://schemas.openxmlformats.org/officeDocument/2006/relationships/image" Target="media/image193.jpeg"/><Relationship Id="rId190" Type="http://schemas.openxmlformats.org/officeDocument/2006/relationships/image" Target="media/image192.jpeg"/><Relationship Id="rId19" Type="http://schemas.openxmlformats.org/officeDocument/2006/relationships/image" Target="media/image21.jpeg"/><Relationship Id="rId189" Type="http://schemas.openxmlformats.org/officeDocument/2006/relationships/image" Target="media/image191.jpeg"/><Relationship Id="rId188" Type="http://schemas.openxmlformats.org/officeDocument/2006/relationships/image" Target="media/image190.jpeg"/><Relationship Id="rId187" Type="http://schemas.openxmlformats.org/officeDocument/2006/relationships/image" Target="media/image189.jpeg"/><Relationship Id="rId186" Type="http://schemas.openxmlformats.org/officeDocument/2006/relationships/image" Target="media/image188.jpeg"/><Relationship Id="rId185" Type="http://schemas.openxmlformats.org/officeDocument/2006/relationships/image" Target="media/image187.jpeg"/><Relationship Id="rId184" Type="http://schemas.openxmlformats.org/officeDocument/2006/relationships/image" Target="media/image186.jpeg"/><Relationship Id="rId183" Type="http://schemas.openxmlformats.org/officeDocument/2006/relationships/image" Target="media/image185.jpeg"/><Relationship Id="rId182" Type="http://schemas.openxmlformats.org/officeDocument/2006/relationships/image" Target="media/image184.jpeg"/><Relationship Id="rId181" Type="http://schemas.openxmlformats.org/officeDocument/2006/relationships/image" Target="media/image183.jpeg"/><Relationship Id="rId180" Type="http://schemas.openxmlformats.org/officeDocument/2006/relationships/image" Target="media/image182.jpeg"/><Relationship Id="rId18" Type="http://schemas.openxmlformats.org/officeDocument/2006/relationships/image" Target="media/image20.jpeg"/><Relationship Id="rId179" Type="http://schemas.openxmlformats.org/officeDocument/2006/relationships/image" Target="media/image181.jpeg"/><Relationship Id="rId178" Type="http://schemas.openxmlformats.org/officeDocument/2006/relationships/image" Target="media/image180.jpeg"/><Relationship Id="rId177" Type="http://schemas.openxmlformats.org/officeDocument/2006/relationships/image" Target="media/image179.jpeg"/><Relationship Id="rId176" Type="http://schemas.openxmlformats.org/officeDocument/2006/relationships/image" Target="media/image178.jpeg"/><Relationship Id="rId175" Type="http://schemas.openxmlformats.org/officeDocument/2006/relationships/image" Target="media/image177.jpeg"/><Relationship Id="rId174" Type="http://schemas.openxmlformats.org/officeDocument/2006/relationships/image" Target="media/image176.jpeg"/><Relationship Id="rId173" Type="http://schemas.openxmlformats.org/officeDocument/2006/relationships/image" Target="media/image175.jpeg"/><Relationship Id="rId172" Type="http://schemas.openxmlformats.org/officeDocument/2006/relationships/image" Target="media/image174.jpeg"/><Relationship Id="rId171" Type="http://schemas.openxmlformats.org/officeDocument/2006/relationships/image" Target="media/image173.jpeg"/><Relationship Id="rId170" Type="http://schemas.openxmlformats.org/officeDocument/2006/relationships/image" Target="media/image172.jpeg"/><Relationship Id="rId17" Type="http://schemas.openxmlformats.org/officeDocument/2006/relationships/image" Target="media/image19.jpeg"/><Relationship Id="rId169" Type="http://schemas.openxmlformats.org/officeDocument/2006/relationships/image" Target="media/image171.jpeg"/><Relationship Id="rId168" Type="http://schemas.openxmlformats.org/officeDocument/2006/relationships/image" Target="media/image170.jpeg"/><Relationship Id="rId167" Type="http://schemas.openxmlformats.org/officeDocument/2006/relationships/image" Target="media/image169.jpeg"/><Relationship Id="rId166" Type="http://schemas.openxmlformats.org/officeDocument/2006/relationships/image" Target="media/image168.jpeg"/><Relationship Id="rId165" Type="http://schemas.openxmlformats.org/officeDocument/2006/relationships/image" Target="media/image167.jpeg"/><Relationship Id="rId164" Type="http://schemas.openxmlformats.org/officeDocument/2006/relationships/image" Target="media/image166.jpeg"/><Relationship Id="rId163" Type="http://schemas.openxmlformats.org/officeDocument/2006/relationships/image" Target="media/image165.jpeg"/><Relationship Id="rId162" Type="http://schemas.openxmlformats.org/officeDocument/2006/relationships/image" Target="media/image164.jpeg"/><Relationship Id="rId161" Type="http://schemas.openxmlformats.org/officeDocument/2006/relationships/image" Target="media/image163.jpeg"/><Relationship Id="rId160" Type="http://schemas.openxmlformats.org/officeDocument/2006/relationships/image" Target="media/image162.jpeg"/><Relationship Id="rId16" Type="http://schemas.openxmlformats.org/officeDocument/2006/relationships/image" Target="media/image18.jpeg"/><Relationship Id="rId159" Type="http://schemas.openxmlformats.org/officeDocument/2006/relationships/image" Target="media/image161.jpeg"/><Relationship Id="rId158" Type="http://schemas.openxmlformats.org/officeDocument/2006/relationships/image" Target="media/image160.jpeg"/><Relationship Id="rId157" Type="http://schemas.openxmlformats.org/officeDocument/2006/relationships/image" Target="media/image159.jpeg"/><Relationship Id="rId156" Type="http://schemas.openxmlformats.org/officeDocument/2006/relationships/image" Target="media/image158.jpeg"/><Relationship Id="rId155" Type="http://schemas.openxmlformats.org/officeDocument/2006/relationships/image" Target="media/image157.jpeg"/><Relationship Id="rId154" Type="http://schemas.openxmlformats.org/officeDocument/2006/relationships/image" Target="media/image156.jpeg"/><Relationship Id="rId153" Type="http://schemas.openxmlformats.org/officeDocument/2006/relationships/image" Target="media/image155.jpeg"/><Relationship Id="rId152" Type="http://schemas.openxmlformats.org/officeDocument/2006/relationships/image" Target="media/image154.jpeg"/><Relationship Id="rId151" Type="http://schemas.openxmlformats.org/officeDocument/2006/relationships/image" Target="media/image153.jpeg"/><Relationship Id="rId150" Type="http://schemas.openxmlformats.org/officeDocument/2006/relationships/image" Target="media/image152.jpeg"/><Relationship Id="rId15" Type="http://schemas.openxmlformats.org/officeDocument/2006/relationships/image" Target="media/image17.jpeg"/><Relationship Id="rId149" Type="http://schemas.openxmlformats.org/officeDocument/2006/relationships/image" Target="media/image151.jpeg"/><Relationship Id="rId148" Type="http://schemas.openxmlformats.org/officeDocument/2006/relationships/image" Target="media/image150.jpeg"/><Relationship Id="rId147" Type="http://schemas.openxmlformats.org/officeDocument/2006/relationships/image" Target="media/image149.jpeg"/><Relationship Id="rId146" Type="http://schemas.openxmlformats.org/officeDocument/2006/relationships/image" Target="media/image148.jpeg"/><Relationship Id="rId145" Type="http://schemas.openxmlformats.org/officeDocument/2006/relationships/image" Target="media/image147.jpeg"/><Relationship Id="rId144" Type="http://schemas.openxmlformats.org/officeDocument/2006/relationships/image" Target="media/image146.jpeg"/><Relationship Id="rId143" Type="http://schemas.openxmlformats.org/officeDocument/2006/relationships/image" Target="media/image145.jpeg"/><Relationship Id="rId142" Type="http://schemas.openxmlformats.org/officeDocument/2006/relationships/image" Target="media/image144.jpeg"/><Relationship Id="rId141" Type="http://schemas.openxmlformats.org/officeDocument/2006/relationships/image" Target="media/image143.jpeg"/><Relationship Id="rId140" Type="http://schemas.openxmlformats.org/officeDocument/2006/relationships/image" Target="media/image142.jpeg"/><Relationship Id="rId14" Type="http://schemas.openxmlformats.org/officeDocument/2006/relationships/image" Target="media/image16.jpeg"/><Relationship Id="rId139" Type="http://schemas.openxmlformats.org/officeDocument/2006/relationships/image" Target="media/image141.jpeg"/><Relationship Id="rId138" Type="http://schemas.openxmlformats.org/officeDocument/2006/relationships/image" Target="media/image140.jpeg"/><Relationship Id="rId137" Type="http://schemas.openxmlformats.org/officeDocument/2006/relationships/image" Target="media/image139.jpeg"/><Relationship Id="rId136" Type="http://schemas.openxmlformats.org/officeDocument/2006/relationships/image" Target="media/image138.jpeg"/><Relationship Id="rId135" Type="http://schemas.openxmlformats.org/officeDocument/2006/relationships/image" Target="media/image137.jpeg"/><Relationship Id="rId134" Type="http://schemas.openxmlformats.org/officeDocument/2006/relationships/image" Target="media/image136.jpeg"/><Relationship Id="rId133" Type="http://schemas.openxmlformats.org/officeDocument/2006/relationships/image" Target="media/image135.jpeg"/><Relationship Id="rId132" Type="http://schemas.openxmlformats.org/officeDocument/2006/relationships/image" Target="media/image134.jpeg"/><Relationship Id="rId131" Type="http://schemas.openxmlformats.org/officeDocument/2006/relationships/image" Target="media/image133.jpeg"/><Relationship Id="rId130" Type="http://schemas.openxmlformats.org/officeDocument/2006/relationships/image" Target="media/image132.jpeg"/><Relationship Id="rId13" Type="http://schemas.openxmlformats.org/officeDocument/2006/relationships/image" Target="media/image15.jpeg"/><Relationship Id="rId129" Type="http://schemas.openxmlformats.org/officeDocument/2006/relationships/image" Target="media/image131.jpeg"/><Relationship Id="rId128" Type="http://schemas.openxmlformats.org/officeDocument/2006/relationships/image" Target="media/image130.jpeg"/><Relationship Id="rId127" Type="http://schemas.openxmlformats.org/officeDocument/2006/relationships/image" Target="media/image129.jpeg"/><Relationship Id="rId126" Type="http://schemas.openxmlformats.org/officeDocument/2006/relationships/image" Target="media/image128.jpeg"/><Relationship Id="rId125" Type="http://schemas.openxmlformats.org/officeDocument/2006/relationships/image" Target="media/image127.jpeg"/><Relationship Id="rId124" Type="http://schemas.openxmlformats.org/officeDocument/2006/relationships/image" Target="media/image126.jpeg"/><Relationship Id="rId123" Type="http://schemas.openxmlformats.org/officeDocument/2006/relationships/image" Target="media/image125.jpeg"/><Relationship Id="rId122" Type="http://schemas.openxmlformats.org/officeDocument/2006/relationships/image" Target="media/image124.jpeg"/><Relationship Id="rId121" Type="http://schemas.openxmlformats.org/officeDocument/2006/relationships/image" Target="media/image123.jpeg"/><Relationship Id="rId120" Type="http://schemas.openxmlformats.org/officeDocument/2006/relationships/image" Target="media/image122.jpeg"/><Relationship Id="rId12" Type="http://schemas.openxmlformats.org/officeDocument/2006/relationships/image" Target="media/image14.jpeg"/><Relationship Id="rId119" Type="http://schemas.openxmlformats.org/officeDocument/2006/relationships/image" Target="media/image121.jpeg"/><Relationship Id="rId118" Type="http://schemas.openxmlformats.org/officeDocument/2006/relationships/image" Target="media/image120.jpeg"/><Relationship Id="rId117" Type="http://schemas.openxmlformats.org/officeDocument/2006/relationships/image" Target="media/image119.jpeg"/><Relationship Id="rId116" Type="http://schemas.openxmlformats.org/officeDocument/2006/relationships/image" Target="media/image118.jpeg"/><Relationship Id="rId115" Type="http://schemas.openxmlformats.org/officeDocument/2006/relationships/image" Target="media/image117.jpeg"/><Relationship Id="rId114" Type="http://schemas.openxmlformats.org/officeDocument/2006/relationships/image" Target="media/image116.jpeg"/><Relationship Id="rId113" Type="http://schemas.openxmlformats.org/officeDocument/2006/relationships/image" Target="media/image115.jpeg"/><Relationship Id="rId112" Type="http://schemas.openxmlformats.org/officeDocument/2006/relationships/image" Target="media/image114.jpeg"/><Relationship Id="rId111" Type="http://schemas.openxmlformats.org/officeDocument/2006/relationships/image" Target="media/image113.jpeg"/><Relationship Id="rId110" Type="http://schemas.openxmlformats.org/officeDocument/2006/relationships/image" Target="media/image112.jpeg"/><Relationship Id="rId11" Type="http://schemas.openxmlformats.org/officeDocument/2006/relationships/image" Target="media/image13.jpeg"/><Relationship Id="rId109" Type="http://schemas.openxmlformats.org/officeDocument/2006/relationships/image" Target="media/image111.jpeg"/><Relationship Id="rId108" Type="http://schemas.openxmlformats.org/officeDocument/2006/relationships/image" Target="media/image110.jpeg"/><Relationship Id="rId107" Type="http://schemas.openxmlformats.org/officeDocument/2006/relationships/image" Target="media/image109.jpeg"/><Relationship Id="rId106" Type="http://schemas.openxmlformats.org/officeDocument/2006/relationships/image" Target="media/image108.jpeg"/><Relationship Id="rId105" Type="http://schemas.openxmlformats.org/officeDocument/2006/relationships/image" Target="media/image107.jpeg"/><Relationship Id="rId104" Type="http://schemas.openxmlformats.org/officeDocument/2006/relationships/image" Target="media/image106.jpeg"/><Relationship Id="rId103" Type="http://schemas.openxmlformats.org/officeDocument/2006/relationships/image" Target="media/image105.jpeg"/><Relationship Id="rId102" Type="http://schemas.openxmlformats.org/officeDocument/2006/relationships/image" Target="media/image104.jpeg"/><Relationship Id="rId101" Type="http://schemas.openxmlformats.org/officeDocument/2006/relationships/image" Target="media/image103.jpeg"/><Relationship Id="rId100" Type="http://schemas.openxmlformats.org/officeDocument/2006/relationships/image" Target="media/image102.jpeg"/><Relationship Id="rId10" Type="http://schemas.openxmlformats.org/officeDocument/2006/relationships/image" Target="media/image12.jpeg"/><Relationship Id="rId1" Type="http://schemas.openxmlformats.org/officeDocument/2006/relationships/image" Target="media/image4.jpeg"/></Relationships>
</file>

<file path=xl/_rels/workbook.xml.rels><?xml version="1.0" encoding="UTF-8" standalone="yes"?>
<Relationships xmlns="http://schemas.openxmlformats.org/package/2006/relationships"><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75</xdr:row>
      <xdr:rowOff>0</xdr:rowOff>
    </xdr:from>
    <xdr:to>
      <xdr:col>0</xdr:col>
      <xdr:colOff>10160</xdr:colOff>
      <xdr:row>75</xdr:row>
      <xdr:rowOff>10160</xdr:rowOff>
    </xdr:to>
    <xdr:pic>
      <xdr:nvPicPr>
        <xdr:cNvPr id="132" name="图片 131" descr="游民星空"/>
        <xdr:cNvPicPr>
          <a:picLocks noChangeAspect="1"/>
        </xdr:cNvPicPr>
      </xdr:nvPicPr>
      <xdr:blipFill>
        <a:blip r:embed="rId1" r:link="rId2"/>
        <a:stretch>
          <a:fillRect/>
        </a:stretch>
      </xdr:blipFill>
      <xdr:spPr>
        <a:xfrm>
          <a:off x="0" y="78870175"/>
          <a:ext cx="10160" cy="10160"/>
        </a:xfrm>
        <a:prstGeom prst="rect">
          <a:avLst/>
        </a:prstGeom>
        <a:noFill/>
        <a:ln w="9525">
          <a:noFill/>
        </a:ln>
      </xdr:spPr>
    </xdr:pic>
    <xdr:clientData/>
  </xdr:twoCellAnchor>
  <xdr:twoCellAnchor editAs="oneCell">
    <xdr:from>
      <xdr:col>0</xdr:col>
      <xdr:colOff>0</xdr:colOff>
      <xdr:row>76</xdr:row>
      <xdr:rowOff>0</xdr:rowOff>
    </xdr:from>
    <xdr:to>
      <xdr:col>0</xdr:col>
      <xdr:colOff>10160</xdr:colOff>
      <xdr:row>76</xdr:row>
      <xdr:rowOff>10160</xdr:rowOff>
    </xdr:to>
    <xdr:pic>
      <xdr:nvPicPr>
        <xdr:cNvPr id="133" name="图片 132" descr="游民星空"/>
        <xdr:cNvPicPr>
          <a:picLocks noChangeAspect="1"/>
        </xdr:cNvPicPr>
      </xdr:nvPicPr>
      <xdr:blipFill>
        <a:blip r:embed="rId1" r:link="rId2"/>
        <a:stretch>
          <a:fillRect/>
        </a:stretch>
      </xdr:blipFill>
      <xdr:spPr>
        <a:xfrm>
          <a:off x="0" y="79852520"/>
          <a:ext cx="10160" cy="10160"/>
        </a:xfrm>
        <a:prstGeom prst="rect">
          <a:avLst/>
        </a:prstGeom>
        <a:noFill/>
        <a:ln w="9525">
          <a:noFill/>
        </a:ln>
      </xdr:spPr>
    </xdr:pic>
    <xdr:clientData/>
  </xdr:twoCellAnchor>
  <xdr:twoCellAnchor editAs="oneCell">
    <xdr:from>
      <xdr:col>0</xdr:col>
      <xdr:colOff>0</xdr:colOff>
      <xdr:row>81</xdr:row>
      <xdr:rowOff>0</xdr:rowOff>
    </xdr:from>
    <xdr:to>
      <xdr:col>0</xdr:col>
      <xdr:colOff>10160</xdr:colOff>
      <xdr:row>81</xdr:row>
      <xdr:rowOff>10160</xdr:rowOff>
    </xdr:to>
    <xdr:pic>
      <xdr:nvPicPr>
        <xdr:cNvPr id="134" name="图片 133" descr="游民星空"/>
        <xdr:cNvPicPr>
          <a:picLocks noChangeAspect="1"/>
        </xdr:cNvPicPr>
      </xdr:nvPicPr>
      <xdr:blipFill>
        <a:blip r:embed="rId1" r:link="rId2"/>
        <a:stretch>
          <a:fillRect/>
        </a:stretch>
      </xdr:blipFill>
      <xdr:spPr>
        <a:xfrm>
          <a:off x="0" y="85283675"/>
          <a:ext cx="10160" cy="10160"/>
        </a:xfrm>
        <a:prstGeom prst="rect">
          <a:avLst/>
        </a:prstGeom>
        <a:noFill/>
        <a:ln w="9525">
          <a:noFill/>
        </a:ln>
      </xdr:spPr>
    </xdr:pic>
    <xdr:clientData/>
  </xdr:twoCellAnchor>
  <xdr:twoCellAnchor editAs="oneCell">
    <xdr:from>
      <xdr:col>0</xdr:col>
      <xdr:colOff>0</xdr:colOff>
      <xdr:row>82</xdr:row>
      <xdr:rowOff>0</xdr:rowOff>
    </xdr:from>
    <xdr:to>
      <xdr:col>0</xdr:col>
      <xdr:colOff>10160</xdr:colOff>
      <xdr:row>82</xdr:row>
      <xdr:rowOff>10160</xdr:rowOff>
    </xdr:to>
    <xdr:pic>
      <xdr:nvPicPr>
        <xdr:cNvPr id="135" name="图片 134" descr="游民星空"/>
        <xdr:cNvPicPr>
          <a:picLocks noChangeAspect="1"/>
        </xdr:cNvPicPr>
      </xdr:nvPicPr>
      <xdr:blipFill>
        <a:blip r:embed="rId1" r:link="rId2"/>
        <a:stretch>
          <a:fillRect/>
        </a:stretch>
      </xdr:blipFill>
      <xdr:spPr>
        <a:xfrm>
          <a:off x="0" y="86266020"/>
          <a:ext cx="10160" cy="10160"/>
        </a:xfrm>
        <a:prstGeom prst="rect">
          <a:avLst/>
        </a:prstGeom>
        <a:noFill/>
        <a:ln w="9525">
          <a:noFill/>
        </a:ln>
      </xdr:spPr>
    </xdr:pic>
    <xdr:clientData/>
  </xdr:twoCellAnchor>
  <xdr:twoCellAnchor editAs="oneCell">
    <xdr:from>
      <xdr:col>0</xdr:col>
      <xdr:colOff>0</xdr:colOff>
      <xdr:row>95</xdr:row>
      <xdr:rowOff>0</xdr:rowOff>
    </xdr:from>
    <xdr:to>
      <xdr:col>0</xdr:col>
      <xdr:colOff>10160</xdr:colOff>
      <xdr:row>95</xdr:row>
      <xdr:rowOff>10160</xdr:rowOff>
    </xdr:to>
    <xdr:pic>
      <xdr:nvPicPr>
        <xdr:cNvPr id="136" name="图片 135" descr="游民星空"/>
        <xdr:cNvPicPr>
          <a:picLocks noChangeAspect="1"/>
        </xdr:cNvPicPr>
      </xdr:nvPicPr>
      <xdr:blipFill>
        <a:blip r:embed="rId1" r:link="rId2"/>
        <a:stretch>
          <a:fillRect/>
        </a:stretch>
      </xdr:blipFill>
      <xdr:spPr>
        <a:xfrm>
          <a:off x="0" y="100075365"/>
          <a:ext cx="10160" cy="10160"/>
        </a:xfrm>
        <a:prstGeom prst="rect">
          <a:avLst/>
        </a:prstGeom>
        <a:noFill/>
        <a:ln w="9525">
          <a:noFill/>
        </a:ln>
      </xdr:spPr>
    </xdr:pic>
    <xdr:clientData/>
  </xdr:twoCellAnchor>
  <xdr:twoCellAnchor editAs="oneCell">
    <xdr:from>
      <xdr:col>0</xdr:col>
      <xdr:colOff>19050</xdr:colOff>
      <xdr:row>317</xdr:row>
      <xdr:rowOff>22860</xdr:rowOff>
    </xdr:from>
    <xdr:to>
      <xdr:col>0</xdr:col>
      <xdr:colOff>752475</xdr:colOff>
      <xdr:row>317</xdr:row>
      <xdr:rowOff>939165</xdr:rowOff>
    </xdr:to>
    <xdr:pic>
      <xdr:nvPicPr>
        <xdr:cNvPr id="8" name="ID_BB81CAAF0A8546D69D43BF7FDFDE7C34" descr="游民星空"/>
        <xdr:cNvPicPr>
          <a:picLocks noChangeAspect="1"/>
        </xdr:cNvPicPr>
      </xdr:nvPicPr>
      <xdr:blipFill>
        <a:blip r:embed="rId3" r:link="rId2"/>
        <a:stretch>
          <a:fillRect/>
        </a:stretch>
      </xdr:blipFill>
      <xdr:spPr>
        <a:xfrm>
          <a:off x="19050" y="339440520"/>
          <a:ext cx="733425" cy="916305"/>
        </a:xfrm>
        <a:prstGeom prst="rect">
          <a:avLst/>
        </a:prstGeom>
        <a:noFill/>
        <a:ln w="9525">
          <a:noFill/>
        </a:ln>
      </xdr:spPr>
    </xdr:pic>
    <xdr:clientData/>
  </xdr:twoCellAnchor>
  <xdr:twoCellAnchor editAs="oneCell">
    <xdr:from>
      <xdr:col>0</xdr:col>
      <xdr:colOff>19050</xdr:colOff>
      <xdr:row>285</xdr:row>
      <xdr:rowOff>68580</xdr:rowOff>
    </xdr:from>
    <xdr:to>
      <xdr:col>0</xdr:col>
      <xdr:colOff>752475</xdr:colOff>
      <xdr:row>285</xdr:row>
      <xdr:rowOff>893445</xdr:rowOff>
    </xdr:to>
    <xdr:pic>
      <xdr:nvPicPr>
        <xdr:cNvPr id="23" name="ID_0F5AEC08B77D43758FEBFF7E0EC82F12" descr="游民星空"/>
        <xdr:cNvPicPr>
          <a:picLocks noChangeAspect="1"/>
        </xdr:cNvPicPr>
      </xdr:nvPicPr>
      <xdr:blipFill>
        <a:blip r:embed="rId4" r:link="rId2"/>
        <a:stretch>
          <a:fillRect/>
        </a:stretch>
      </xdr:blipFill>
      <xdr:spPr>
        <a:xfrm>
          <a:off x="19050" y="305584225"/>
          <a:ext cx="733425" cy="82486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workbookViewId="0">
      <pane xSplit="3" ySplit="1" topLeftCell="K10" activePane="bottomRight" state="frozen"/>
      <selection/>
      <selection pane="topRight"/>
      <selection pane="bottomLeft"/>
      <selection pane="bottomRight" activeCell="P2" sqref="P2"/>
    </sheetView>
  </sheetViews>
  <sheetFormatPr defaultColWidth="9" defaultRowHeight="77.35" customHeight="1"/>
  <cols>
    <col min="1" max="1" width="10.625" style="1" customWidth="1"/>
    <col min="2" max="13" width="9" style="1"/>
    <col min="14" max="16" width="9" style="4"/>
    <col min="17" max="17" width="21.5" style="5" customWidth="1"/>
    <col min="18" max="16384" width="9" style="1"/>
  </cols>
  <sheetData>
    <row r="1" s="1" customFormat="1" customHeight="1" spans="1:17">
      <c r="A1" s="1" t="s">
        <v>0</v>
      </c>
      <c r="B1" s="1" t="s">
        <v>1</v>
      </c>
      <c r="C1" s="1" t="s">
        <v>2</v>
      </c>
      <c r="D1" s="1" t="s">
        <v>3</v>
      </c>
      <c r="E1" s="1" t="s">
        <v>4</v>
      </c>
      <c r="F1" s="1" t="s">
        <v>5</v>
      </c>
      <c r="G1" s="1" t="s">
        <v>6</v>
      </c>
      <c r="H1" s="1" t="s">
        <v>7</v>
      </c>
      <c r="I1" s="1" t="s">
        <v>8</v>
      </c>
      <c r="J1" s="1" t="s">
        <v>9</v>
      </c>
      <c r="K1" s="1" t="s">
        <v>10</v>
      </c>
      <c r="L1" s="1" t="s">
        <v>11</v>
      </c>
      <c r="M1" s="1" t="s">
        <v>12</v>
      </c>
      <c r="N1" s="4" t="s">
        <v>13</v>
      </c>
      <c r="O1" s="4" t="s">
        <v>14</v>
      </c>
      <c r="P1" s="4" t="s">
        <v>15</v>
      </c>
      <c r="Q1" s="1" t="s">
        <v>16</v>
      </c>
    </row>
    <row r="2" s="1" customFormat="1" ht="77.25" spans="1:17">
      <c r="A2" s="1" t="str">
        <f>_xlfn.DISPIMG("ID_4D2EB7EC178F4B05B92880D98FA7DCAD",1)</f>
        <v>=DISPIMG("ID_4D2EB7EC178F4B05B92880D98FA7DCAD",1)</v>
      </c>
      <c r="B2" s="13" t="s">
        <v>17</v>
      </c>
      <c r="C2" s="13" t="s">
        <v>18</v>
      </c>
      <c r="D2" s="13" t="s">
        <v>19</v>
      </c>
      <c r="E2" s="13" t="s">
        <v>20</v>
      </c>
      <c r="F2" s="13">
        <v>46</v>
      </c>
      <c r="G2" s="13">
        <v>30</v>
      </c>
      <c r="H2" s="13">
        <v>65</v>
      </c>
      <c r="I2" s="13">
        <v>55</v>
      </c>
      <c r="J2" s="13">
        <v>10</v>
      </c>
      <c r="K2" s="13">
        <v>45</v>
      </c>
      <c r="L2" s="13">
        <v>60</v>
      </c>
      <c r="M2" s="13">
        <v>6</v>
      </c>
      <c r="N2" s="14">
        <v>1</v>
      </c>
      <c r="O2" s="14">
        <f t="shared" ref="O2:O44" si="0">H2/N2</f>
        <v>65</v>
      </c>
      <c r="P2" s="14"/>
      <c r="Q2" s="21" t="s">
        <v>21</v>
      </c>
    </row>
    <row r="3" s="1" customFormat="1" customHeight="1" spans="1:17">
      <c r="A3" s="1" t="str">
        <f>_xlfn.DISPIMG("ID_963859925296478F96D02F3664088B2E",1)</f>
        <v>=DISPIMG("ID_963859925296478F96D02F3664088B2E",1)</v>
      </c>
      <c r="B3" s="13" t="s">
        <v>17</v>
      </c>
      <c r="C3" s="13" t="s">
        <v>22</v>
      </c>
      <c r="D3" s="13" t="s">
        <v>23</v>
      </c>
      <c r="E3" s="13" t="s">
        <v>24</v>
      </c>
      <c r="F3" s="13">
        <v>40</v>
      </c>
      <c r="G3" s="13">
        <v>40</v>
      </c>
      <c r="H3" s="13">
        <v>80</v>
      </c>
      <c r="I3" s="13">
        <v>35</v>
      </c>
      <c r="J3" s="13">
        <v>60</v>
      </c>
      <c r="K3" s="13">
        <v>60</v>
      </c>
      <c r="L3" s="13">
        <v>200</v>
      </c>
      <c r="M3" s="13">
        <v>5</v>
      </c>
      <c r="N3" s="14">
        <v>0.5</v>
      </c>
      <c r="O3" s="14">
        <f t="shared" si="0"/>
        <v>160</v>
      </c>
      <c r="P3" s="14" t="s">
        <v>25</v>
      </c>
      <c r="Q3" s="21" t="s">
        <v>26</v>
      </c>
    </row>
    <row r="4" s="1" customFormat="1" customHeight="1" spans="1:17">
      <c r="A4" s="1" t="str">
        <f>_xlfn.DISPIMG("ID_504712FE728645A69C1D0688CCD6C957",1)</f>
        <v>=DISPIMG("ID_504712FE728645A69C1D0688CCD6C957",1)</v>
      </c>
      <c r="B4" s="13" t="s">
        <v>17</v>
      </c>
      <c r="C4" s="13" t="s">
        <v>27</v>
      </c>
      <c r="D4" s="13" t="s">
        <v>28</v>
      </c>
      <c r="E4" s="13" t="s">
        <v>29</v>
      </c>
      <c r="F4" s="13">
        <v>50</v>
      </c>
      <c r="G4" s="13">
        <v>40</v>
      </c>
      <c r="H4" s="13">
        <v>85</v>
      </c>
      <c r="I4" s="13">
        <v>65</v>
      </c>
      <c r="J4" s="13">
        <v>30</v>
      </c>
      <c r="K4" s="13">
        <v>65</v>
      </c>
      <c r="L4" s="13">
        <v>180</v>
      </c>
      <c r="M4" s="13">
        <v>6</v>
      </c>
      <c r="N4" s="14">
        <v>1</v>
      </c>
      <c r="O4" s="14">
        <f t="shared" si="0"/>
        <v>85</v>
      </c>
      <c r="P4" s="14"/>
      <c r="Q4" s="21" t="s">
        <v>30</v>
      </c>
    </row>
    <row r="5" s="1" customFormat="1" customHeight="1" spans="1:17">
      <c r="A5" s="1" t="str">
        <f>_xlfn.DISPIMG("ID_024D7AFE5330471884F2B14693829D3D",1)</f>
        <v>=DISPIMG("ID_024D7AFE5330471884F2B14693829D3D",1)</v>
      </c>
      <c r="B5" s="13" t="s">
        <v>17</v>
      </c>
      <c r="C5" s="13" t="s">
        <v>31</v>
      </c>
      <c r="D5" s="13" t="s">
        <v>32</v>
      </c>
      <c r="E5" s="13" t="s">
        <v>33</v>
      </c>
      <c r="F5" s="13">
        <v>50</v>
      </c>
      <c r="G5" s="13">
        <v>40</v>
      </c>
      <c r="H5" s="13">
        <v>85</v>
      </c>
      <c r="I5" s="13">
        <v>65</v>
      </c>
      <c r="J5" s="13">
        <v>30</v>
      </c>
      <c r="K5" s="13">
        <v>65</v>
      </c>
      <c r="L5" s="13">
        <v>180</v>
      </c>
      <c r="M5" s="13">
        <v>6</v>
      </c>
      <c r="N5" s="14">
        <v>1</v>
      </c>
      <c r="O5" s="14">
        <f t="shared" si="0"/>
        <v>85</v>
      </c>
      <c r="P5" s="14"/>
      <c r="Q5" s="21" t="s">
        <v>34</v>
      </c>
    </row>
    <row r="6" s="1" customFormat="1" customHeight="1" spans="1:17">
      <c r="A6" s="1" t="str">
        <f>_xlfn.DISPIMG("ID_B81EA170FC704548B5B3F4FB94EBE828",1)</f>
        <v>=DISPIMG("ID_B81EA170FC704548B5B3F4FB94EBE828",1)</v>
      </c>
      <c r="B6" s="13" t="s">
        <v>17</v>
      </c>
      <c r="C6" s="13" t="s">
        <v>35</v>
      </c>
      <c r="D6" s="13" t="s">
        <v>36</v>
      </c>
      <c r="E6" s="13" t="s">
        <v>37</v>
      </c>
      <c r="F6" s="13">
        <v>50</v>
      </c>
      <c r="G6" s="13">
        <v>40</v>
      </c>
      <c r="H6" s="13">
        <v>85</v>
      </c>
      <c r="I6" s="13">
        <v>65</v>
      </c>
      <c r="J6" s="13">
        <v>30</v>
      </c>
      <c r="K6" s="13">
        <v>65</v>
      </c>
      <c r="L6" s="13">
        <v>180</v>
      </c>
      <c r="M6" s="13">
        <v>6</v>
      </c>
      <c r="N6" s="14">
        <v>1</v>
      </c>
      <c r="O6" s="14">
        <f t="shared" si="0"/>
        <v>85</v>
      </c>
      <c r="P6" s="14"/>
      <c r="Q6" s="21" t="s">
        <v>38</v>
      </c>
    </row>
    <row r="7" s="1" customFormat="1" customHeight="1" spans="1:17">
      <c r="A7" s="1" t="str">
        <f>_xlfn.DISPIMG("ID_0541B5C71BC3477C98D65160782BD9E1",1)</f>
        <v>=DISPIMG("ID_0541B5C71BC3477C98D65160782BD9E1",1)</v>
      </c>
      <c r="B7" s="13" t="s">
        <v>17</v>
      </c>
      <c r="C7" s="13" t="s">
        <v>39</v>
      </c>
      <c r="D7" s="13" t="s">
        <v>40</v>
      </c>
      <c r="E7" s="13" t="s">
        <v>41</v>
      </c>
      <c r="F7" s="13">
        <v>55</v>
      </c>
      <c r="G7" s="13">
        <v>40</v>
      </c>
      <c r="H7" s="13">
        <v>76</v>
      </c>
      <c r="I7" s="13">
        <v>32</v>
      </c>
      <c r="J7" s="13">
        <v>65</v>
      </c>
      <c r="K7" s="13">
        <v>53</v>
      </c>
      <c r="L7" s="13">
        <v>140</v>
      </c>
      <c r="M7" s="13">
        <v>7</v>
      </c>
      <c r="N7" s="14">
        <v>1.5</v>
      </c>
      <c r="O7" s="14">
        <f t="shared" si="0"/>
        <v>50.6666666666667</v>
      </c>
      <c r="P7" s="14" t="s">
        <v>42</v>
      </c>
      <c r="Q7" s="21" t="s">
        <v>43</v>
      </c>
    </row>
    <row r="8" s="1" customFormat="1" customHeight="1" spans="1:17">
      <c r="A8" s="1" t="str">
        <f>_xlfn.DISPIMG("ID_6C788F00983E4321A6E433A601AA3AEB",1)</f>
        <v>=DISPIMG("ID_6C788F00983E4321A6E433A601AA3AEB",1)</v>
      </c>
      <c r="B8" s="13" t="s">
        <v>17</v>
      </c>
      <c r="C8" s="13" t="s">
        <v>44</v>
      </c>
      <c r="D8" s="13" t="s">
        <v>45</v>
      </c>
      <c r="E8" s="13" t="s">
        <v>46</v>
      </c>
      <c r="F8" s="13">
        <v>0</v>
      </c>
      <c r="G8" s="13">
        <v>40</v>
      </c>
      <c r="H8" s="13">
        <v>70</v>
      </c>
      <c r="I8" s="13">
        <v>90</v>
      </c>
      <c r="J8" s="13">
        <v>70</v>
      </c>
      <c r="K8" s="13">
        <v>40</v>
      </c>
      <c r="L8" s="13">
        <v>120</v>
      </c>
      <c r="M8" s="13">
        <v>10</v>
      </c>
      <c r="N8" s="14">
        <v>3</v>
      </c>
      <c r="O8" s="14">
        <f t="shared" si="0"/>
        <v>23.3333333333333</v>
      </c>
      <c r="P8" s="14" t="s">
        <v>47</v>
      </c>
      <c r="Q8" s="21" t="s">
        <v>48</v>
      </c>
    </row>
    <row r="9" s="1" customFormat="1" customHeight="1" spans="1:17">
      <c r="A9" s="1" t="str">
        <f>_xlfn.DISPIMG("ID_E64D607F423E469994E9FE16535C539B",1)</f>
        <v>=DISPIMG("ID_E64D607F423E469994E9FE16535C539B",1)</v>
      </c>
      <c r="B9" s="13" t="s">
        <v>17</v>
      </c>
      <c r="C9" s="13" t="s">
        <v>49</v>
      </c>
      <c r="D9" s="13" t="s">
        <v>50</v>
      </c>
      <c r="E9" s="13" t="s">
        <v>51</v>
      </c>
      <c r="F9" s="13">
        <v>42</v>
      </c>
      <c r="G9" s="13">
        <v>45</v>
      </c>
      <c r="H9" s="13">
        <v>85</v>
      </c>
      <c r="I9" s="13">
        <v>35</v>
      </c>
      <c r="J9" s="13">
        <v>60</v>
      </c>
      <c r="K9" s="13">
        <v>60</v>
      </c>
      <c r="L9" s="13">
        <v>200</v>
      </c>
      <c r="M9" s="13">
        <v>6</v>
      </c>
      <c r="N9" s="14">
        <v>1</v>
      </c>
      <c r="O9" s="14">
        <f t="shared" si="0"/>
        <v>85</v>
      </c>
      <c r="P9" s="14" t="s">
        <v>25</v>
      </c>
      <c r="Q9" s="21" t="s">
        <v>52</v>
      </c>
    </row>
    <row r="10" s="1" customFormat="1" customHeight="1" spans="1:17">
      <c r="A10" s="1" t="str">
        <f>_xlfn.DISPIMG("ID_62C85434E4684AA0834004B633C0E817",1)</f>
        <v>=DISPIMG("ID_62C85434E4684AA0834004B633C0E817",1)</v>
      </c>
      <c r="B10" s="13" t="s">
        <v>17</v>
      </c>
      <c r="C10" s="13" t="s">
        <v>53</v>
      </c>
      <c r="D10" s="13" t="s">
        <v>54</v>
      </c>
      <c r="E10" s="13" t="s">
        <v>55</v>
      </c>
      <c r="F10" s="13">
        <v>52</v>
      </c>
      <c r="G10" s="13">
        <v>45</v>
      </c>
      <c r="H10" s="13">
        <v>75</v>
      </c>
      <c r="I10" s="13">
        <v>40</v>
      </c>
      <c r="J10" s="13">
        <v>20</v>
      </c>
      <c r="K10" s="13">
        <v>55</v>
      </c>
      <c r="L10" s="13">
        <v>120</v>
      </c>
      <c r="M10" s="13">
        <v>7</v>
      </c>
      <c r="N10" s="14">
        <v>1.5</v>
      </c>
      <c r="O10" s="14">
        <f t="shared" si="0"/>
        <v>50</v>
      </c>
      <c r="P10" s="14"/>
      <c r="Q10" s="21" t="s">
        <v>56</v>
      </c>
    </row>
    <row r="11" s="1" customFormat="1" customHeight="1" spans="1:17">
      <c r="A11" s="1" t="str">
        <f>_xlfn.DISPIMG("ID_EC17DF87D576476CA5168868327B6770",1)</f>
        <v>=DISPIMG("ID_EC17DF87D576476CA5168868327B6770",1)</v>
      </c>
      <c r="B11" s="13" t="s">
        <v>17</v>
      </c>
      <c r="C11" s="13" t="s">
        <v>57</v>
      </c>
      <c r="D11" s="13" t="s">
        <v>58</v>
      </c>
      <c r="E11" s="13" t="s">
        <v>59</v>
      </c>
      <c r="F11" s="13">
        <v>56</v>
      </c>
      <c r="G11" s="13">
        <v>45</v>
      </c>
      <c r="H11" s="13">
        <v>78</v>
      </c>
      <c r="I11" s="13">
        <v>30</v>
      </c>
      <c r="J11" s="13">
        <v>65</v>
      </c>
      <c r="K11" s="13">
        <v>50</v>
      </c>
      <c r="L11" s="13">
        <v>150</v>
      </c>
      <c r="M11" s="13">
        <v>8</v>
      </c>
      <c r="N11" s="14">
        <v>2</v>
      </c>
      <c r="O11" s="14">
        <f t="shared" si="0"/>
        <v>39</v>
      </c>
      <c r="P11" s="14" t="s">
        <v>42</v>
      </c>
      <c r="Q11" s="21" t="s">
        <v>60</v>
      </c>
    </row>
    <row r="12" s="1" customFormat="1" customHeight="1" spans="1:17">
      <c r="A12" s="1" t="str">
        <f>_xlfn.DISPIMG("ID_D96EADB64DAF4CFCAD180096D431FFAF",1)</f>
        <v>=DISPIMG("ID_D96EADB64DAF4CFCAD180096D431FFAF",1)</v>
      </c>
      <c r="B12" s="13" t="s">
        <v>17</v>
      </c>
      <c r="C12" s="13" t="s">
        <v>61</v>
      </c>
      <c r="D12" s="13" t="s">
        <v>62</v>
      </c>
      <c r="E12" s="13" t="s">
        <v>63</v>
      </c>
      <c r="F12" s="13">
        <v>60</v>
      </c>
      <c r="G12" s="13">
        <v>45</v>
      </c>
      <c r="H12" s="13">
        <v>90</v>
      </c>
      <c r="I12" s="13">
        <v>40</v>
      </c>
      <c r="J12" s="13">
        <v>70</v>
      </c>
      <c r="K12" s="13">
        <v>90</v>
      </c>
      <c r="L12" s="13">
        <v>180</v>
      </c>
      <c r="M12" s="13">
        <v>10</v>
      </c>
      <c r="N12" s="14">
        <v>3</v>
      </c>
      <c r="O12" s="14">
        <f t="shared" si="0"/>
        <v>30</v>
      </c>
      <c r="P12" s="14" t="s">
        <v>64</v>
      </c>
      <c r="Q12" s="21" t="s">
        <v>65</v>
      </c>
    </row>
    <row r="13" s="1" customFormat="1" customHeight="1" spans="1:17">
      <c r="A13" s="1" t="str">
        <f>_xlfn.DISPIMG("ID_CDBD62D6334648F796C3C3B225DB1737",1)</f>
        <v>=DISPIMG("ID_CDBD62D6334648F796C3C3B225DB1737",1)</v>
      </c>
      <c r="B13" s="7" t="s">
        <v>66</v>
      </c>
      <c r="C13" s="7" t="s">
        <v>67</v>
      </c>
      <c r="D13" s="7" t="s">
        <v>68</v>
      </c>
      <c r="E13" s="7" t="s">
        <v>69</v>
      </c>
      <c r="F13" s="7">
        <v>52</v>
      </c>
      <c r="G13" s="7">
        <v>44</v>
      </c>
      <c r="H13" s="7">
        <v>88</v>
      </c>
      <c r="I13" s="7">
        <v>40</v>
      </c>
      <c r="J13" s="7">
        <v>30</v>
      </c>
      <c r="K13" s="7">
        <v>65</v>
      </c>
      <c r="L13" s="7">
        <v>160</v>
      </c>
      <c r="M13" s="7">
        <v>6</v>
      </c>
      <c r="N13" s="8">
        <v>1</v>
      </c>
      <c r="O13" s="8">
        <f t="shared" si="0"/>
        <v>88</v>
      </c>
      <c r="P13" s="8"/>
      <c r="Q13" s="18" t="s">
        <v>70</v>
      </c>
    </row>
    <row r="14" s="1" customFormat="1" customHeight="1" spans="1:17">
      <c r="A14" s="1" t="str">
        <f>_xlfn.DISPIMG("ID_16A4B3E9BDEA4839959C8E746A5F0A47",1)</f>
        <v>=DISPIMG("ID_16A4B3E9BDEA4839959C8E746A5F0A47",1)</v>
      </c>
      <c r="B14" s="7" t="s">
        <v>66</v>
      </c>
      <c r="C14" s="7" t="s">
        <v>71</v>
      </c>
      <c r="D14" s="7" t="s">
        <v>72</v>
      </c>
      <c r="E14" s="7" t="s">
        <v>73</v>
      </c>
      <c r="F14" s="7">
        <v>78</v>
      </c>
      <c r="G14" s="7">
        <v>48</v>
      </c>
      <c r="H14" s="7">
        <v>90</v>
      </c>
      <c r="I14" s="7">
        <v>28</v>
      </c>
      <c r="J14" s="7">
        <v>69</v>
      </c>
      <c r="K14" s="7">
        <v>40</v>
      </c>
      <c r="L14" s="7">
        <v>160</v>
      </c>
      <c r="M14" s="7">
        <v>10</v>
      </c>
      <c r="N14" s="8">
        <v>3</v>
      </c>
      <c r="O14" s="8">
        <f t="shared" si="0"/>
        <v>30</v>
      </c>
      <c r="P14" s="8" t="s">
        <v>74</v>
      </c>
      <c r="Q14" s="18" t="s">
        <v>75</v>
      </c>
    </row>
    <row r="15" s="1" customFormat="1" customHeight="1" spans="1:17">
      <c r="A15" s="1" t="str">
        <f>_xlfn.DISPIMG("ID_5C38CD0A879F46C7BED4987872203789",1)</f>
        <v>=DISPIMG("ID_5C38CD0A879F46C7BED4987872203789",1)</v>
      </c>
      <c r="B15" s="7" t="s">
        <v>66</v>
      </c>
      <c r="C15" s="7" t="s">
        <v>76</v>
      </c>
      <c r="D15" s="7" t="s">
        <v>77</v>
      </c>
      <c r="E15" s="7" t="s">
        <v>78</v>
      </c>
      <c r="F15" s="7">
        <v>82</v>
      </c>
      <c r="G15" s="7">
        <v>49</v>
      </c>
      <c r="H15" s="7">
        <v>95</v>
      </c>
      <c r="I15" s="7">
        <v>30</v>
      </c>
      <c r="J15" s="7">
        <v>70</v>
      </c>
      <c r="K15" s="7">
        <v>34</v>
      </c>
      <c r="L15" s="7">
        <v>180</v>
      </c>
      <c r="M15" s="7">
        <v>11</v>
      </c>
      <c r="N15" s="8">
        <v>3.5</v>
      </c>
      <c r="O15" s="8">
        <f t="shared" si="0"/>
        <v>27.1428571428571</v>
      </c>
      <c r="P15" s="8" t="s">
        <v>74</v>
      </c>
      <c r="Q15" s="18" t="s">
        <v>79</v>
      </c>
    </row>
    <row r="16" s="1" customFormat="1" customHeight="1" spans="1:17">
      <c r="A16" s="1" t="str">
        <f>_xlfn.DISPIMG("ID_7B96F107DDEA44078E8018891F485501",1)</f>
        <v>=DISPIMG("ID_7B96F107DDEA44078E8018891F485501",1)</v>
      </c>
      <c r="B16" s="7" t="s">
        <v>66</v>
      </c>
      <c r="C16" s="7" t="s">
        <v>80</v>
      </c>
      <c r="D16" s="7" t="s">
        <v>81</v>
      </c>
      <c r="E16" s="7" t="s">
        <v>82</v>
      </c>
      <c r="F16" s="7">
        <v>62</v>
      </c>
      <c r="G16" s="7">
        <v>51</v>
      </c>
      <c r="H16" s="7">
        <v>95</v>
      </c>
      <c r="I16" s="7">
        <v>40</v>
      </c>
      <c r="J16" s="7">
        <v>70</v>
      </c>
      <c r="K16" s="7">
        <v>50</v>
      </c>
      <c r="L16" s="7">
        <v>410</v>
      </c>
      <c r="M16" s="7">
        <v>10</v>
      </c>
      <c r="N16" s="8">
        <v>3</v>
      </c>
      <c r="O16" s="8">
        <f t="shared" si="0"/>
        <v>31.6666666666667</v>
      </c>
      <c r="P16" s="8" t="s">
        <v>83</v>
      </c>
      <c r="Q16" s="18" t="s">
        <v>84</v>
      </c>
    </row>
    <row r="17" s="1" customFormat="1" customHeight="1" spans="1:17">
      <c r="A17" s="1" t="str">
        <f>_xlfn.DISPIMG("ID_AC2B43E86D8D450299E5705042044F30",1)</f>
        <v>=DISPIMG("ID_AC2B43E86D8D450299E5705042044F30",1)</v>
      </c>
      <c r="B17" s="7" t="s">
        <v>66</v>
      </c>
      <c r="C17" s="7" t="s">
        <v>85</v>
      </c>
      <c r="D17" s="7" t="s">
        <v>86</v>
      </c>
      <c r="E17" s="7" t="s">
        <v>87</v>
      </c>
      <c r="F17" s="7">
        <v>62</v>
      </c>
      <c r="G17" s="7">
        <v>51</v>
      </c>
      <c r="H17" s="7">
        <v>95</v>
      </c>
      <c r="I17" s="7">
        <v>42</v>
      </c>
      <c r="J17" s="7">
        <v>70</v>
      </c>
      <c r="K17" s="7">
        <v>50</v>
      </c>
      <c r="L17" s="7">
        <v>200</v>
      </c>
      <c r="M17" s="7">
        <v>10</v>
      </c>
      <c r="N17" s="8">
        <v>3</v>
      </c>
      <c r="O17" s="8">
        <f t="shared" si="0"/>
        <v>31.6666666666667</v>
      </c>
      <c r="P17" s="8" t="s">
        <v>88</v>
      </c>
      <c r="Q17" s="18" t="s">
        <v>89</v>
      </c>
    </row>
    <row r="18" s="1" customFormat="1" customHeight="1" spans="1:17">
      <c r="A18" s="1" t="str">
        <f>_xlfn.DISPIMG("ID_20C3D0ABF6A34C358351CB045E808278",1)</f>
        <v>=DISPIMG("ID_20C3D0ABF6A34C358351CB045E808278",1)</v>
      </c>
      <c r="B18" s="7" t="s">
        <v>66</v>
      </c>
      <c r="C18" s="7" t="s">
        <v>90</v>
      </c>
      <c r="D18" s="7" t="s">
        <v>91</v>
      </c>
      <c r="E18" s="7" t="s">
        <v>92</v>
      </c>
      <c r="F18" s="7">
        <v>54</v>
      </c>
      <c r="G18" s="7">
        <v>52</v>
      </c>
      <c r="H18" s="7">
        <v>93</v>
      </c>
      <c r="I18" s="7">
        <v>40</v>
      </c>
      <c r="J18" s="7">
        <v>30</v>
      </c>
      <c r="K18" s="7">
        <v>65</v>
      </c>
      <c r="L18" s="7">
        <v>160</v>
      </c>
      <c r="M18" s="7">
        <v>7</v>
      </c>
      <c r="N18" s="8">
        <v>1.5</v>
      </c>
      <c r="O18" s="8">
        <f t="shared" si="0"/>
        <v>62</v>
      </c>
      <c r="P18" s="8"/>
      <c r="Q18" s="18" t="s">
        <v>93</v>
      </c>
    </row>
    <row r="19" s="1" customFormat="1" customHeight="1" spans="1:17">
      <c r="A19" s="1" t="str">
        <f>_xlfn.DISPIMG("ID_965BCE897EE44A138239AF6B4D1F22B5",1)</f>
        <v>=DISPIMG("ID_965BCE897EE44A138239AF6B4D1F22B5",1)</v>
      </c>
      <c r="B19" s="7" t="s">
        <v>66</v>
      </c>
      <c r="C19" s="7" t="s">
        <v>94</v>
      </c>
      <c r="D19" s="7" t="s">
        <v>95</v>
      </c>
      <c r="E19" s="7" t="s">
        <v>96</v>
      </c>
      <c r="F19" s="7">
        <v>46</v>
      </c>
      <c r="G19" s="7">
        <v>52</v>
      </c>
      <c r="H19" s="7">
        <v>91</v>
      </c>
      <c r="I19" s="7">
        <v>35</v>
      </c>
      <c r="J19" s="7">
        <v>60</v>
      </c>
      <c r="K19" s="7">
        <v>60</v>
      </c>
      <c r="L19" s="7">
        <v>200</v>
      </c>
      <c r="M19" s="7">
        <v>7</v>
      </c>
      <c r="N19" s="8">
        <v>1.5</v>
      </c>
      <c r="O19" s="8">
        <f t="shared" si="0"/>
        <v>60.6666666666667</v>
      </c>
      <c r="P19" s="8"/>
      <c r="Q19" s="18" t="s">
        <v>97</v>
      </c>
    </row>
    <row r="20" s="1" customFormat="1" customHeight="1" spans="1:17">
      <c r="A20" s="1" t="str">
        <f>_xlfn.DISPIMG("ID_B4920331A017432C9CF51E92F28C9994",1)</f>
        <v>=DISPIMG("ID_B4920331A017432C9CF51E92F28C9994",1)</v>
      </c>
      <c r="B20" s="7" t="s">
        <v>66</v>
      </c>
      <c r="C20" s="7" t="s">
        <v>98</v>
      </c>
      <c r="D20" s="7" t="s">
        <v>99</v>
      </c>
      <c r="E20" s="7" t="s">
        <v>100</v>
      </c>
      <c r="F20" s="7">
        <v>62</v>
      </c>
      <c r="G20" s="7">
        <v>53</v>
      </c>
      <c r="H20" s="7">
        <v>100</v>
      </c>
      <c r="I20" s="7">
        <v>30</v>
      </c>
      <c r="J20" s="7">
        <v>70</v>
      </c>
      <c r="K20" s="7">
        <v>50</v>
      </c>
      <c r="L20" s="7">
        <v>240</v>
      </c>
      <c r="M20" s="7">
        <v>10</v>
      </c>
      <c r="N20" s="8">
        <v>3</v>
      </c>
      <c r="O20" s="8">
        <f t="shared" si="0"/>
        <v>33.3333333333333</v>
      </c>
      <c r="P20" s="8" t="s">
        <v>101</v>
      </c>
      <c r="Q20" s="18" t="s">
        <v>102</v>
      </c>
    </row>
    <row r="21" s="1" customFormat="1" customHeight="1" spans="1:17">
      <c r="A21" s="1" t="str">
        <f>_xlfn.DISPIMG("ID_A8A42CB7D3214AD19D1251E6DA1E8688",1)</f>
        <v>=DISPIMG("ID_A8A42CB7D3214AD19D1251E6DA1E8688",1)</v>
      </c>
      <c r="B21" s="7" t="s">
        <v>66</v>
      </c>
      <c r="C21" s="7" t="s">
        <v>103</v>
      </c>
      <c r="D21" s="7" t="s">
        <v>104</v>
      </c>
      <c r="E21" s="7" t="s">
        <v>105</v>
      </c>
      <c r="F21" s="7">
        <v>60</v>
      </c>
      <c r="G21" s="7">
        <v>55</v>
      </c>
      <c r="H21" s="7">
        <v>100</v>
      </c>
      <c r="I21" s="7">
        <v>30</v>
      </c>
      <c r="J21" s="7">
        <v>70</v>
      </c>
      <c r="K21" s="7">
        <v>50</v>
      </c>
      <c r="L21" s="7">
        <v>250</v>
      </c>
      <c r="M21" s="7">
        <v>8</v>
      </c>
      <c r="N21" s="8">
        <v>2</v>
      </c>
      <c r="O21" s="8">
        <f t="shared" si="0"/>
        <v>50</v>
      </c>
      <c r="P21" s="8" t="s">
        <v>106</v>
      </c>
      <c r="Q21" s="18" t="s">
        <v>107</v>
      </c>
    </row>
    <row r="22" s="1" customFormat="1" customHeight="1" spans="1:17">
      <c r="A22" s="1" t="str">
        <f>_xlfn.DISPIMG("ID_FF76AAAC80324EADA2CC8E5177FC14E3",1)</f>
        <v>=DISPIMG("ID_FF76AAAC80324EADA2CC8E5177FC14E3",1)</v>
      </c>
      <c r="B22" s="7" t="s">
        <v>66</v>
      </c>
      <c r="C22" s="7" t="s">
        <v>108</v>
      </c>
      <c r="D22" s="7" t="s">
        <v>109</v>
      </c>
      <c r="E22" s="7" t="s">
        <v>110</v>
      </c>
      <c r="F22" s="7">
        <v>62</v>
      </c>
      <c r="G22" s="7">
        <v>55</v>
      </c>
      <c r="H22" s="7">
        <v>100</v>
      </c>
      <c r="I22" s="7">
        <v>80</v>
      </c>
      <c r="J22" s="7">
        <v>55</v>
      </c>
      <c r="K22" s="7">
        <v>45</v>
      </c>
      <c r="L22" s="7">
        <v>300</v>
      </c>
      <c r="M22" s="7">
        <v>10</v>
      </c>
      <c r="N22" s="8">
        <v>3</v>
      </c>
      <c r="O22" s="8">
        <f t="shared" si="0"/>
        <v>33.3333333333333</v>
      </c>
      <c r="P22" s="8"/>
      <c r="Q22" s="18" t="s">
        <v>111</v>
      </c>
    </row>
    <row r="23" s="1" customFormat="1" customHeight="1" spans="1:17">
      <c r="A23" s="1" t="str">
        <f>_xlfn.DISPIMG("ID_FCDF41F6FA96480DAB3419FB82FEB7D8",1)</f>
        <v>=DISPIMG("ID_FCDF41F6FA96480DAB3419FB82FEB7D8",1)</v>
      </c>
      <c r="B23" s="7" t="s">
        <v>66</v>
      </c>
      <c r="C23" s="7" t="s">
        <v>112</v>
      </c>
      <c r="D23" s="7" t="s">
        <v>113</v>
      </c>
      <c r="E23" s="7" t="s">
        <v>114</v>
      </c>
      <c r="F23" s="7">
        <v>62</v>
      </c>
      <c r="G23" s="7">
        <v>55</v>
      </c>
      <c r="H23" s="7">
        <v>100</v>
      </c>
      <c r="I23" s="7">
        <v>20</v>
      </c>
      <c r="J23" s="7">
        <v>85</v>
      </c>
      <c r="K23" s="7">
        <v>45</v>
      </c>
      <c r="L23" s="7">
        <v>300</v>
      </c>
      <c r="M23" s="7">
        <v>10</v>
      </c>
      <c r="N23" s="8">
        <v>3</v>
      </c>
      <c r="O23" s="8">
        <f t="shared" si="0"/>
        <v>33.3333333333333</v>
      </c>
      <c r="P23" s="8"/>
      <c r="Q23" s="18" t="s">
        <v>115</v>
      </c>
    </row>
    <row r="24" s="1" customFormat="1" customHeight="1" spans="1:17">
      <c r="A24" s="1" t="str">
        <f>_xlfn.DISPIMG("ID_2E3C0AB809D74691B7BB9EB36BAC8E1E",1)</f>
        <v>=DISPIMG("ID_2E3C0AB809D74691B7BB9EB36BAC8E1E",1)</v>
      </c>
      <c r="B24" s="7" t="s">
        <v>66</v>
      </c>
      <c r="C24" s="7" t="s">
        <v>116</v>
      </c>
      <c r="D24" s="7" t="s">
        <v>117</v>
      </c>
      <c r="E24" s="7" t="s">
        <v>118</v>
      </c>
      <c r="F24" s="7">
        <v>68</v>
      </c>
      <c r="G24" s="7">
        <v>55</v>
      </c>
      <c r="H24" s="7">
        <v>100</v>
      </c>
      <c r="I24" s="7">
        <v>30</v>
      </c>
      <c r="J24" s="7">
        <v>72</v>
      </c>
      <c r="K24" s="7">
        <v>46</v>
      </c>
      <c r="L24" s="7">
        <v>280</v>
      </c>
      <c r="M24" s="7">
        <v>14</v>
      </c>
      <c r="N24" s="8">
        <v>5</v>
      </c>
      <c r="O24" s="8">
        <f t="shared" si="0"/>
        <v>20</v>
      </c>
      <c r="P24" s="8" t="s">
        <v>119</v>
      </c>
      <c r="Q24" s="18" t="s">
        <v>120</v>
      </c>
    </row>
    <row r="25" s="1" customFormat="1" customHeight="1" spans="1:17">
      <c r="A25" s="1" t="str">
        <f>_xlfn.DISPIMG("ID_EDB5A44248A94A998CA658BF279CE609",1)</f>
        <v>=DISPIMG("ID_EDB5A44248A94A998CA658BF279CE609",1)</v>
      </c>
      <c r="B25" s="7" t="s">
        <v>66</v>
      </c>
      <c r="C25" s="7" t="s">
        <v>121</v>
      </c>
      <c r="D25" s="7" t="s">
        <v>122</v>
      </c>
      <c r="E25" s="7" t="s">
        <v>123</v>
      </c>
      <c r="F25" s="7">
        <v>62</v>
      </c>
      <c r="G25" s="7">
        <v>56</v>
      </c>
      <c r="H25" s="7">
        <v>100</v>
      </c>
      <c r="I25" s="7">
        <v>30</v>
      </c>
      <c r="J25" s="7">
        <v>72</v>
      </c>
      <c r="K25" s="7">
        <v>48</v>
      </c>
      <c r="L25" s="7">
        <v>230</v>
      </c>
      <c r="M25" s="7">
        <v>10</v>
      </c>
      <c r="N25" s="8">
        <v>3</v>
      </c>
      <c r="O25" s="8">
        <f t="shared" si="0"/>
        <v>33.3333333333333</v>
      </c>
      <c r="P25" s="8" t="s">
        <v>124</v>
      </c>
      <c r="Q25" s="18" t="s">
        <v>125</v>
      </c>
    </row>
    <row r="26" s="1" customFormat="1" customHeight="1" spans="1:17">
      <c r="A26" s="1" t="str">
        <f>_xlfn.DISPIMG("ID_26D2E87213F248F18B9CFC55EFC6C106",1)</f>
        <v>=DISPIMG("ID_26D2E87213F248F18B9CFC55EFC6C106",1)</v>
      </c>
      <c r="B26" s="7" t="s">
        <v>66</v>
      </c>
      <c r="C26" s="7" t="s">
        <v>126</v>
      </c>
      <c r="D26" s="7" t="s">
        <v>127</v>
      </c>
      <c r="E26" s="7" t="s">
        <v>128</v>
      </c>
      <c r="F26" s="7">
        <v>66</v>
      </c>
      <c r="G26" s="7">
        <v>56</v>
      </c>
      <c r="H26" s="7">
        <v>100</v>
      </c>
      <c r="I26" s="7">
        <v>30</v>
      </c>
      <c r="J26" s="7">
        <v>65</v>
      </c>
      <c r="K26" s="7">
        <v>50</v>
      </c>
      <c r="L26" s="7">
        <v>250</v>
      </c>
      <c r="M26" s="7">
        <v>11</v>
      </c>
      <c r="N26" s="8">
        <v>3.5</v>
      </c>
      <c r="O26" s="8">
        <f t="shared" si="0"/>
        <v>28.5714285714286</v>
      </c>
      <c r="P26" s="8"/>
      <c r="Q26" s="18" t="s">
        <v>129</v>
      </c>
    </row>
    <row r="27" s="1" customFormat="1" customHeight="1" spans="1:17">
      <c r="A27" s="1" t="str">
        <f>_xlfn.DISPIMG("ID_4007FABE4D1C4667A0125F71403281EF",1)</f>
        <v>=DISPIMG("ID_4007FABE4D1C4667A0125F71403281EF",1)</v>
      </c>
      <c r="B27" s="7" t="s">
        <v>66</v>
      </c>
      <c r="C27" s="7" t="s">
        <v>130</v>
      </c>
      <c r="D27" s="7" t="s">
        <v>131</v>
      </c>
      <c r="E27" s="7" t="s">
        <v>132</v>
      </c>
      <c r="F27" s="7">
        <v>62</v>
      </c>
      <c r="G27" s="7">
        <v>56</v>
      </c>
      <c r="H27" s="7">
        <v>85</v>
      </c>
      <c r="I27" s="7">
        <v>40</v>
      </c>
      <c r="J27" s="7">
        <v>75</v>
      </c>
      <c r="K27" s="7">
        <v>70</v>
      </c>
      <c r="L27" s="7">
        <v>300</v>
      </c>
      <c r="M27" s="7">
        <v>12</v>
      </c>
      <c r="N27" s="8">
        <v>4</v>
      </c>
      <c r="O27" s="8">
        <f t="shared" si="0"/>
        <v>21.25</v>
      </c>
      <c r="P27" s="8"/>
      <c r="Q27" s="18" t="s">
        <v>133</v>
      </c>
    </row>
    <row r="28" s="1" customFormat="1" customHeight="1" spans="1:17">
      <c r="A28" s="1" t="str">
        <f>_xlfn.DISPIMG("ID_17643440DE0748499582F593D1A870B0",1)</f>
        <v>=DISPIMG("ID_17643440DE0748499582F593D1A870B0",1)</v>
      </c>
      <c r="B28" s="7" t="s">
        <v>66</v>
      </c>
      <c r="C28" s="7" t="s">
        <v>134</v>
      </c>
      <c r="D28" s="7" t="s">
        <v>135</v>
      </c>
      <c r="E28" s="7" t="s">
        <v>136</v>
      </c>
      <c r="F28" s="7">
        <v>68</v>
      </c>
      <c r="G28" s="7">
        <v>56</v>
      </c>
      <c r="H28" s="7">
        <v>100</v>
      </c>
      <c r="I28" s="7">
        <v>30</v>
      </c>
      <c r="J28" s="7">
        <v>60</v>
      </c>
      <c r="K28" s="7">
        <v>40</v>
      </c>
      <c r="L28" s="7">
        <v>200</v>
      </c>
      <c r="M28" s="7">
        <v>10</v>
      </c>
      <c r="N28" s="8">
        <v>5.5</v>
      </c>
      <c r="O28" s="8">
        <f t="shared" si="0"/>
        <v>18.1818181818182</v>
      </c>
      <c r="P28" s="8"/>
      <c r="Q28" s="18" t="s">
        <v>137</v>
      </c>
    </row>
    <row r="29" s="1" customFormat="1" customHeight="1" spans="1:17">
      <c r="A29" s="1" t="str">
        <f>_xlfn.DISPIMG("ID_34072ED7754C421A8384AAC947DB0BD7",1)</f>
        <v>=DISPIMG("ID_34072ED7754C421A8384AAC947DB0BD7",1)</v>
      </c>
      <c r="B29" s="7" t="s">
        <v>66</v>
      </c>
      <c r="C29" s="7" t="s">
        <v>138</v>
      </c>
      <c r="D29" s="7" t="s">
        <v>139</v>
      </c>
      <c r="E29" s="7" t="s">
        <v>140</v>
      </c>
      <c r="F29" s="7">
        <v>64</v>
      </c>
      <c r="G29" s="7">
        <v>57</v>
      </c>
      <c r="H29" s="7">
        <v>100</v>
      </c>
      <c r="I29" s="7">
        <v>30</v>
      </c>
      <c r="J29" s="7">
        <v>75</v>
      </c>
      <c r="K29" s="7">
        <v>50</v>
      </c>
      <c r="L29" s="7">
        <v>280</v>
      </c>
      <c r="M29" s="7">
        <v>12</v>
      </c>
      <c r="N29" s="8">
        <v>4</v>
      </c>
      <c r="O29" s="8">
        <f t="shared" si="0"/>
        <v>25</v>
      </c>
      <c r="P29" s="8"/>
      <c r="Q29" s="18" t="s">
        <v>141</v>
      </c>
    </row>
    <row r="30" s="1" customFormat="1" customHeight="1" spans="1:17">
      <c r="A30" s="1" t="str">
        <f>_xlfn.DISPIMG("ID_BB93E5E16F5642D49F6F0739F879098C",1)</f>
        <v>=DISPIMG("ID_BB93E5E16F5642D49F6F0739F879098C",1)</v>
      </c>
      <c r="B30" s="7" t="s">
        <v>66</v>
      </c>
      <c r="C30" s="7" t="s">
        <v>142</v>
      </c>
      <c r="D30" s="7" t="s">
        <v>143</v>
      </c>
      <c r="E30" s="7" t="s">
        <v>144</v>
      </c>
      <c r="F30" s="7">
        <v>64</v>
      </c>
      <c r="G30" s="7">
        <v>58</v>
      </c>
      <c r="H30" s="7">
        <v>100</v>
      </c>
      <c r="I30" s="7">
        <v>30</v>
      </c>
      <c r="J30" s="7">
        <v>70</v>
      </c>
      <c r="K30" s="7">
        <v>50</v>
      </c>
      <c r="L30" s="7">
        <v>250</v>
      </c>
      <c r="M30" s="7">
        <v>10</v>
      </c>
      <c r="N30" s="8">
        <v>3</v>
      </c>
      <c r="O30" s="8">
        <f t="shared" si="0"/>
        <v>33.3333333333333</v>
      </c>
      <c r="P30" s="8"/>
      <c r="Q30" s="18" t="s">
        <v>145</v>
      </c>
    </row>
    <row r="31" s="1" customFormat="1" customHeight="1" spans="1:17">
      <c r="A31" s="1" t="str">
        <f>_xlfn.DISPIMG("ID_C9191AF868764E06B2A4269983F811FF",1)</f>
        <v>=DISPIMG("ID_C9191AF868764E06B2A4269983F811FF",1)</v>
      </c>
      <c r="B31" s="7" t="s">
        <v>66</v>
      </c>
      <c r="C31" s="7" t="s">
        <v>146</v>
      </c>
      <c r="D31" s="7" t="s">
        <v>147</v>
      </c>
      <c r="E31" s="7" t="s">
        <v>148</v>
      </c>
      <c r="F31" s="7">
        <v>64</v>
      </c>
      <c r="G31" s="7">
        <v>58</v>
      </c>
      <c r="H31" s="7">
        <v>100</v>
      </c>
      <c r="I31" s="7">
        <v>30</v>
      </c>
      <c r="J31" s="7">
        <v>70</v>
      </c>
      <c r="K31" s="7">
        <v>50</v>
      </c>
      <c r="L31" s="7">
        <v>250</v>
      </c>
      <c r="M31" s="7">
        <v>10</v>
      </c>
      <c r="N31" s="8">
        <v>3</v>
      </c>
      <c r="O31" s="8">
        <f t="shared" si="0"/>
        <v>33.3333333333333</v>
      </c>
      <c r="P31" s="8"/>
      <c r="Q31" s="18" t="s">
        <v>149</v>
      </c>
    </row>
    <row r="32" s="1" customFormat="1" customHeight="1" spans="1:17">
      <c r="A32" s="1" t="str">
        <f>_xlfn.DISPIMG("ID_270C8E09E27D4A28928379BB2733EA42",1)</f>
        <v>=DISPIMG("ID_270C8E09E27D4A28928379BB2733EA42",1)</v>
      </c>
      <c r="B32" s="7" t="s">
        <v>66</v>
      </c>
      <c r="C32" s="7" t="s">
        <v>150</v>
      </c>
      <c r="D32" s="7" t="s">
        <v>151</v>
      </c>
      <c r="E32" s="7" t="s">
        <v>152</v>
      </c>
      <c r="F32" s="7">
        <v>70</v>
      </c>
      <c r="G32" s="7">
        <v>60</v>
      </c>
      <c r="H32" s="7">
        <v>100</v>
      </c>
      <c r="I32" s="7">
        <v>60</v>
      </c>
      <c r="J32" s="7">
        <v>80</v>
      </c>
      <c r="K32" s="7">
        <v>80</v>
      </c>
      <c r="L32" s="7">
        <v>250</v>
      </c>
      <c r="M32" s="7">
        <v>14</v>
      </c>
      <c r="N32" s="8">
        <v>5</v>
      </c>
      <c r="O32" s="8">
        <f t="shared" si="0"/>
        <v>20</v>
      </c>
      <c r="P32" s="8" t="s">
        <v>153</v>
      </c>
      <c r="Q32" s="18" t="s">
        <v>154</v>
      </c>
    </row>
    <row r="33" s="1" customFormat="1" customHeight="1" spans="1:17">
      <c r="A33" s="1" t="str">
        <f>_xlfn.DISPIMG("ID_11549DA2D53E4063908BBF0CC4114D97",1)</f>
        <v>=DISPIMG("ID_11549DA2D53E4063908BBF0CC4114D97",1)</v>
      </c>
      <c r="B33" s="7" t="s">
        <v>66</v>
      </c>
      <c r="C33" s="7" t="s">
        <v>155</v>
      </c>
      <c r="D33" s="7" t="s">
        <v>156</v>
      </c>
      <c r="E33" s="7" t="s">
        <v>157</v>
      </c>
      <c r="F33" s="7">
        <v>68</v>
      </c>
      <c r="G33" s="7">
        <v>62</v>
      </c>
      <c r="H33" s="7">
        <v>100</v>
      </c>
      <c r="I33" s="7">
        <v>25</v>
      </c>
      <c r="J33" s="7">
        <v>95</v>
      </c>
      <c r="K33" s="7">
        <v>65</v>
      </c>
      <c r="L33" s="7">
        <v>250</v>
      </c>
      <c r="M33" s="7">
        <v>14</v>
      </c>
      <c r="N33" s="8">
        <v>6</v>
      </c>
      <c r="O33" s="8">
        <f t="shared" si="0"/>
        <v>16.6666666666667</v>
      </c>
      <c r="P33" s="8" t="s">
        <v>9</v>
      </c>
      <c r="Q33" s="18" t="s">
        <v>158</v>
      </c>
    </row>
    <row r="34" s="1" customFormat="1" customHeight="1" spans="1:17">
      <c r="A34" s="1" t="str">
        <f>_xlfn.DISPIMG("ID_105832A9F8DD49FFB72B17DBBB725804",1)</f>
        <v>=DISPIMG("ID_105832A9F8DD49FFB72B17DBBB725804",1)</v>
      </c>
      <c r="B34" s="7" t="s">
        <v>66</v>
      </c>
      <c r="C34" s="7" t="s">
        <v>159</v>
      </c>
      <c r="D34" s="7" t="s">
        <v>160</v>
      </c>
      <c r="E34" s="7" t="s">
        <v>161</v>
      </c>
      <c r="F34" s="7">
        <v>66</v>
      </c>
      <c r="G34" s="7">
        <v>63</v>
      </c>
      <c r="H34" s="7">
        <v>100</v>
      </c>
      <c r="I34" s="7">
        <v>20</v>
      </c>
      <c r="J34" s="7">
        <v>60</v>
      </c>
      <c r="K34" s="7">
        <v>50</v>
      </c>
      <c r="L34" s="7">
        <v>220</v>
      </c>
      <c r="M34" s="7">
        <v>12</v>
      </c>
      <c r="N34" s="8">
        <v>4</v>
      </c>
      <c r="O34" s="8">
        <f t="shared" si="0"/>
        <v>25</v>
      </c>
      <c r="P34" s="8"/>
      <c r="Q34" s="18" t="s">
        <v>162</v>
      </c>
    </row>
    <row r="35" s="1" customFormat="1" customHeight="1" spans="1:17">
      <c r="A35" s="1" t="str">
        <f>_xlfn.DISPIMG("ID_0981BCFE1C3F42E59DBBBF4A35C071BE",1)</f>
        <v>=DISPIMG("ID_0981BCFE1C3F42E59DBBBF4A35C071BE",1)</v>
      </c>
      <c r="B35" s="7" t="s">
        <v>66</v>
      </c>
      <c r="C35" s="7" t="s">
        <v>163</v>
      </c>
      <c r="D35" s="7" t="s">
        <v>164</v>
      </c>
      <c r="E35" s="7" t="s">
        <v>165</v>
      </c>
      <c r="F35" s="7">
        <v>66</v>
      </c>
      <c r="G35" s="7">
        <v>64</v>
      </c>
      <c r="H35" s="7">
        <v>100</v>
      </c>
      <c r="I35" s="7">
        <v>40</v>
      </c>
      <c r="J35" s="7">
        <v>75</v>
      </c>
      <c r="K35" s="7">
        <v>65</v>
      </c>
      <c r="L35" s="7">
        <v>250</v>
      </c>
      <c r="M35" s="7">
        <v>14</v>
      </c>
      <c r="N35" s="8">
        <v>5</v>
      </c>
      <c r="O35" s="8">
        <f t="shared" si="0"/>
        <v>20</v>
      </c>
      <c r="P35" s="8"/>
      <c r="Q35" s="18" t="s">
        <v>166</v>
      </c>
    </row>
    <row r="36" s="1" customFormat="1" ht="77.25" spans="1:17">
      <c r="A36" s="1" t="str">
        <f>_xlfn.DISPIMG("ID_3418A4FF7DA44344AD47765011B9B2A8",1)</f>
        <v>=DISPIMG("ID_3418A4FF7DA44344AD47765011B9B2A8",1)</v>
      </c>
      <c r="B36" s="9" t="s">
        <v>167</v>
      </c>
      <c r="C36" s="9" t="s">
        <v>168</v>
      </c>
      <c r="D36" s="9" t="s">
        <v>169</v>
      </c>
      <c r="E36" s="9" t="s">
        <v>170</v>
      </c>
      <c r="F36" s="9">
        <v>80</v>
      </c>
      <c r="G36" s="9">
        <v>66</v>
      </c>
      <c r="H36" s="9">
        <v>90</v>
      </c>
      <c r="I36" s="9">
        <v>30</v>
      </c>
      <c r="J36" s="9">
        <v>30</v>
      </c>
      <c r="K36" s="9">
        <v>51</v>
      </c>
      <c r="L36" s="9">
        <v>200</v>
      </c>
      <c r="M36" s="9">
        <v>30</v>
      </c>
      <c r="N36" s="10">
        <v>12</v>
      </c>
      <c r="O36" s="10">
        <f t="shared" si="0"/>
        <v>7.5</v>
      </c>
      <c r="P36" s="10" t="s">
        <v>171</v>
      </c>
      <c r="Q36" s="19" t="s">
        <v>172</v>
      </c>
    </row>
    <row r="37" s="1" customFormat="1" customHeight="1" spans="1:17">
      <c r="A37" s="1" t="str">
        <f>_xlfn.DISPIMG("ID_296EEDF0C8864F5E852E2108B654220D",1)</f>
        <v>=DISPIMG("ID_296EEDF0C8864F5E852E2108B654220D",1)</v>
      </c>
      <c r="B37" s="9" t="s">
        <v>167</v>
      </c>
      <c r="C37" s="9" t="s">
        <v>173</v>
      </c>
      <c r="D37" s="9" t="s">
        <v>174</v>
      </c>
      <c r="E37" s="9" t="s">
        <v>175</v>
      </c>
      <c r="F37" s="9">
        <v>80</v>
      </c>
      <c r="G37" s="9">
        <v>68</v>
      </c>
      <c r="H37" s="9">
        <v>100</v>
      </c>
      <c r="I37" s="9">
        <v>60</v>
      </c>
      <c r="J37" s="9">
        <v>75</v>
      </c>
      <c r="K37" s="9">
        <v>75</v>
      </c>
      <c r="L37" s="9">
        <v>300</v>
      </c>
      <c r="M37" s="9">
        <v>36</v>
      </c>
      <c r="N37" s="10">
        <v>18</v>
      </c>
      <c r="O37" s="10">
        <f t="shared" si="0"/>
        <v>5.55555555555556</v>
      </c>
      <c r="P37" s="10"/>
      <c r="Q37" s="19" t="s">
        <v>176</v>
      </c>
    </row>
    <row r="38" s="1" customFormat="1" customHeight="1" spans="1:17">
      <c r="A38" s="1" t="str">
        <f>_xlfn.DISPIMG("ID_F9F265173E494288BDFA8C70684B4972",1)</f>
        <v>=DISPIMG("ID_F9F265173E494288BDFA8C70684B4972",1)</v>
      </c>
      <c r="B38" s="9" t="s">
        <v>167</v>
      </c>
      <c r="C38" s="9" t="s">
        <v>177</v>
      </c>
      <c r="D38" s="9" t="s">
        <v>178</v>
      </c>
      <c r="E38" s="9" t="s">
        <v>179</v>
      </c>
      <c r="F38" s="9">
        <v>62</v>
      </c>
      <c r="G38" s="9">
        <v>70</v>
      </c>
      <c r="H38" s="9">
        <v>100</v>
      </c>
      <c r="I38" s="9">
        <v>55</v>
      </c>
      <c r="J38" s="9">
        <v>45</v>
      </c>
      <c r="K38" s="9">
        <v>75</v>
      </c>
      <c r="L38" s="9">
        <v>300</v>
      </c>
      <c r="M38" s="9">
        <v>16</v>
      </c>
      <c r="N38" s="10">
        <v>6</v>
      </c>
      <c r="O38" s="10">
        <f t="shared" si="0"/>
        <v>16.6666666666667</v>
      </c>
      <c r="P38" s="10" t="s">
        <v>180</v>
      </c>
      <c r="Q38" s="19" t="s">
        <v>181</v>
      </c>
    </row>
    <row r="39" s="1" customFormat="1" customHeight="1" spans="1:17">
      <c r="A39" s="1" t="str">
        <f>_xlfn.DISPIMG("ID_89C234FD31674A35B626BA7D802517A2",1)</f>
        <v>=DISPIMG("ID_89C234FD31674A35B626BA7D802517A2",1)</v>
      </c>
      <c r="B39" s="9" t="s">
        <v>167</v>
      </c>
      <c r="C39" s="9" t="s">
        <v>182</v>
      </c>
      <c r="D39" s="9" t="s">
        <v>183</v>
      </c>
      <c r="E39" s="9" t="s">
        <v>184</v>
      </c>
      <c r="F39" s="9">
        <v>80</v>
      </c>
      <c r="G39" s="9">
        <v>71</v>
      </c>
      <c r="H39" s="9">
        <v>100</v>
      </c>
      <c r="I39" s="9">
        <v>40</v>
      </c>
      <c r="J39" s="9">
        <v>90</v>
      </c>
      <c r="K39" s="9">
        <v>50</v>
      </c>
      <c r="L39" s="9">
        <v>230</v>
      </c>
      <c r="M39" s="9">
        <v>34</v>
      </c>
      <c r="N39" s="10">
        <v>16</v>
      </c>
      <c r="O39" s="10">
        <f t="shared" si="0"/>
        <v>6.25</v>
      </c>
      <c r="P39" s="10" t="s">
        <v>9</v>
      </c>
      <c r="Q39" s="19" t="s">
        <v>185</v>
      </c>
    </row>
    <row r="40" s="1" customFormat="1" customHeight="1" spans="1:17">
      <c r="A40" s="1" t="str">
        <f>_xlfn.DISPIMG("ID_04374F5BEAE143BD9A1953A64AE682AC",1)</f>
        <v>=DISPIMG("ID_04374F5BEAE143BD9A1953A64AE682AC",1)</v>
      </c>
      <c r="B40" s="9" t="s">
        <v>167</v>
      </c>
      <c r="C40" s="9" t="s">
        <v>186</v>
      </c>
      <c r="D40" s="9" t="s">
        <v>187</v>
      </c>
      <c r="E40" s="9" t="s">
        <v>188</v>
      </c>
      <c r="F40" s="9">
        <v>80</v>
      </c>
      <c r="G40" s="9">
        <v>72</v>
      </c>
      <c r="H40" s="9">
        <v>100</v>
      </c>
      <c r="I40" s="9">
        <v>40</v>
      </c>
      <c r="J40" s="9">
        <v>75</v>
      </c>
      <c r="K40" s="9">
        <v>50</v>
      </c>
      <c r="L40" s="9">
        <v>300</v>
      </c>
      <c r="M40" s="9">
        <v>30</v>
      </c>
      <c r="N40" s="10">
        <v>13</v>
      </c>
      <c r="O40" s="10">
        <f t="shared" si="0"/>
        <v>7.69230769230769</v>
      </c>
      <c r="P40" s="10"/>
      <c r="Q40" s="19" t="s">
        <v>189</v>
      </c>
    </row>
    <row r="41" s="1" customFormat="1" customHeight="1" spans="1:17">
      <c r="A41" s="1" t="str">
        <f>_xlfn.DISPIMG("ID_17CAE9A858364B05B6A9B40F28282790",1)</f>
        <v>=DISPIMG("ID_17CAE9A858364B05B6A9B40F28282790",1)</v>
      </c>
      <c r="B41" s="9" t="s">
        <v>167</v>
      </c>
      <c r="C41" s="9" t="s">
        <v>190</v>
      </c>
      <c r="D41" s="9" t="s">
        <v>191</v>
      </c>
      <c r="E41" s="9" t="s">
        <v>192</v>
      </c>
      <c r="F41" s="9">
        <v>75</v>
      </c>
      <c r="G41" s="9">
        <v>77</v>
      </c>
      <c r="H41" s="9">
        <v>80</v>
      </c>
      <c r="I41" s="9">
        <v>80</v>
      </c>
      <c r="J41" s="9">
        <v>80</v>
      </c>
      <c r="K41" s="9">
        <v>70</v>
      </c>
      <c r="L41" s="9">
        <v>300</v>
      </c>
      <c r="M41" s="9">
        <v>31</v>
      </c>
      <c r="N41" s="10">
        <v>14.5</v>
      </c>
      <c r="O41" s="10">
        <f t="shared" si="0"/>
        <v>5.51724137931035</v>
      </c>
      <c r="P41" s="10"/>
      <c r="Q41" s="19" t="s">
        <v>193</v>
      </c>
    </row>
    <row r="42" s="1" customFormat="1" customHeight="1" spans="1:17">
      <c r="A42" s="1" t="str">
        <f>_xlfn.DISPIMG("ID_7BE19F7FF319446095DD10EDB164E30F",1)</f>
        <v>=DISPIMG("ID_7BE19F7FF319446095DD10EDB164E30F",1)</v>
      </c>
      <c r="B42" s="9" t="s">
        <v>167</v>
      </c>
      <c r="C42" s="9" t="s">
        <v>194</v>
      </c>
      <c r="D42" s="9" t="s">
        <v>195</v>
      </c>
      <c r="E42" s="9" t="s">
        <v>196</v>
      </c>
      <c r="F42" s="9">
        <v>82</v>
      </c>
      <c r="G42" s="9">
        <v>80</v>
      </c>
      <c r="H42" s="9">
        <v>100</v>
      </c>
      <c r="I42" s="9">
        <v>80</v>
      </c>
      <c r="J42" s="9">
        <v>75</v>
      </c>
      <c r="K42" s="9">
        <v>65</v>
      </c>
      <c r="L42" s="9">
        <v>400</v>
      </c>
      <c r="M42" s="9">
        <v>38</v>
      </c>
      <c r="N42" s="10">
        <v>20</v>
      </c>
      <c r="O42" s="10">
        <f t="shared" si="0"/>
        <v>5</v>
      </c>
      <c r="P42" s="10"/>
      <c r="Q42" s="19" t="s">
        <v>197</v>
      </c>
    </row>
    <row r="43" s="1" customFormat="1" ht="77.25" spans="1:17">
      <c r="A43" s="1" t="str">
        <f>_xlfn.DISPIMG("ID_EF9BB175C9FD43DA8D20D15C30696138",1)</f>
        <v>=DISPIMG("ID_EF9BB175C9FD43DA8D20D15C30696138",1)</v>
      </c>
      <c r="B43" s="9" t="s">
        <v>167</v>
      </c>
      <c r="C43" s="9" t="s">
        <v>198</v>
      </c>
      <c r="D43" s="9" t="s">
        <v>199</v>
      </c>
      <c r="E43" s="9" t="s">
        <v>200</v>
      </c>
      <c r="F43" s="9">
        <v>84</v>
      </c>
      <c r="G43" s="9">
        <v>84</v>
      </c>
      <c r="H43" s="9">
        <v>100</v>
      </c>
      <c r="I43" s="9">
        <v>90</v>
      </c>
      <c r="J43" s="9">
        <v>80</v>
      </c>
      <c r="K43" s="9">
        <v>80</v>
      </c>
      <c r="L43" s="9">
        <v>500</v>
      </c>
      <c r="M43" s="9">
        <v>50</v>
      </c>
      <c r="N43" s="10">
        <v>26</v>
      </c>
      <c r="O43" s="10">
        <f t="shared" si="0"/>
        <v>3.84615384615385</v>
      </c>
      <c r="P43" s="10" t="s">
        <v>201</v>
      </c>
      <c r="Q43" s="19" t="s">
        <v>202</v>
      </c>
    </row>
    <row r="44" s="1" customFormat="1" customHeight="1" spans="1:17">
      <c r="A44" s="1" t="str">
        <f>_xlfn.DISPIMG("ID_CCF9472F61FE49B78DE05D49C7FF9A0F",1)</f>
        <v>=DISPIMG("ID_CCF9472F61FE49B78DE05D49C7FF9A0F",1)</v>
      </c>
      <c r="B44" s="9" t="s">
        <v>167</v>
      </c>
      <c r="C44" s="9" t="s">
        <v>203</v>
      </c>
      <c r="D44" s="9" t="s">
        <v>204</v>
      </c>
      <c r="E44" s="9" t="s">
        <v>205</v>
      </c>
      <c r="F44" s="9">
        <v>80</v>
      </c>
      <c r="G44" s="9">
        <v>88</v>
      </c>
      <c r="H44" s="9">
        <v>100</v>
      </c>
      <c r="I44" s="9">
        <v>50</v>
      </c>
      <c r="J44" s="9">
        <v>80</v>
      </c>
      <c r="K44" s="9">
        <v>40</v>
      </c>
      <c r="L44" s="9">
        <v>600</v>
      </c>
      <c r="M44" s="9">
        <v>34</v>
      </c>
      <c r="N44" s="10">
        <v>16</v>
      </c>
      <c r="O44" s="10">
        <f t="shared" si="0"/>
        <v>6.25</v>
      </c>
      <c r="P44" s="10" t="s">
        <v>206</v>
      </c>
      <c r="Q44" s="19" t="s">
        <v>207</v>
      </c>
    </row>
  </sheetData>
  <autoFilter ref="A1:Q44">
    <sortState ref="A1:Q44">
      <sortCondition ref="G1"/>
    </sortState>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21"/>
  <sheetViews>
    <sheetView tabSelected="1" workbookViewId="0">
      <pane xSplit="2" ySplit="1" topLeftCell="C2" activePane="bottomRight" state="frozen"/>
      <selection/>
      <selection pane="topRight"/>
      <selection pane="bottomLeft"/>
      <selection pane="bottomRight" activeCell="Q2" sqref="Q2"/>
    </sheetView>
  </sheetViews>
  <sheetFormatPr defaultColWidth="9" defaultRowHeight="77.35" customHeight="1"/>
  <cols>
    <col min="1" max="1" width="10.375" style="3" customWidth="1"/>
    <col min="2" max="6" width="9" style="1"/>
    <col min="7" max="9" width="9" style="4"/>
    <col min="10" max="17" width="9" style="1"/>
    <col min="18" max="18" width="9" style="4"/>
    <col min="19" max="19" width="12.625" style="4"/>
    <col min="20" max="20" width="9" style="4"/>
    <col min="21" max="21" width="9" style="1"/>
    <col min="22" max="22" width="9" style="4"/>
    <col min="23" max="23" width="27.125" style="5" customWidth="1"/>
    <col min="24" max="16384" width="9" style="1"/>
  </cols>
  <sheetData>
    <row r="1" s="1" customFormat="1" customHeight="1" spans="1:23">
      <c r="A1" s="1" t="s">
        <v>0</v>
      </c>
      <c r="B1" s="1" t="s">
        <v>2</v>
      </c>
      <c r="C1" s="1" t="s">
        <v>3</v>
      </c>
      <c r="D1" s="1" t="s">
        <v>4</v>
      </c>
      <c r="E1" s="1" t="s">
        <v>208</v>
      </c>
      <c r="F1" s="1" t="s">
        <v>7</v>
      </c>
      <c r="G1" s="4" t="s">
        <v>209</v>
      </c>
      <c r="H1" s="4" t="s">
        <v>210</v>
      </c>
      <c r="I1" s="4" t="s">
        <v>211</v>
      </c>
      <c r="J1" s="1" t="s">
        <v>8</v>
      </c>
      <c r="K1" s="1" t="s">
        <v>9</v>
      </c>
      <c r="L1" s="1" t="s">
        <v>10</v>
      </c>
      <c r="M1" s="1" t="s">
        <v>212</v>
      </c>
      <c r="N1" s="1" t="s">
        <v>124</v>
      </c>
      <c r="O1" s="1" t="s">
        <v>213</v>
      </c>
      <c r="P1" s="1" t="s">
        <v>214</v>
      </c>
      <c r="Q1" s="1" t="s">
        <v>11</v>
      </c>
      <c r="R1" s="4" t="s">
        <v>13</v>
      </c>
      <c r="S1" s="4" t="s">
        <v>14</v>
      </c>
      <c r="T1" s="4" t="s">
        <v>215</v>
      </c>
      <c r="U1" s="1" t="s">
        <v>216</v>
      </c>
      <c r="V1" s="4" t="s">
        <v>15</v>
      </c>
      <c r="W1" s="1" t="s">
        <v>16</v>
      </c>
    </row>
    <row r="2" customHeight="1" spans="1:23">
      <c r="A2" s="6" t="str">
        <f>_xlfn.DISPIMG("ID_A340C692C94A4BEF983F45D45DBB6772",1)</f>
        <v>=DISPIMG("ID_A340C692C94A4BEF983F45D45DBB6772",1)</v>
      </c>
      <c r="B2" s="7" t="s">
        <v>217</v>
      </c>
      <c r="C2" s="7" t="s">
        <v>218</v>
      </c>
      <c r="D2" s="7" t="s">
        <v>219</v>
      </c>
      <c r="E2" s="7" t="s">
        <v>220</v>
      </c>
      <c r="F2" s="7">
        <v>14</v>
      </c>
      <c r="G2" s="8">
        <v>8</v>
      </c>
      <c r="H2" s="8">
        <v>16</v>
      </c>
      <c r="I2" s="8">
        <v>14</v>
      </c>
      <c r="J2" s="7">
        <v>8</v>
      </c>
      <c r="K2" s="7">
        <v>8</v>
      </c>
      <c r="L2" s="7">
        <v>3</v>
      </c>
      <c r="M2" s="7">
        <v>9</v>
      </c>
      <c r="N2" s="7">
        <v>8</v>
      </c>
      <c r="O2" s="7">
        <v>0</v>
      </c>
      <c r="P2" s="7">
        <v>5</v>
      </c>
      <c r="Q2" s="7">
        <v>250</v>
      </c>
      <c r="R2" s="8">
        <v>3.5</v>
      </c>
      <c r="S2" s="8">
        <v>4</v>
      </c>
      <c r="T2" s="8" t="s">
        <v>221</v>
      </c>
      <c r="U2" s="7" t="s">
        <v>222</v>
      </c>
      <c r="V2" s="8"/>
      <c r="W2" s="18"/>
    </row>
    <row r="3" customHeight="1" spans="1:23">
      <c r="A3" s="6" t="str">
        <f>_xlfn.DISPIMG("ID_D4BE82633C62447D8AA0425533E093AA",1)</f>
        <v>=DISPIMG("ID_D4BE82633C62447D8AA0425533E093AA",1)</v>
      </c>
      <c r="B3" s="7" t="s">
        <v>217</v>
      </c>
      <c r="C3" s="7" t="s">
        <v>218</v>
      </c>
      <c r="D3" s="7" t="s">
        <v>219</v>
      </c>
      <c r="E3" s="7" t="s">
        <v>220</v>
      </c>
      <c r="F3" s="7">
        <v>14</v>
      </c>
      <c r="G3" s="8">
        <v>8</v>
      </c>
      <c r="H3" s="8">
        <v>16</v>
      </c>
      <c r="I3" s="8">
        <v>14</v>
      </c>
      <c r="J3" s="7">
        <v>8</v>
      </c>
      <c r="K3" s="7">
        <v>8</v>
      </c>
      <c r="L3" s="7">
        <v>3</v>
      </c>
      <c r="M3" s="7">
        <v>9</v>
      </c>
      <c r="N3" s="7">
        <v>8</v>
      </c>
      <c r="O3" s="7">
        <v>0</v>
      </c>
      <c r="P3" s="7">
        <v>5</v>
      </c>
      <c r="Q3" s="7">
        <v>250</v>
      </c>
      <c r="R3" s="8">
        <v>3.5</v>
      </c>
      <c r="S3" s="8">
        <v>4</v>
      </c>
      <c r="T3" s="8" t="s">
        <v>221</v>
      </c>
      <c r="U3" s="7" t="s">
        <v>222</v>
      </c>
      <c r="V3" s="8"/>
      <c r="W3" s="18"/>
    </row>
    <row r="4" customHeight="1" spans="1:23">
      <c r="A4" s="3" t="str">
        <f>_xlfn.DISPIMG("ID_95C753A1562741CC8E65A67D612C8C96",1)</f>
        <v>=DISPIMG("ID_95C753A1562741CC8E65A67D612C8C96",1)</v>
      </c>
      <c r="B4" s="9" t="s">
        <v>223</v>
      </c>
      <c r="C4" s="9" t="s">
        <v>224</v>
      </c>
      <c r="D4" s="9" t="s">
        <v>225</v>
      </c>
      <c r="E4" s="9" t="s">
        <v>226</v>
      </c>
      <c r="F4" s="9">
        <v>26</v>
      </c>
      <c r="G4" s="10">
        <v>27.6</v>
      </c>
      <c r="H4" s="10">
        <v>26</v>
      </c>
      <c r="I4" s="10">
        <v>26</v>
      </c>
      <c r="J4" s="9">
        <v>20</v>
      </c>
      <c r="K4" s="9">
        <v>13</v>
      </c>
      <c r="L4" s="9">
        <v>23</v>
      </c>
      <c r="M4" s="9">
        <v>23</v>
      </c>
      <c r="N4" s="9">
        <v>20</v>
      </c>
      <c r="O4" s="9">
        <v>0</v>
      </c>
      <c r="P4" s="9">
        <v>0</v>
      </c>
      <c r="Q4" s="9">
        <v>250</v>
      </c>
      <c r="R4" s="10">
        <v>5.9</v>
      </c>
      <c r="S4" s="10">
        <v>4.40677966101695</v>
      </c>
      <c r="T4" s="10" t="s">
        <v>221</v>
      </c>
      <c r="U4" s="9" t="s">
        <v>222</v>
      </c>
      <c r="V4" s="10"/>
      <c r="W4" s="19"/>
    </row>
    <row r="5" customHeight="1" spans="1:23">
      <c r="A5" s="3" t="str">
        <f>_xlfn.DISPIMG("ID_2B32078051964C5488DA75034A9F8D2D",1)</f>
        <v>=DISPIMG("ID_2B32078051964C5488DA75034A9F8D2D",1)</v>
      </c>
      <c r="B5" s="9" t="s">
        <v>223</v>
      </c>
      <c r="C5" s="9" t="s">
        <v>224</v>
      </c>
      <c r="D5" s="9" t="s">
        <v>225</v>
      </c>
      <c r="E5" s="9" t="s">
        <v>226</v>
      </c>
      <c r="F5" s="9">
        <v>26</v>
      </c>
      <c r="G5" s="10">
        <v>27.6</v>
      </c>
      <c r="H5" s="10">
        <v>26</v>
      </c>
      <c r="I5" s="10">
        <v>26</v>
      </c>
      <c r="J5" s="9">
        <v>20</v>
      </c>
      <c r="K5" s="9">
        <v>13</v>
      </c>
      <c r="L5" s="9">
        <v>23</v>
      </c>
      <c r="M5" s="9">
        <v>23</v>
      </c>
      <c r="N5" s="9">
        <v>20</v>
      </c>
      <c r="O5" s="9">
        <v>0</v>
      </c>
      <c r="P5" s="9">
        <v>0</v>
      </c>
      <c r="Q5" s="9">
        <v>250</v>
      </c>
      <c r="R5" s="10">
        <v>5.9</v>
      </c>
      <c r="S5" s="10">
        <v>4.40677966101695</v>
      </c>
      <c r="T5" s="10" t="s">
        <v>221</v>
      </c>
      <c r="U5" s="9" t="s">
        <v>222</v>
      </c>
      <c r="V5" s="10"/>
      <c r="W5" s="19"/>
    </row>
    <row r="6" customHeight="1" spans="1:23">
      <c r="A6" s="6" t="str">
        <f>_xlfn.DISPIMG("ID_54194BFD6B354A08B104DF43A2AB8872",1)</f>
        <v>=DISPIMG("ID_54194BFD6B354A08B104DF43A2AB8872",1)</v>
      </c>
      <c r="B6" s="11" t="s">
        <v>227</v>
      </c>
      <c r="C6" s="11" t="s">
        <v>228</v>
      </c>
      <c r="D6" s="11" t="s">
        <v>229</v>
      </c>
      <c r="E6" s="11" t="s">
        <v>230</v>
      </c>
      <c r="F6" s="11">
        <v>13</v>
      </c>
      <c r="G6" s="12">
        <v>13.8</v>
      </c>
      <c r="H6" s="12">
        <v>13</v>
      </c>
      <c r="I6" s="12">
        <v>13</v>
      </c>
      <c r="J6" s="11">
        <v>12</v>
      </c>
      <c r="K6" s="11">
        <v>7</v>
      </c>
      <c r="L6" s="11">
        <v>13</v>
      </c>
      <c r="M6" s="11">
        <v>14</v>
      </c>
      <c r="N6" s="11">
        <v>12</v>
      </c>
      <c r="O6" s="11">
        <v>0</v>
      </c>
      <c r="P6" s="11">
        <v>0</v>
      </c>
      <c r="Q6" s="11">
        <v>250</v>
      </c>
      <c r="R6" s="12">
        <v>3.5</v>
      </c>
      <c r="S6" s="12">
        <v>3.71428571428571</v>
      </c>
      <c r="T6" s="12" t="s">
        <v>221</v>
      </c>
      <c r="U6" s="11" t="s">
        <v>222</v>
      </c>
      <c r="V6" s="12"/>
      <c r="W6" s="20"/>
    </row>
    <row r="7" customHeight="1" spans="1:23">
      <c r="A7" s="6" t="str">
        <f>_xlfn.DISPIMG("ID_7C080BF71CCE474E8603AD318194A7BF",1)</f>
        <v>=DISPIMG("ID_7C080BF71CCE474E8603AD318194A7BF",1)</v>
      </c>
      <c r="B7" s="11" t="s">
        <v>231</v>
      </c>
      <c r="C7" s="11" t="s">
        <v>232</v>
      </c>
      <c r="D7" s="11" t="s">
        <v>233</v>
      </c>
      <c r="E7" s="11" t="s">
        <v>230</v>
      </c>
      <c r="F7" s="11">
        <v>12</v>
      </c>
      <c r="G7" s="12">
        <v>13.8</v>
      </c>
      <c r="H7" s="12">
        <v>13</v>
      </c>
      <c r="I7" s="12">
        <v>13</v>
      </c>
      <c r="J7" s="11">
        <v>10</v>
      </c>
      <c r="K7" s="11">
        <v>8</v>
      </c>
      <c r="L7" s="11">
        <v>4</v>
      </c>
      <c r="M7" s="11">
        <v>14</v>
      </c>
      <c r="N7" s="11">
        <v>12</v>
      </c>
      <c r="O7" s="11">
        <v>0</v>
      </c>
      <c r="P7" s="11">
        <v>0</v>
      </c>
      <c r="Q7" s="11">
        <v>300</v>
      </c>
      <c r="R7" s="12">
        <v>3.6</v>
      </c>
      <c r="S7" s="12">
        <v>3.61111111111111</v>
      </c>
      <c r="T7" s="12" t="s">
        <v>221</v>
      </c>
      <c r="U7" s="11" t="s">
        <v>222</v>
      </c>
      <c r="V7" s="12"/>
      <c r="W7" s="20"/>
    </row>
    <row r="8" customHeight="1" spans="1:23">
      <c r="A8" s="6" t="str">
        <f>_xlfn.DISPIMG("ID_2E6818CAD9554019872BCA700483D039",1)</f>
        <v>=DISPIMG("ID_2E6818CAD9554019872BCA700483D039",1)</v>
      </c>
      <c r="B8" s="13" t="s">
        <v>234</v>
      </c>
      <c r="C8" s="13" t="s">
        <v>235</v>
      </c>
      <c r="D8" s="13" t="s">
        <v>236</v>
      </c>
      <c r="E8" s="13" t="s">
        <v>237</v>
      </c>
      <c r="F8" s="13">
        <v>13</v>
      </c>
      <c r="G8" s="14">
        <v>13.8</v>
      </c>
      <c r="H8" s="14">
        <v>13</v>
      </c>
      <c r="I8" s="14">
        <v>13</v>
      </c>
      <c r="J8" s="13">
        <v>12</v>
      </c>
      <c r="K8" s="13">
        <v>7</v>
      </c>
      <c r="L8" s="13">
        <v>13</v>
      </c>
      <c r="M8" s="13">
        <v>14</v>
      </c>
      <c r="N8" s="13">
        <v>12</v>
      </c>
      <c r="O8" s="13">
        <v>0</v>
      </c>
      <c r="P8" s="13">
        <v>0</v>
      </c>
      <c r="Q8" s="13">
        <v>250</v>
      </c>
      <c r="R8" s="14">
        <v>3.5</v>
      </c>
      <c r="S8" s="14">
        <v>3.71428571428571</v>
      </c>
      <c r="T8" s="14" t="s">
        <v>221</v>
      </c>
      <c r="U8" s="13" t="s">
        <v>222</v>
      </c>
      <c r="V8" s="14"/>
      <c r="W8" s="21"/>
    </row>
    <row r="9" customHeight="1" spans="1:23">
      <c r="A9" s="6" t="str">
        <f>_xlfn.DISPIMG("ID_EDAF0CC16AC34159AA79976F49BB1B05",1)</f>
        <v>=DISPIMG("ID_EDAF0CC16AC34159AA79976F49BB1B05",1)</v>
      </c>
      <c r="B9" s="13" t="s">
        <v>234</v>
      </c>
      <c r="C9" s="13" t="s">
        <v>235</v>
      </c>
      <c r="D9" s="13" t="s">
        <v>236</v>
      </c>
      <c r="E9" s="13" t="s">
        <v>237</v>
      </c>
      <c r="F9" s="13">
        <v>13</v>
      </c>
      <c r="G9" s="14">
        <v>13.8</v>
      </c>
      <c r="H9" s="14">
        <v>13</v>
      </c>
      <c r="I9" s="14">
        <v>13</v>
      </c>
      <c r="J9" s="13">
        <v>12</v>
      </c>
      <c r="K9" s="13">
        <v>7</v>
      </c>
      <c r="L9" s="13">
        <v>13</v>
      </c>
      <c r="M9" s="13">
        <v>14</v>
      </c>
      <c r="N9" s="13">
        <v>12</v>
      </c>
      <c r="O9" s="13">
        <v>0</v>
      </c>
      <c r="P9" s="13">
        <v>0</v>
      </c>
      <c r="Q9" s="13">
        <v>250</v>
      </c>
      <c r="R9" s="14">
        <v>3.5</v>
      </c>
      <c r="S9" s="14">
        <v>3.71428571428571</v>
      </c>
      <c r="T9" s="14" t="s">
        <v>221</v>
      </c>
      <c r="U9" s="13" t="s">
        <v>222</v>
      </c>
      <c r="V9" s="14"/>
      <c r="W9" s="21"/>
    </row>
    <row r="10" s="2" customFormat="1" ht="118.25" spans="1:23">
      <c r="A10" s="15" t="str">
        <f>_xlfn.DISPIMG("ID_C0DD5479C19C475D865E48B7542DCDA2",1)</f>
        <v>=DISPIMG("ID_C0DD5479C19C475D865E48B7542DCDA2",1)</v>
      </c>
      <c r="B10" s="16" t="s">
        <v>238</v>
      </c>
      <c r="C10" s="16"/>
      <c r="D10" s="16"/>
      <c r="E10" s="16" t="s">
        <v>215</v>
      </c>
      <c r="F10" s="16">
        <v>51</v>
      </c>
      <c r="G10" s="17">
        <v>55.2</v>
      </c>
      <c r="H10" s="17">
        <v>52</v>
      </c>
      <c r="I10" s="17">
        <v>52</v>
      </c>
      <c r="J10" s="16">
        <v>46</v>
      </c>
      <c r="K10" s="16">
        <v>29</v>
      </c>
      <c r="L10" s="16">
        <v>43</v>
      </c>
      <c r="M10" s="16">
        <v>56</v>
      </c>
      <c r="N10" s="16">
        <v>48</v>
      </c>
      <c r="O10" s="16">
        <v>0</v>
      </c>
      <c r="P10" s="16">
        <v>0</v>
      </c>
      <c r="Q10" s="16">
        <v>1050</v>
      </c>
      <c r="R10" s="17">
        <v>14.1</v>
      </c>
      <c r="S10" s="17">
        <v>3.61702127659574</v>
      </c>
      <c r="T10" s="17" t="s">
        <v>221</v>
      </c>
      <c r="U10" s="16" t="s">
        <v>222</v>
      </c>
      <c r="V10" s="17"/>
      <c r="W10" s="22" t="s">
        <v>239</v>
      </c>
    </row>
    <row r="11" customHeight="1" spans="1:23">
      <c r="A11" s="6" t="str">
        <f>_xlfn.DISPIMG("ID_D7923E106B584265A2DB830D44849C7B",1)</f>
        <v>=DISPIMG("ID_D7923E106B584265A2DB830D44849C7B",1)</v>
      </c>
      <c r="B11" s="7" t="s">
        <v>240</v>
      </c>
      <c r="C11" s="7" t="s">
        <v>241</v>
      </c>
      <c r="D11" s="7" t="s">
        <v>242</v>
      </c>
      <c r="E11" s="7" t="s">
        <v>220</v>
      </c>
      <c r="F11" s="7">
        <v>12</v>
      </c>
      <c r="G11" s="8">
        <v>12</v>
      </c>
      <c r="H11" s="8">
        <v>14.4</v>
      </c>
      <c r="I11" s="8">
        <v>11.6</v>
      </c>
      <c r="J11" s="7">
        <v>10</v>
      </c>
      <c r="K11" s="7">
        <v>8</v>
      </c>
      <c r="L11" s="7">
        <v>3</v>
      </c>
      <c r="M11" s="7">
        <v>10</v>
      </c>
      <c r="N11" s="7">
        <v>6</v>
      </c>
      <c r="O11" s="7">
        <v>0</v>
      </c>
      <c r="P11" s="7">
        <v>5</v>
      </c>
      <c r="Q11" s="7">
        <v>300</v>
      </c>
      <c r="R11" s="8">
        <v>3</v>
      </c>
      <c r="S11" s="8">
        <v>3.86666666666667</v>
      </c>
      <c r="T11" s="7" t="s">
        <v>243</v>
      </c>
      <c r="U11" s="7" t="s">
        <v>222</v>
      </c>
      <c r="V11" s="8"/>
      <c r="W11" s="18"/>
    </row>
    <row r="12" customHeight="1" spans="1:23">
      <c r="A12" s="6" t="str">
        <f>_xlfn.DISPIMG("ID_03CABD65EDDA4843B462C79342FFF0E9",1)</f>
        <v>=DISPIMG("ID_03CABD65EDDA4843B462C79342FFF0E9",1)</v>
      </c>
      <c r="B12" s="7" t="s">
        <v>240</v>
      </c>
      <c r="C12" s="7" t="s">
        <v>241</v>
      </c>
      <c r="D12" s="7" t="s">
        <v>242</v>
      </c>
      <c r="E12" s="7" t="s">
        <v>220</v>
      </c>
      <c r="F12" s="7">
        <v>12</v>
      </c>
      <c r="G12" s="8">
        <v>12</v>
      </c>
      <c r="H12" s="8">
        <v>14.4</v>
      </c>
      <c r="I12" s="8">
        <v>11.6</v>
      </c>
      <c r="J12" s="7">
        <v>10</v>
      </c>
      <c r="K12" s="7">
        <v>8</v>
      </c>
      <c r="L12" s="7">
        <v>3</v>
      </c>
      <c r="M12" s="7">
        <v>10</v>
      </c>
      <c r="N12" s="7">
        <v>6</v>
      </c>
      <c r="O12" s="7">
        <v>0</v>
      </c>
      <c r="P12" s="7">
        <v>5</v>
      </c>
      <c r="Q12" s="7">
        <v>300</v>
      </c>
      <c r="R12" s="8">
        <v>3</v>
      </c>
      <c r="S12" s="8">
        <v>3.86666666666667</v>
      </c>
      <c r="T12" s="7" t="s">
        <v>243</v>
      </c>
      <c r="U12" s="7" t="s">
        <v>222</v>
      </c>
      <c r="V12" s="8"/>
      <c r="W12" s="18"/>
    </row>
    <row r="13" customHeight="1" spans="1:23">
      <c r="A13" s="3" t="str">
        <f>_xlfn.DISPIMG("ID_880BB5B73E39403DB20919170A4CA416",1)</f>
        <v>=DISPIMG("ID_880BB5B73E39403DB20919170A4CA416",1)</v>
      </c>
      <c r="B13" s="9" t="s">
        <v>244</v>
      </c>
      <c r="C13" s="9" t="s">
        <v>245</v>
      </c>
      <c r="D13" s="9" t="s">
        <v>246</v>
      </c>
      <c r="E13" s="9" t="s">
        <v>226</v>
      </c>
      <c r="F13" s="9">
        <v>30</v>
      </c>
      <c r="G13" s="10">
        <v>30</v>
      </c>
      <c r="H13" s="10">
        <v>36</v>
      </c>
      <c r="I13" s="10">
        <v>29.1</v>
      </c>
      <c r="J13" s="9">
        <v>21</v>
      </c>
      <c r="K13" s="9">
        <v>16</v>
      </c>
      <c r="L13" s="9">
        <v>7</v>
      </c>
      <c r="M13" s="9">
        <v>20</v>
      </c>
      <c r="N13" s="9">
        <v>12</v>
      </c>
      <c r="O13" s="9">
        <v>0</v>
      </c>
      <c r="P13" s="9">
        <v>9</v>
      </c>
      <c r="Q13" s="9">
        <v>300</v>
      </c>
      <c r="R13" s="10">
        <v>6</v>
      </c>
      <c r="S13" s="10">
        <v>4.85</v>
      </c>
      <c r="T13" s="9" t="s">
        <v>247</v>
      </c>
      <c r="U13" s="9" t="s">
        <v>222</v>
      </c>
      <c r="V13" s="10"/>
      <c r="W13" s="19"/>
    </row>
    <row r="14" customHeight="1" spans="1:23">
      <c r="A14" s="3" t="str">
        <f>_xlfn.DISPIMG("ID_138EC990C8EF4A0F9449147E256A1C97",1)</f>
        <v>=DISPIMG("ID_138EC990C8EF4A0F9449147E256A1C97",1)</v>
      </c>
      <c r="B14" s="9" t="s">
        <v>244</v>
      </c>
      <c r="C14" s="9" t="s">
        <v>245</v>
      </c>
      <c r="D14" s="9" t="s">
        <v>246</v>
      </c>
      <c r="E14" s="9" t="s">
        <v>226</v>
      </c>
      <c r="F14" s="9">
        <v>30</v>
      </c>
      <c r="G14" s="10">
        <v>30</v>
      </c>
      <c r="H14" s="10">
        <v>36</v>
      </c>
      <c r="I14" s="10">
        <v>29.1</v>
      </c>
      <c r="J14" s="9">
        <v>21</v>
      </c>
      <c r="K14" s="9">
        <v>16</v>
      </c>
      <c r="L14" s="9">
        <v>7</v>
      </c>
      <c r="M14" s="9">
        <v>20</v>
      </c>
      <c r="N14" s="9">
        <v>12</v>
      </c>
      <c r="O14" s="9">
        <v>0</v>
      </c>
      <c r="P14" s="9">
        <v>9</v>
      </c>
      <c r="Q14" s="9">
        <v>300</v>
      </c>
      <c r="R14" s="10">
        <v>6</v>
      </c>
      <c r="S14" s="10">
        <v>4.85</v>
      </c>
      <c r="T14" s="9" t="s">
        <v>247</v>
      </c>
      <c r="U14" s="9" t="s">
        <v>222</v>
      </c>
      <c r="V14" s="10"/>
      <c r="W14" s="19"/>
    </row>
    <row r="15" customHeight="1" spans="1:23">
      <c r="A15" s="6" t="str">
        <f>_xlfn.DISPIMG("ID_4AA71090D8CC42E59530BF5FC66EE6D4",1)</f>
        <v>=DISPIMG("ID_4AA71090D8CC42E59530BF5FC66EE6D4",1)</v>
      </c>
      <c r="B15" s="11" t="s">
        <v>231</v>
      </c>
      <c r="C15" s="11" t="s">
        <v>232</v>
      </c>
      <c r="D15" s="11" t="s">
        <v>233</v>
      </c>
      <c r="E15" s="11" t="s">
        <v>230</v>
      </c>
      <c r="F15" s="11">
        <v>12</v>
      </c>
      <c r="G15" s="12">
        <v>12</v>
      </c>
      <c r="H15" s="12">
        <v>14.4</v>
      </c>
      <c r="I15" s="12">
        <v>11.6</v>
      </c>
      <c r="J15" s="11">
        <v>10</v>
      </c>
      <c r="K15" s="11">
        <v>8</v>
      </c>
      <c r="L15" s="11">
        <v>4</v>
      </c>
      <c r="M15" s="11">
        <v>12</v>
      </c>
      <c r="N15" s="11">
        <v>7</v>
      </c>
      <c r="O15" s="11">
        <v>0</v>
      </c>
      <c r="P15" s="11">
        <v>5</v>
      </c>
      <c r="Q15" s="11">
        <v>300</v>
      </c>
      <c r="R15" s="12">
        <v>3.6</v>
      </c>
      <c r="S15" s="12">
        <v>3.22222222222222</v>
      </c>
      <c r="T15" s="11" t="s">
        <v>247</v>
      </c>
      <c r="U15" s="11" t="s">
        <v>222</v>
      </c>
      <c r="V15" s="12"/>
      <c r="W15" s="20"/>
    </row>
    <row r="16" customHeight="1" spans="1:23">
      <c r="A16" s="6" t="str">
        <f>_xlfn.DISPIMG("ID_659E74BB5C0A4AAB9F718AA1F4CB43C2",1)</f>
        <v>=DISPIMG("ID_659E74BB5C0A4AAB9F718AA1F4CB43C2",1)</v>
      </c>
      <c r="B16" s="13" t="s">
        <v>248</v>
      </c>
      <c r="C16" s="13" t="s">
        <v>249</v>
      </c>
      <c r="D16" s="13" t="s">
        <v>250</v>
      </c>
      <c r="E16" s="13" t="s">
        <v>237</v>
      </c>
      <c r="F16" s="13">
        <v>18</v>
      </c>
      <c r="G16" s="14">
        <v>18</v>
      </c>
      <c r="H16" s="14">
        <v>21.6</v>
      </c>
      <c r="I16" s="14">
        <v>17.5</v>
      </c>
      <c r="J16" s="13">
        <v>14</v>
      </c>
      <c r="K16" s="13">
        <v>12</v>
      </c>
      <c r="L16" s="13">
        <v>5</v>
      </c>
      <c r="M16" s="13">
        <v>15</v>
      </c>
      <c r="N16" s="13">
        <v>9</v>
      </c>
      <c r="O16" s="13">
        <v>0</v>
      </c>
      <c r="P16" s="13">
        <v>7</v>
      </c>
      <c r="Q16" s="13">
        <v>300</v>
      </c>
      <c r="R16" s="14">
        <v>4.6</v>
      </c>
      <c r="S16" s="14">
        <v>3.80434782608696</v>
      </c>
      <c r="T16" s="13" t="s">
        <v>247</v>
      </c>
      <c r="U16" s="13" t="s">
        <v>222</v>
      </c>
      <c r="V16" s="14"/>
      <c r="W16" s="21"/>
    </row>
    <row r="17" customHeight="1" spans="1:23">
      <c r="A17" s="6" t="str">
        <f>_xlfn.DISPIMG("ID_444984F06AFD406DB92CB609A4D47901",1)</f>
        <v>=DISPIMG("ID_444984F06AFD406DB92CB609A4D47901",1)</v>
      </c>
      <c r="B17" s="13" t="s">
        <v>248</v>
      </c>
      <c r="C17" s="13" t="s">
        <v>249</v>
      </c>
      <c r="D17" s="13" t="s">
        <v>250</v>
      </c>
      <c r="E17" s="13" t="s">
        <v>237</v>
      </c>
      <c r="F17" s="13">
        <v>18</v>
      </c>
      <c r="G17" s="14">
        <v>18</v>
      </c>
      <c r="H17" s="14">
        <v>21.6</v>
      </c>
      <c r="I17" s="14">
        <v>17.5</v>
      </c>
      <c r="J17" s="13">
        <v>14</v>
      </c>
      <c r="K17" s="13">
        <v>12</v>
      </c>
      <c r="L17" s="13">
        <v>5</v>
      </c>
      <c r="M17" s="13">
        <v>15</v>
      </c>
      <c r="N17" s="13">
        <v>9</v>
      </c>
      <c r="O17" s="13">
        <v>0</v>
      </c>
      <c r="P17" s="13">
        <v>7</v>
      </c>
      <c r="Q17" s="13">
        <v>300</v>
      </c>
      <c r="R17" s="14">
        <v>4.6</v>
      </c>
      <c r="S17" s="14">
        <v>3.80434782608696</v>
      </c>
      <c r="T17" s="13" t="s">
        <v>247</v>
      </c>
      <c r="U17" s="13" t="s">
        <v>222</v>
      </c>
      <c r="V17" s="14"/>
      <c r="W17" s="21"/>
    </row>
    <row r="18" s="2" customFormat="1" ht="118.25" spans="1:23">
      <c r="A18" s="15" t="str">
        <f>_xlfn.DISPIMG("ID_3D18BBDB7370400D90E884EF0BA2FB50",1)</f>
        <v>=DISPIMG("ID_3D18BBDB7370400D90E884EF0BA2FB50",1)</v>
      </c>
      <c r="B18" s="16" t="s">
        <v>251</v>
      </c>
      <c r="C18" s="16"/>
      <c r="D18" s="16"/>
      <c r="E18" s="16" t="s">
        <v>215</v>
      </c>
      <c r="F18" s="16">
        <v>78</v>
      </c>
      <c r="G18" s="17">
        <v>78</v>
      </c>
      <c r="H18" s="17">
        <v>93.6</v>
      </c>
      <c r="I18" s="17">
        <v>75.7</v>
      </c>
      <c r="J18" s="16">
        <v>59</v>
      </c>
      <c r="K18" s="16">
        <v>48</v>
      </c>
      <c r="L18" s="16">
        <v>21</v>
      </c>
      <c r="M18" s="16">
        <v>62</v>
      </c>
      <c r="N18" s="16">
        <v>37</v>
      </c>
      <c r="O18" s="16">
        <v>0</v>
      </c>
      <c r="P18" s="16">
        <v>28</v>
      </c>
      <c r="Q18" s="16">
        <v>1200</v>
      </c>
      <c r="R18" s="17">
        <v>18.8</v>
      </c>
      <c r="S18" s="17">
        <v>4.14893617021277</v>
      </c>
      <c r="T18" s="17" t="s">
        <v>247</v>
      </c>
      <c r="U18" s="16" t="s">
        <v>222</v>
      </c>
      <c r="V18" s="17"/>
      <c r="W18" s="22" t="s">
        <v>252</v>
      </c>
    </row>
    <row r="19" customHeight="1" spans="1:23">
      <c r="A19" s="6" t="str">
        <f>_xlfn.DISPIMG("ID_31C571185E83442085E171283853E3F3",1)</f>
        <v>=DISPIMG("ID_31C571185E83442085E171283853E3F3",1)</v>
      </c>
      <c r="B19" s="7" t="s">
        <v>253</v>
      </c>
      <c r="C19" s="7" t="s">
        <v>254</v>
      </c>
      <c r="D19" s="7" t="s">
        <v>255</v>
      </c>
      <c r="E19" s="7" t="s">
        <v>220</v>
      </c>
      <c r="F19" s="7">
        <v>14</v>
      </c>
      <c r="G19" s="8">
        <v>13.3</v>
      </c>
      <c r="H19" s="8">
        <v>16.2</v>
      </c>
      <c r="I19" s="8">
        <v>13.7</v>
      </c>
      <c r="J19" s="7">
        <v>6</v>
      </c>
      <c r="K19" s="7">
        <v>8</v>
      </c>
      <c r="L19" s="7">
        <v>5</v>
      </c>
      <c r="M19" s="7">
        <v>9</v>
      </c>
      <c r="N19" s="7">
        <v>6</v>
      </c>
      <c r="O19" s="7">
        <v>0</v>
      </c>
      <c r="P19" s="7">
        <v>8</v>
      </c>
      <c r="Q19" s="7">
        <v>400</v>
      </c>
      <c r="R19" s="8">
        <v>4.2</v>
      </c>
      <c r="S19" s="8">
        <v>3.26190476190476</v>
      </c>
      <c r="T19" s="8" t="s">
        <v>256</v>
      </c>
      <c r="U19" s="7" t="s">
        <v>222</v>
      </c>
      <c r="V19" s="8"/>
      <c r="W19" s="18"/>
    </row>
    <row r="20" customHeight="1" spans="1:23">
      <c r="A20" s="3" t="str">
        <f>_xlfn.DISPIMG("ID_3A887E36298F45F69B8DDB803B3BBE5A",1)</f>
        <v>=DISPIMG("ID_3A887E36298F45F69B8DDB803B3BBE5A",1)</v>
      </c>
      <c r="B20" s="9" t="s">
        <v>257</v>
      </c>
      <c r="C20" s="9" t="s">
        <v>258</v>
      </c>
      <c r="D20" s="9" t="s">
        <v>259</v>
      </c>
      <c r="E20" s="9" t="s">
        <v>226</v>
      </c>
      <c r="F20" s="9">
        <v>37</v>
      </c>
      <c r="G20" s="10">
        <v>35.1</v>
      </c>
      <c r="H20" s="10">
        <v>42.9</v>
      </c>
      <c r="I20" s="10">
        <v>36.3</v>
      </c>
      <c r="J20" s="9">
        <v>16</v>
      </c>
      <c r="K20" s="9">
        <v>18</v>
      </c>
      <c r="L20" s="9">
        <v>13</v>
      </c>
      <c r="M20" s="9">
        <v>23</v>
      </c>
      <c r="N20" s="9">
        <v>16</v>
      </c>
      <c r="O20" s="9">
        <v>0</v>
      </c>
      <c r="P20" s="9">
        <v>20</v>
      </c>
      <c r="Q20" s="9">
        <v>400</v>
      </c>
      <c r="R20" s="10">
        <v>10.9</v>
      </c>
      <c r="S20" s="10">
        <v>3.3302752293578</v>
      </c>
      <c r="T20" s="10" t="s">
        <v>256</v>
      </c>
      <c r="U20" s="9" t="s">
        <v>222</v>
      </c>
      <c r="V20" s="10"/>
      <c r="W20" s="19"/>
    </row>
    <row r="21" customHeight="1" spans="1:23">
      <c r="A21" s="6" t="str">
        <f>_xlfn.DISPIMG("ID_A41275D02642452F94C8D4B31BDB18F0",1)</f>
        <v>=DISPIMG("ID_A41275D02642452F94C8D4B31BDB18F0",1)</v>
      </c>
      <c r="B21" s="11" t="s">
        <v>260</v>
      </c>
      <c r="C21" s="11" t="s">
        <v>261</v>
      </c>
      <c r="D21" s="11" t="s">
        <v>262</v>
      </c>
      <c r="E21" s="11" t="s">
        <v>230</v>
      </c>
      <c r="F21" s="11">
        <v>17</v>
      </c>
      <c r="G21" s="12">
        <v>16.2</v>
      </c>
      <c r="H21" s="12">
        <v>19.7</v>
      </c>
      <c r="I21" s="12">
        <v>16.7</v>
      </c>
      <c r="J21" s="11">
        <v>7</v>
      </c>
      <c r="K21" s="11">
        <v>8</v>
      </c>
      <c r="L21" s="11">
        <v>4</v>
      </c>
      <c r="M21" s="11">
        <v>8</v>
      </c>
      <c r="N21" s="11">
        <v>5</v>
      </c>
      <c r="O21" s="11">
        <v>0</v>
      </c>
      <c r="P21" s="11">
        <v>6</v>
      </c>
      <c r="Q21" s="11">
        <v>400</v>
      </c>
      <c r="R21" s="12">
        <v>3.5</v>
      </c>
      <c r="S21" s="12">
        <v>4.77142857142857</v>
      </c>
      <c r="T21" s="12" t="s">
        <v>256</v>
      </c>
      <c r="U21" s="11" t="s">
        <v>222</v>
      </c>
      <c r="V21" s="12"/>
      <c r="W21" s="20"/>
    </row>
    <row r="22" customHeight="1" spans="1:23">
      <c r="A22" s="6" t="str">
        <f>_xlfn.DISPIMG("ID_1FA0B61A44B34277B068F694AAF59BD1",1)</f>
        <v>=DISPIMG("ID_1FA0B61A44B34277B068F694AAF59BD1",1)</v>
      </c>
      <c r="B22" s="13" t="s">
        <v>263</v>
      </c>
      <c r="C22" s="13" t="s">
        <v>264</v>
      </c>
      <c r="D22" s="13" t="s">
        <v>265</v>
      </c>
      <c r="E22" s="13" t="s">
        <v>237</v>
      </c>
      <c r="F22" s="13">
        <v>22</v>
      </c>
      <c r="G22" s="14">
        <v>20.9</v>
      </c>
      <c r="H22" s="14">
        <v>25.5</v>
      </c>
      <c r="I22" s="14">
        <v>21.6</v>
      </c>
      <c r="J22" s="13">
        <v>10</v>
      </c>
      <c r="K22" s="13">
        <v>11</v>
      </c>
      <c r="L22" s="13">
        <v>8</v>
      </c>
      <c r="M22" s="13">
        <v>14</v>
      </c>
      <c r="N22" s="13">
        <v>9</v>
      </c>
      <c r="O22" s="13">
        <v>0</v>
      </c>
      <c r="P22" s="13">
        <v>12</v>
      </c>
      <c r="Q22" s="13">
        <v>400</v>
      </c>
      <c r="R22" s="14">
        <v>6.4</v>
      </c>
      <c r="S22" s="14">
        <v>3.375</v>
      </c>
      <c r="T22" s="14" t="s">
        <v>256</v>
      </c>
      <c r="U22" s="13" t="s">
        <v>222</v>
      </c>
      <c r="V22" s="14"/>
      <c r="W22" s="21"/>
    </row>
    <row r="23" s="2" customFormat="1" ht="118.25" spans="1:23">
      <c r="A23" s="15" t="str">
        <f>_xlfn.DISPIMG("ID_98E44CD3CA8C44DFB875C1792068D1BD",1)</f>
        <v>=DISPIMG("ID_98E44CD3CA8C44DFB875C1792068D1BD",1)</v>
      </c>
      <c r="B23" s="16" t="s">
        <v>266</v>
      </c>
      <c r="C23" s="16"/>
      <c r="D23" s="16"/>
      <c r="E23" s="16" t="s">
        <v>215</v>
      </c>
      <c r="F23" s="16">
        <v>90</v>
      </c>
      <c r="G23" s="17">
        <v>85.5</v>
      </c>
      <c r="H23" s="17">
        <v>104.3</v>
      </c>
      <c r="I23" s="17">
        <v>88.3</v>
      </c>
      <c r="J23" s="16">
        <v>39</v>
      </c>
      <c r="K23" s="16">
        <v>45</v>
      </c>
      <c r="L23" s="16">
        <v>30</v>
      </c>
      <c r="M23" s="16">
        <v>54</v>
      </c>
      <c r="N23" s="16">
        <v>36</v>
      </c>
      <c r="O23" s="16">
        <v>0</v>
      </c>
      <c r="P23" s="16">
        <v>46</v>
      </c>
      <c r="Q23" s="16">
        <v>1600</v>
      </c>
      <c r="R23" s="17">
        <v>25</v>
      </c>
      <c r="S23" s="17">
        <v>3.6</v>
      </c>
      <c r="T23" s="17" t="s">
        <v>256</v>
      </c>
      <c r="U23" s="16" t="s">
        <v>222</v>
      </c>
      <c r="V23" s="17"/>
      <c r="W23" s="22" t="s">
        <v>267</v>
      </c>
    </row>
    <row r="24" customHeight="1" spans="1:23">
      <c r="A24" s="6" t="str">
        <f>_xlfn.DISPIMG("ID_03BD9EF24C0148CEBC54E295F04BF2B2",1)</f>
        <v>=DISPIMG("ID_03BD9EF24C0148CEBC54E295F04BF2B2",1)</v>
      </c>
      <c r="B24" s="7" t="s">
        <v>268</v>
      </c>
      <c r="C24" s="7" t="s">
        <v>269</v>
      </c>
      <c r="D24" s="7" t="s">
        <v>270</v>
      </c>
      <c r="E24" s="7" t="s">
        <v>220</v>
      </c>
      <c r="F24" s="7">
        <v>15</v>
      </c>
      <c r="G24" s="8">
        <v>14.6</v>
      </c>
      <c r="H24" s="8">
        <v>17.4</v>
      </c>
      <c r="I24" s="8">
        <v>15</v>
      </c>
      <c r="J24" s="7">
        <v>7</v>
      </c>
      <c r="K24" s="7">
        <v>8</v>
      </c>
      <c r="L24" s="7">
        <v>6</v>
      </c>
      <c r="M24" s="7">
        <v>9</v>
      </c>
      <c r="N24" s="7">
        <v>6</v>
      </c>
      <c r="O24" s="7">
        <v>0</v>
      </c>
      <c r="P24" s="7">
        <v>8</v>
      </c>
      <c r="Q24" s="7">
        <v>450</v>
      </c>
      <c r="R24" s="8">
        <v>4.5</v>
      </c>
      <c r="S24" s="8">
        <v>3.33333333333333</v>
      </c>
      <c r="T24" s="8" t="s">
        <v>271</v>
      </c>
      <c r="U24" s="7" t="s">
        <v>222</v>
      </c>
      <c r="V24" s="8"/>
      <c r="W24" s="18"/>
    </row>
    <row r="25" customHeight="1" spans="1:23">
      <c r="A25" s="3" t="str">
        <f>_xlfn.DISPIMG("ID_1115B8F62C9E4D1983BB4F536BE0D11D",1)</f>
        <v>=DISPIMG("ID_1115B8F62C9E4D1983BB4F536BE0D11D",1)</v>
      </c>
      <c r="B25" s="9" t="s">
        <v>272</v>
      </c>
      <c r="C25" s="9" t="s">
        <v>273</v>
      </c>
      <c r="D25" s="9" t="s">
        <v>274</v>
      </c>
      <c r="E25" s="9" t="s">
        <v>226</v>
      </c>
      <c r="F25" s="9">
        <v>39</v>
      </c>
      <c r="G25" s="10">
        <v>37.8</v>
      </c>
      <c r="H25" s="10">
        <v>45.2</v>
      </c>
      <c r="I25" s="10">
        <v>39</v>
      </c>
      <c r="J25" s="9">
        <v>17</v>
      </c>
      <c r="K25" s="9">
        <v>18</v>
      </c>
      <c r="L25" s="9">
        <v>15</v>
      </c>
      <c r="M25" s="9">
        <v>23</v>
      </c>
      <c r="N25" s="9">
        <v>16</v>
      </c>
      <c r="O25" s="9">
        <v>0</v>
      </c>
      <c r="P25" s="9">
        <v>20</v>
      </c>
      <c r="Q25" s="9">
        <v>450</v>
      </c>
      <c r="R25" s="10">
        <v>11.7</v>
      </c>
      <c r="S25" s="10">
        <v>3.33333333333333</v>
      </c>
      <c r="T25" s="10" t="s">
        <v>271</v>
      </c>
      <c r="U25" s="9" t="s">
        <v>222</v>
      </c>
      <c r="V25" s="10"/>
      <c r="W25" s="19"/>
    </row>
    <row r="26" customHeight="1" spans="1:23">
      <c r="A26" s="6" t="str">
        <f>_xlfn.DISPIMG("ID_E4732DDC830C43B1BC3B58CE69EFE500",1)</f>
        <v>=DISPIMG("ID_E4732DDC830C43B1BC3B58CE69EFE500",1)</v>
      </c>
      <c r="B26" s="11" t="s">
        <v>275</v>
      </c>
      <c r="C26" s="11" t="s">
        <v>276</v>
      </c>
      <c r="D26" s="11" t="s">
        <v>277</v>
      </c>
      <c r="E26" s="11" t="s">
        <v>230</v>
      </c>
      <c r="F26" s="11">
        <v>18</v>
      </c>
      <c r="G26" s="12">
        <v>17.5</v>
      </c>
      <c r="H26" s="12">
        <v>20.9</v>
      </c>
      <c r="I26" s="12">
        <v>18</v>
      </c>
      <c r="J26" s="11">
        <v>7</v>
      </c>
      <c r="K26" s="11">
        <v>8</v>
      </c>
      <c r="L26" s="11">
        <v>5</v>
      </c>
      <c r="M26" s="11">
        <v>7</v>
      </c>
      <c r="N26" s="11">
        <v>5</v>
      </c>
      <c r="O26" s="11">
        <v>0</v>
      </c>
      <c r="P26" s="11">
        <v>6</v>
      </c>
      <c r="Q26" s="11">
        <v>450</v>
      </c>
      <c r="R26" s="12">
        <v>3.7</v>
      </c>
      <c r="S26" s="12">
        <v>4.86486486486486</v>
      </c>
      <c r="T26" s="12" t="s">
        <v>271</v>
      </c>
      <c r="U26" s="11" t="s">
        <v>222</v>
      </c>
      <c r="V26" s="12"/>
      <c r="W26" s="20"/>
    </row>
    <row r="27" customHeight="1" spans="1:23">
      <c r="A27" s="6" t="str">
        <f>_xlfn.DISPIMG("ID_4A886D8CD8C44DAE9CC8543BF82189D9",1)</f>
        <v>=DISPIMG("ID_4A886D8CD8C44DAE9CC8543BF82189D9",1)</v>
      </c>
      <c r="B27" s="13" t="s">
        <v>278</v>
      </c>
      <c r="C27" s="13" t="s">
        <v>279</v>
      </c>
      <c r="D27" s="13" t="s">
        <v>280</v>
      </c>
      <c r="E27" s="13" t="s">
        <v>237</v>
      </c>
      <c r="F27" s="13">
        <v>23</v>
      </c>
      <c r="G27" s="14">
        <v>22.3</v>
      </c>
      <c r="H27" s="14">
        <v>26.7</v>
      </c>
      <c r="I27" s="14">
        <v>23</v>
      </c>
      <c r="J27" s="13">
        <v>11</v>
      </c>
      <c r="K27" s="13">
        <v>11</v>
      </c>
      <c r="L27" s="13">
        <v>9</v>
      </c>
      <c r="M27" s="13">
        <v>14</v>
      </c>
      <c r="N27" s="13">
        <v>9</v>
      </c>
      <c r="O27" s="13">
        <v>0</v>
      </c>
      <c r="P27" s="13">
        <v>12</v>
      </c>
      <c r="Q27" s="13">
        <v>450</v>
      </c>
      <c r="R27" s="14">
        <v>6.9</v>
      </c>
      <c r="S27" s="14">
        <v>3.33333333333333</v>
      </c>
      <c r="T27" s="14" t="s">
        <v>271</v>
      </c>
      <c r="U27" s="13" t="s">
        <v>222</v>
      </c>
      <c r="V27" s="14"/>
      <c r="W27" s="21"/>
    </row>
    <row r="28" s="2" customFormat="1" ht="118.25" spans="1:23">
      <c r="A28" s="15" t="str">
        <f>_xlfn.DISPIMG("ID_EE9D1D09D8004F9FBB6B1ECF3AC1DCDF",1)</f>
        <v>=DISPIMG("ID_EE9D1D09D8004F9FBB6B1ECF3AC1DCDF",1)</v>
      </c>
      <c r="B28" s="16" t="s">
        <v>281</v>
      </c>
      <c r="C28" s="16"/>
      <c r="D28" s="16"/>
      <c r="E28" s="16" t="s">
        <v>215</v>
      </c>
      <c r="F28" s="16">
        <v>95</v>
      </c>
      <c r="G28" s="17">
        <v>92.2</v>
      </c>
      <c r="H28" s="17">
        <v>110.2</v>
      </c>
      <c r="I28" s="17">
        <v>95</v>
      </c>
      <c r="J28" s="16">
        <v>42</v>
      </c>
      <c r="K28" s="16">
        <v>45</v>
      </c>
      <c r="L28" s="16">
        <v>35</v>
      </c>
      <c r="M28" s="16">
        <v>53</v>
      </c>
      <c r="N28" s="16">
        <v>36</v>
      </c>
      <c r="O28" s="16">
        <v>0</v>
      </c>
      <c r="P28" s="16">
        <v>46</v>
      </c>
      <c r="Q28" s="16">
        <v>1800</v>
      </c>
      <c r="R28" s="17">
        <v>26.8</v>
      </c>
      <c r="S28" s="17">
        <v>3.54477611940299</v>
      </c>
      <c r="T28" s="17" t="s">
        <v>271</v>
      </c>
      <c r="U28" s="16" t="s">
        <v>222</v>
      </c>
      <c r="V28" s="17"/>
      <c r="W28" s="22" t="s">
        <v>282</v>
      </c>
    </row>
    <row r="29" customHeight="1" spans="1:23">
      <c r="A29" s="6" t="str">
        <f>_xlfn.DISPIMG("ID_E118B7ADBFB642058FCF927B0800AE3B",1)</f>
        <v>=DISPIMG("ID_E118B7ADBFB642058FCF927B0800AE3B",1)</v>
      </c>
      <c r="B29" s="7" t="s">
        <v>283</v>
      </c>
      <c r="C29" s="7" t="s">
        <v>284</v>
      </c>
      <c r="D29" s="7" t="s">
        <v>285</v>
      </c>
      <c r="E29" s="7" t="s">
        <v>220</v>
      </c>
      <c r="F29" s="7">
        <v>9</v>
      </c>
      <c r="G29" s="8">
        <v>9.6</v>
      </c>
      <c r="H29" s="8">
        <v>9.6</v>
      </c>
      <c r="I29" s="8">
        <v>9</v>
      </c>
      <c r="J29" s="7">
        <v>8</v>
      </c>
      <c r="K29" s="7">
        <v>10</v>
      </c>
      <c r="L29" s="7">
        <v>9</v>
      </c>
      <c r="M29" s="7">
        <v>8</v>
      </c>
      <c r="N29" s="7">
        <v>8</v>
      </c>
      <c r="O29" s="7">
        <v>0</v>
      </c>
      <c r="P29" s="7">
        <v>0</v>
      </c>
      <c r="Q29" s="7">
        <v>400</v>
      </c>
      <c r="R29" s="8">
        <v>1.4</v>
      </c>
      <c r="S29" s="8">
        <v>6.42857142857143</v>
      </c>
      <c r="T29" s="8" t="s">
        <v>286</v>
      </c>
      <c r="U29" s="7" t="s">
        <v>222</v>
      </c>
      <c r="V29" s="8"/>
      <c r="W29" s="18"/>
    </row>
    <row r="30" customHeight="1" spans="1:23">
      <c r="A30" s="6" t="str">
        <f>_xlfn.DISPIMG("ID_C5F471DBAA024E0C991CC1A882371312",1)</f>
        <v>=DISPIMG("ID_C5F471DBAA024E0C991CC1A882371312",1)</v>
      </c>
      <c r="B30" s="7" t="s">
        <v>283</v>
      </c>
      <c r="C30" s="7" t="s">
        <v>284</v>
      </c>
      <c r="D30" s="7" t="s">
        <v>285</v>
      </c>
      <c r="E30" s="7" t="s">
        <v>220</v>
      </c>
      <c r="F30" s="7">
        <v>9</v>
      </c>
      <c r="G30" s="8">
        <v>9.6</v>
      </c>
      <c r="H30" s="8">
        <v>9.6</v>
      </c>
      <c r="I30" s="8">
        <v>9</v>
      </c>
      <c r="J30" s="7">
        <v>8</v>
      </c>
      <c r="K30" s="7">
        <v>10</v>
      </c>
      <c r="L30" s="7">
        <v>9</v>
      </c>
      <c r="M30" s="7">
        <v>8</v>
      </c>
      <c r="N30" s="7">
        <v>8</v>
      </c>
      <c r="O30" s="7">
        <v>0</v>
      </c>
      <c r="P30" s="7">
        <v>0</v>
      </c>
      <c r="Q30" s="7">
        <v>400</v>
      </c>
      <c r="R30" s="8">
        <v>1.4</v>
      </c>
      <c r="S30" s="8">
        <v>6.42857142857143</v>
      </c>
      <c r="T30" s="8" t="s">
        <v>286</v>
      </c>
      <c r="U30" s="7" t="s">
        <v>222</v>
      </c>
      <c r="V30" s="8"/>
      <c r="W30" s="18"/>
    </row>
    <row r="31" customHeight="1" spans="1:23">
      <c r="A31" s="3" t="str">
        <f>_xlfn.DISPIMG("ID_12FBC9544202404B8DD25FEBCB390824",1)</f>
        <v>=DISPIMG("ID_12FBC9544202404B8DD25FEBCB390824",1)</v>
      </c>
      <c r="B31" s="9" t="s">
        <v>287</v>
      </c>
      <c r="C31" s="9" t="s">
        <v>288</v>
      </c>
      <c r="D31" s="9" t="s">
        <v>289</v>
      </c>
      <c r="E31" s="9" t="s">
        <v>226</v>
      </c>
      <c r="F31" s="9">
        <v>23</v>
      </c>
      <c r="G31" s="10">
        <v>24.6</v>
      </c>
      <c r="H31" s="10">
        <v>24.6</v>
      </c>
      <c r="I31" s="10">
        <v>23</v>
      </c>
      <c r="J31" s="9">
        <v>21</v>
      </c>
      <c r="K31" s="9">
        <v>26</v>
      </c>
      <c r="L31" s="9">
        <v>23</v>
      </c>
      <c r="M31" s="9">
        <v>21</v>
      </c>
      <c r="N31" s="9">
        <v>21</v>
      </c>
      <c r="O31" s="9">
        <v>0</v>
      </c>
      <c r="P31" s="9">
        <v>0</v>
      </c>
      <c r="Q31" s="9">
        <v>400</v>
      </c>
      <c r="R31" s="10">
        <v>3.5</v>
      </c>
      <c r="S31" s="10">
        <v>6.57142857142857</v>
      </c>
      <c r="T31" s="10" t="s">
        <v>286</v>
      </c>
      <c r="U31" s="9" t="s">
        <v>222</v>
      </c>
      <c r="V31" s="10"/>
      <c r="W31" s="19"/>
    </row>
    <row r="32" customHeight="1" spans="1:23">
      <c r="A32" s="3" t="str">
        <f>_xlfn.DISPIMG("ID_CFE6868805D44953970149D2C6B24643",1)</f>
        <v>=DISPIMG("ID_CFE6868805D44953970149D2C6B24643",1)</v>
      </c>
      <c r="B32" s="9" t="s">
        <v>287</v>
      </c>
      <c r="C32" s="9" t="s">
        <v>288</v>
      </c>
      <c r="D32" s="9" t="s">
        <v>289</v>
      </c>
      <c r="E32" s="9" t="s">
        <v>226</v>
      </c>
      <c r="F32" s="9">
        <v>23</v>
      </c>
      <c r="G32" s="10">
        <v>24.6</v>
      </c>
      <c r="H32" s="10">
        <v>24.6</v>
      </c>
      <c r="I32" s="10">
        <v>23</v>
      </c>
      <c r="J32" s="9">
        <v>21</v>
      </c>
      <c r="K32" s="9">
        <v>26</v>
      </c>
      <c r="L32" s="9">
        <v>23</v>
      </c>
      <c r="M32" s="9">
        <v>21</v>
      </c>
      <c r="N32" s="9">
        <v>21</v>
      </c>
      <c r="O32" s="9">
        <v>0</v>
      </c>
      <c r="P32" s="9">
        <v>0</v>
      </c>
      <c r="Q32" s="9">
        <v>400</v>
      </c>
      <c r="R32" s="10">
        <v>3.5</v>
      </c>
      <c r="S32" s="10">
        <v>6.57142857142857</v>
      </c>
      <c r="T32" s="10" t="s">
        <v>286</v>
      </c>
      <c r="U32" s="9" t="s">
        <v>222</v>
      </c>
      <c r="V32" s="10"/>
      <c r="W32" s="19"/>
    </row>
    <row r="33" customHeight="1" spans="1:23">
      <c r="A33" s="6" t="str">
        <f>_xlfn.DISPIMG("ID_7F5AF2BD5C3B4EF3855722C5CBC4AE07",1)</f>
        <v>=DISPIMG("ID_7F5AF2BD5C3B4EF3855722C5CBC4AE07",1)</v>
      </c>
      <c r="B33" s="11" t="s">
        <v>290</v>
      </c>
      <c r="C33" s="11" t="s">
        <v>291</v>
      </c>
      <c r="D33" s="11" t="s">
        <v>292</v>
      </c>
      <c r="E33" s="11" t="s">
        <v>230</v>
      </c>
      <c r="F33" s="11">
        <v>14</v>
      </c>
      <c r="G33" s="12">
        <v>15</v>
      </c>
      <c r="H33" s="12">
        <v>15</v>
      </c>
      <c r="I33" s="12">
        <v>14</v>
      </c>
      <c r="J33" s="11">
        <v>12</v>
      </c>
      <c r="K33" s="11">
        <v>15</v>
      </c>
      <c r="L33" s="11">
        <v>13</v>
      </c>
      <c r="M33" s="11">
        <v>13</v>
      </c>
      <c r="N33" s="11">
        <v>13</v>
      </c>
      <c r="O33" s="11">
        <v>0</v>
      </c>
      <c r="P33" s="11">
        <v>0</v>
      </c>
      <c r="Q33" s="11">
        <v>400</v>
      </c>
      <c r="R33" s="12">
        <v>2.1</v>
      </c>
      <c r="S33" s="12">
        <v>6.66666666666667</v>
      </c>
      <c r="T33" s="12" t="s">
        <v>286</v>
      </c>
      <c r="U33" s="11" t="s">
        <v>222</v>
      </c>
      <c r="V33" s="12"/>
      <c r="W33" s="20"/>
    </row>
    <row r="34" customHeight="1" spans="1:23">
      <c r="A34" s="6" t="str">
        <f>_xlfn.DISPIMG("ID_911BF4049B1A45AEB2ECB20EE615B865",1)</f>
        <v>=DISPIMG("ID_911BF4049B1A45AEB2ECB20EE615B865",1)</v>
      </c>
      <c r="B34" s="13" t="s">
        <v>293</v>
      </c>
      <c r="C34" s="13" t="s">
        <v>294</v>
      </c>
      <c r="D34" s="13" t="s">
        <v>295</v>
      </c>
      <c r="E34" s="13" t="s">
        <v>237</v>
      </c>
      <c r="F34" s="13">
        <v>14</v>
      </c>
      <c r="G34" s="14">
        <v>15</v>
      </c>
      <c r="H34" s="14">
        <v>15</v>
      </c>
      <c r="I34" s="14">
        <v>14</v>
      </c>
      <c r="J34" s="13">
        <v>12</v>
      </c>
      <c r="K34" s="13">
        <v>15</v>
      </c>
      <c r="L34" s="13">
        <v>13</v>
      </c>
      <c r="M34" s="13">
        <v>13</v>
      </c>
      <c r="N34" s="13">
        <v>13</v>
      </c>
      <c r="O34" s="13">
        <v>0</v>
      </c>
      <c r="P34" s="13">
        <v>0</v>
      </c>
      <c r="Q34" s="13">
        <v>400</v>
      </c>
      <c r="R34" s="14">
        <v>2.1</v>
      </c>
      <c r="S34" s="14">
        <v>6.66666666666667</v>
      </c>
      <c r="T34" s="14" t="s">
        <v>286</v>
      </c>
      <c r="U34" s="13" t="s">
        <v>222</v>
      </c>
      <c r="V34" s="14"/>
      <c r="W34" s="21"/>
    </row>
    <row r="35" s="2" customFormat="1" ht="118.25" spans="1:23">
      <c r="A35" s="15" t="str">
        <f>_xlfn.DISPIMG("ID_1BA42B586482403B8F96582D3A8799A5",1)</f>
        <v>=DISPIMG("ID_1BA42B586482403B8F96582D3A8799A5",1)</v>
      </c>
      <c r="B35" s="16" t="s">
        <v>296</v>
      </c>
      <c r="C35" s="16"/>
      <c r="D35" s="16"/>
      <c r="E35" s="16" t="s">
        <v>215</v>
      </c>
      <c r="F35" s="16">
        <v>74</v>
      </c>
      <c r="G35" s="17">
        <v>79.2</v>
      </c>
      <c r="H35" s="17">
        <v>79.2</v>
      </c>
      <c r="I35" s="17">
        <v>74</v>
      </c>
      <c r="J35" s="16">
        <v>66</v>
      </c>
      <c r="K35" s="16">
        <v>82</v>
      </c>
      <c r="L35" s="16">
        <v>72</v>
      </c>
      <c r="M35" s="16">
        <v>68</v>
      </c>
      <c r="N35" s="16">
        <v>68</v>
      </c>
      <c r="O35" s="16">
        <v>0</v>
      </c>
      <c r="P35" s="16">
        <v>0</v>
      </c>
      <c r="Q35" s="16">
        <v>1600</v>
      </c>
      <c r="R35" s="17">
        <v>11.2</v>
      </c>
      <c r="S35" s="17">
        <v>6.60714285714286</v>
      </c>
      <c r="T35" s="17" t="s">
        <v>286</v>
      </c>
      <c r="U35" s="16" t="s">
        <v>222</v>
      </c>
      <c r="V35" s="17"/>
      <c r="W35" s="22" t="s">
        <v>297</v>
      </c>
    </row>
    <row r="36" customHeight="1" spans="1:23">
      <c r="A36" s="6" t="str">
        <f>_xlfn.DISPIMG("ID_6DD359BFA9364C14A2C5F918430798C4",1)</f>
        <v>=DISPIMG("ID_6DD359BFA9364C14A2C5F918430798C4",1)</v>
      </c>
      <c r="B36" s="7" t="s">
        <v>298</v>
      </c>
      <c r="C36" s="7" t="s">
        <v>299</v>
      </c>
      <c r="D36" s="7" t="s">
        <v>300</v>
      </c>
      <c r="E36" s="7" t="s">
        <v>220</v>
      </c>
      <c r="F36" s="7">
        <v>9</v>
      </c>
      <c r="G36" s="8">
        <v>9.6</v>
      </c>
      <c r="H36" s="8">
        <v>9</v>
      </c>
      <c r="I36" s="8">
        <v>9</v>
      </c>
      <c r="J36" s="7">
        <v>8</v>
      </c>
      <c r="K36" s="7">
        <v>5</v>
      </c>
      <c r="L36" s="7">
        <v>6</v>
      </c>
      <c r="M36" s="7">
        <v>9</v>
      </c>
      <c r="N36" s="7">
        <v>12</v>
      </c>
      <c r="O36" s="7">
        <v>0</v>
      </c>
      <c r="P36" s="7">
        <v>0</v>
      </c>
      <c r="Q36" s="7">
        <v>250</v>
      </c>
      <c r="R36" s="8">
        <v>1.2</v>
      </c>
      <c r="S36" s="8">
        <v>7.5</v>
      </c>
      <c r="T36" s="8" t="s">
        <v>301</v>
      </c>
      <c r="U36" s="7" t="s">
        <v>222</v>
      </c>
      <c r="V36" s="8"/>
      <c r="W36" s="18"/>
    </row>
    <row r="37" customHeight="1" spans="1:23">
      <c r="A37" s="6" t="str">
        <f>_xlfn.DISPIMG("ID_4BECED9D634F4E7DBF6E7FD1C4271467",1)</f>
        <v>=DISPIMG("ID_4BECED9D634F4E7DBF6E7FD1C4271467",1)</v>
      </c>
      <c r="B37" s="7" t="s">
        <v>298</v>
      </c>
      <c r="C37" s="7" t="s">
        <v>299</v>
      </c>
      <c r="D37" s="7" t="s">
        <v>300</v>
      </c>
      <c r="E37" s="7" t="s">
        <v>220</v>
      </c>
      <c r="F37" s="7">
        <v>9</v>
      </c>
      <c r="G37" s="8">
        <v>9.6</v>
      </c>
      <c r="H37" s="8">
        <v>9</v>
      </c>
      <c r="I37" s="8">
        <v>9</v>
      </c>
      <c r="J37" s="7">
        <v>8</v>
      </c>
      <c r="K37" s="7">
        <v>5</v>
      </c>
      <c r="L37" s="7">
        <v>6</v>
      </c>
      <c r="M37" s="7">
        <v>9</v>
      </c>
      <c r="N37" s="7">
        <v>12</v>
      </c>
      <c r="O37" s="7">
        <v>0</v>
      </c>
      <c r="P37" s="7">
        <v>0</v>
      </c>
      <c r="Q37" s="7">
        <v>250</v>
      </c>
      <c r="R37" s="8">
        <v>1.2</v>
      </c>
      <c r="S37" s="8">
        <v>7.5</v>
      </c>
      <c r="T37" s="8" t="s">
        <v>301</v>
      </c>
      <c r="U37" s="7" t="s">
        <v>222</v>
      </c>
      <c r="V37" s="8"/>
      <c r="W37" s="18"/>
    </row>
    <row r="38" s="1" customFormat="1" customHeight="1" spans="1:23">
      <c r="A38" s="3" t="str">
        <f>_xlfn.DISPIMG("ID_378AB8D83CA94506B1B8D3403158709D",1)</f>
        <v>=DISPIMG("ID_378AB8D83CA94506B1B8D3403158709D",1)</v>
      </c>
      <c r="B38" s="9" t="s">
        <v>302</v>
      </c>
      <c r="C38" s="9" t="s">
        <v>303</v>
      </c>
      <c r="D38" s="9" t="s">
        <v>304</v>
      </c>
      <c r="E38" s="9" t="s">
        <v>226</v>
      </c>
      <c r="F38" s="9">
        <v>23</v>
      </c>
      <c r="G38" s="10">
        <v>24.6</v>
      </c>
      <c r="H38" s="10">
        <v>23</v>
      </c>
      <c r="I38" s="10">
        <v>23</v>
      </c>
      <c r="J38" s="9">
        <v>20</v>
      </c>
      <c r="K38" s="9">
        <v>14</v>
      </c>
      <c r="L38" s="9">
        <v>16</v>
      </c>
      <c r="M38" s="9">
        <v>23</v>
      </c>
      <c r="N38" s="9">
        <v>31</v>
      </c>
      <c r="O38" s="9">
        <v>0</v>
      </c>
      <c r="P38" s="9">
        <v>0</v>
      </c>
      <c r="Q38" s="9">
        <v>250</v>
      </c>
      <c r="R38" s="10">
        <v>3.1</v>
      </c>
      <c r="S38" s="10">
        <v>7.41935483870968</v>
      </c>
      <c r="T38" s="10" t="s">
        <v>301</v>
      </c>
      <c r="U38" s="9" t="s">
        <v>222</v>
      </c>
      <c r="V38" s="10"/>
      <c r="W38" s="19"/>
    </row>
    <row r="39" s="1" customFormat="1" customHeight="1" spans="1:23">
      <c r="A39" s="3" t="str">
        <f>_xlfn.DISPIMG("ID_B93EE33A6EDD46B980A3781742D1B37E",1)</f>
        <v>=DISPIMG("ID_B93EE33A6EDD46B980A3781742D1B37E",1)</v>
      </c>
      <c r="B39" s="9" t="s">
        <v>302</v>
      </c>
      <c r="C39" s="9" t="s">
        <v>303</v>
      </c>
      <c r="D39" s="9" t="s">
        <v>304</v>
      </c>
      <c r="E39" s="9" t="s">
        <v>226</v>
      </c>
      <c r="F39" s="9">
        <v>23</v>
      </c>
      <c r="G39" s="10">
        <v>24.6</v>
      </c>
      <c r="H39" s="10">
        <v>23</v>
      </c>
      <c r="I39" s="10">
        <v>23</v>
      </c>
      <c r="J39" s="9">
        <v>20</v>
      </c>
      <c r="K39" s="9">
        <v>14</v>
      </c>
      <c r="L39" s="9">
        <v>16</v>
      </c>
      <c r="M39" s="9">
        <v>23</v>
      </c>
      <c r="N39" s="9">
        <v>31</v>
      </c>
      <c r="O39" s="9">
        <v>0</v>
      </c>
      <c r="P39" s="9">
        <v>0</v>
      </c>
      <c r="Q39" s="9">
        <v>250</v>
      </c>
      <c r="R39" s="10">
        <v>3.1</v>
      </c>
      <c r="S39" s="10">
        <v>7.41935483870968</v>
      </c>
      <c r="T39" s="10" t="s">
        <v>301</v>
      </c>
      <c r="U39" s="9" t="s">
        <v>222</v>
      </c>
      <c r="V39" s="10"/>
      <c r="W39" s="19"/>
    </row>
    <row r="40" customHeight="1" spans="1:23">
      <c r="A40" s="6" t="str">
        <f>_xlfn.DISPIMG("ID_C2A18B885813404C8333D455A7381158",1)</f>
        <v>=DISPIMG("ID_C2A18B885813404C8333D455A7381158",1)</v>
      </c>
      <c r="B40" s="11" t="s">
        <v>305</v>
      </c>
      <c r="C40" s="11" t="s">
        <v>306</v>
      </c>
      <c r="D40" s="11" t="s">
        <v>307</v>
      </c>
      <c r="E40" s="11" t="s">
        <v>230</v>
      </c>
      <c r="F40" s="11">
        <v>13</v>
      </c>
      <c r="G40" s="12">
        <v>13.9</v>
      </c>
      <c r="H40" s="12">
        <v>13</v>
      </c>
      <c r="I40" s="12">
        <v>13</v>
      </c>
      <c r="J40" s="11">
        <v>12</v>
      </c>
      <c r="K40" s="11">
        <v>8</v>
      </c>
      <c r="L40" s="11">
        <v>9</v>
      </c>
      <c r="M40" s="11">
        <v>14</v>
      </c>
      <c r="N40" s="11">
        <v>18</v>
      </c>
      <c r="O40" s="11">
        <v>0</v>
      </c>
      <c r="P40" s="11">
        <v>0</v>
      </c>
      <c r="Q40" s="11">
        <v>250</v>
      </c>
      <c r="R40" s="12">
        <v>1.8</v>
      </c>
      <c r="S40" s="12">
        <v>7.22222222222222</v>
      </c>
      <c r="T40" s="12" t="s">
        <v>301</v>
      </c>
      <c r="U40" s="11" t="s">
        <v>222</v>
      </c>
      <c r="V40" s="12"/>
      <c r="W40" s="20"/>
    </row>
    <row r="41" customHeight="1" spans="1:23">
      <c r="A41" s="6" t="str">
        <f>_xlfn.DISPIMG("ID_57AA72F06854479B9C16F607CBE0CA5D",1)</f>
        <v>=DISPIMG("ID_57AA72F06854479B9C16F607CBE0CA5D",1)</v>
      </c>
      <c r="B41" s="11" t="s">
        <v>305</v>
      </c>
      <c r="C41" s="11" t="s">
        <v>306</v>
      </c>
      <c r="D41" s="11" t="s">
        <v>307</v>
      </c>
      <c r="E41" s="11" t="s">
        <v>230</v>
      </c>
      <c r="F41" s="11">
        <v>13</v>
      </c>
      <c r="G41" s="12">
        <v>13.9</v>
      </c>
      <c r="H41" s="12">
        <v>13</v>
      </c>
      <c r="I41" s="12">
        <v>13</v>
      </c>
      <c r="J41" s="11">
        <v>12</v>
      </c>
      <c r="K41" s="11">
        <v>8</v>
      </c>
      <c r="L41" s="11">
        <v>9</v>
      </c>
      <c r="M41" s="11">
        <v>14</v>
      </c>
      <c r="N41" s="11">
        <v>18</v>
      </c>
      <c r="O41" s="11">
        <v>0</v>
      </c>
      <c r="P41" s="11">
        <v>0</v>
      </c>
      <c r="Q41" s="11">
        <v>250</v>
      </c>
      <c r="R41" s="12">
        <v>1.8</v>
      </c>
      <c r="S41" s="12">
        <v>7.22222222222222</v>
      </c>
      <c r="T41" s="12" t="s">
        <v>301</v>
      </c>
      <c r="U41" s="11" t="s">
        <v>222</v>
      </c>
      <c r="V41" s="12"/>
      <c r="W41" s="20"/>
    </row>
    <row r="42" customHeight="1" spans="1:23">
      <c r="A42" s="6" t="str">
        <f>_xlfn.DISPIMG("ID_C12B372EC63F48C48C7005F06417296B",1)</f>
        <v>=DISPIMG("ID_C12B372EC63F48C48C7005F06417296B",1)</v>
      </c>
      <c r="B42" s="13" t="s">
        <v>308</v>
      </c>
      <c r="C42" s="13" t="s">
        <v>309</v>
      </c>
      <c r="D42" s="13" t="s">
        <v>310</v>
      </c>
      <c r="E42" s="13" t="s">
        <v>237</v>
      </c>
      <c r="F42" s="13">
        <v>12</v>
      </c>
      <c r="G42" s="14">
        <v>12.8</v>
      </c>
      <c r="H42" s="14">
        <v>12</v>
      </c>
      <c r="I42" s="14">
        <v>12</v>
      </c>
      <c r="J42" s="13">
        <v>19</v>
      </c>
      <c r="K42" s="13">
        <v>13</v>
      </c>
      <c r="L42" s="13">
        <v>15</v>
      </c>
      <c r="M42" s="13">
        <v>23</v>
      </c>
      <c r="N42" s="13">
        <v>31</v>
      </c>
      <c r="O42" s="13">
        <v>0</v>
      </c>
      <c r="P42" s="13">
        <v>0</v>
      </c>
      <c r="Q42" s="13">
        <v>250</v>
      </c>
      <c r="R42" s="14">
        <v>3</v>
      </c>
      <c r="S42" s="14">
        <v>4</v>
      </c>
      <c r="T42" s="14" t="s">
        <v>301</v>
      </c>
      <c r="U42" s="13" t="s">
        <v>222</v>
      </c>
      <c r="V42" s="14"/>
      <c r="W42" s="21"/>
    </row>
    <row r="43" customHeight="1" spans="1:23">
      <c r="A43" s="6" t="str">
        <f>_xlfn.DISPIMG("ID_A708E1645492408690DBFD49A8836F42",1)</f>
        <v>=DISPIMG("ID_A708E1645492408690DBFD49A8836F42",1)</v>
      </c>
      <c r="B43" s="13" t="s">
        <v>308</v>
      </c>
      <c r="C43" s="13" t="s">
        <v>309</v>
      </c>
      <c r="D43" s="13" t="s">
        <v>310</v>
      </c>
      <c r="E43" s="13" t="s">
        <v>237</v>
      </c>
      <c r="F43" s="13">
        <v>12</v>
      </c>
      <c r="G43" s="14">
        <v>12.8</v>
      </c>
      <c r="H43" s="14">
        <v>12</v>
      </c>
      <c r="I43" s="14">
        <v>12</v>
      </c>
      <c r="J43" s="13">
        <v>19</v>
      </c>
      <c r="K43" s="13">
        <v>13</v>
      </c>
      <c r="L43" s="13">
        <v>15</v>
      </c>
      <c r="M43" s="13">
        <v>23</v>
      </c>
      <c r="N43" s="13">
        <v>31</v>
      </c>
      <c r="O43" s="13">
        <v>0</v>
      </c>
      <c r="P43" s="13">
        <v>0</v>
      </c>
      <c r="Q43" s="13">
        <v>250</v>
      </c>
      <c r="R43" s="14">
        <v>3</v>
      </c>
      <c r="S43" s="14">
        <v>4</v>
      </c>
      <c r="T43" s="14" t="s">
        <v>301</v>
      </c>
      <c r="U43" s="13" t="s">
        <v>222</v>
      </c>
      <c r="V43" s="14"/>
      <c r="W43" s="21"/>
    </row>
    <row r="44" s="2" customFormat="1" ht="118.25" spans="1:23">
      <c r="A44" s="15" t="str">
        <f>_xlfn.DISPIMG("ID_25C759054FDB441780C2093ECD95432D",1)</f>
        <v>=DISPIMG("ID_25C759054FDB441780C2093ECD95432D",1)</v>
      </c>
      <c r="B44" s="16" t="s">
        <v>311</v>
      </c>
      <c r="C44" s="16"/>
      <c r="D44" s="16"/>
      <c r="E44" s="16" t="s">
        <v>215</v>
      </c>
      <c r="F44" s="16">
        <v>50</v>
      </c>
      <c r="G44" s="17">
        <v>53.4</v>
      </c>
      <c r="H44" s="17">
        <v>50</v>
      </c>
      <c r="I44" s="17">
        <v>50</v>
      </c>
      <c r="J44" s="16">
        <v>62</v>
      </c>
      <c r="K44" s="16">
        <v>42</v>
      </c>
      <c r="L44" s="16">
        <v>48</v>
      </c>
      <c r="M44" s="16">
        <v>74</v>
      </c>
      <c r="N44" s="16">
        <v>98</v>
      </c>
      <c r="O44" s="16">
        <v>0</v>
      </c>
      <c r="P44" s="16">
        <v>0</v>
      </c>
      <c r="Q44" s="16">
        <v>1000</v>
      </c>
      <c r="R44" s="17">
        <v>9.6</v>
      </c>
      <c r="S44" s="17">
        <v>5.20833333333333</v>
      </c>
      <c r="T44" s="17" t="s">
        <v>301</v>
      </c>
      <c r="U44" s="16" t="s">
        <v>222</v>
      </c>
      <c r="V44" s="17"/>
      <c r="W44" s="22" t="s">
        <v>312</v>
      </c>
    </row>
    <row r="45" customHeight="1" spans="1:23">
      <c r="A45" s="6" t="str">
        <f>_xlfn.DISPIMG("ID_21D0F0BBC9CA42C08F0F55095717C067",1)</f>
        <v>=DISPIMG("ID_21D0F0BBC9CA42C08F0F55095717C067",1)</v>
      </c>
      <c r="B45" s="7" t="s">
        <v>313</v>
      </c>
      <c r="C45" s="7" t="s">
        <v>314</v>
      </c>
      <c r="D45" s="7" t="s">
        <v>315</v>
      </c>
      <c r="E45" s="7" t="s">
        <v>220</v>
      </c>
      <c r="F45" s="7">
        <v>9</v>
      </c>
      <c r="G45" s="8">
        <v>9.9</v>
      </c>
      <c r="H45" s="8">
        <v>9</v>
      </c>
      <c r="I45" s="8">
        <v>8.1</v>
      </c>
      <c r="J45" s="7">
        <v>8</v>
      </c>
      <c r="K45" s="7">
        <v>5</v>
      </c>
      <c r="L45" s="7">
        <v>6</v>
      </c>
      <c r="M45" s="7">
        <v>8</v>
      </c>
      <c r="N45" s="7">
        <v>8</v>
      </c>
      <c r="O45" s="7">
        <v>0</v>
      </c>
      <c r="P45" s="7">
        <v>0</v>
      </c>
      <c r="Q45" s="7">
        <v>200</v>
      </c>
      <c r="R45" s="8">
        <v>1.2</v>
      </c>
      <c r="S45" s="8">
        <v>6.75</v>
      </c>
      <c r="T45" s="8" t="s">
        <v>316</v>
      </c>
      <c r="U45" s="7" t="s">
        <v>222</v>
      </c>
      <c r="V45" s="8"/>
      <c r="W45" s="18"/>
    </row>
    <row r="46" s="1" customFormat="1" customHeight="1" spans="1:23">
      <c r="A46" s="3" t="str">
        <f>_xlfn.DISPIMG("ID_3836E41FB21540EBB3ECE56811D16873",1)</f>
        <v>=DISPIMG("ID_3836E41FB21540EBB3ECE56811D16873",1)</v>
      </c>
      <c r="B46" s="9" t="s">
        <v>317</v>
      </c>
      <c r="C46" s="9" t="s">
        <v>318</v>
      </c>
      <c r="D46" s="9" t="s">
        <v>319</v>
      </c>
      <c r="E46" s="9" t="s">
        <v>226</v>
      </c>
      <c r="F46" s="9">
        <v>23</v>
      </c>
      <c r="G46" s="10">
        <v>25.3</v>
      </c>
      <c r="H46" s="10">
        <v>23</v>
      </c>
      <c r="I46" s="10">
        <v>20.7</v>
      </c>
      <c r="J46" s="9">
        <v>20</v>
      </c>
      <c r="K46" s="9">
        <v>13</v>
      </c>
      <c r="L46" s="9">
        <v>17</v>
      </c>
      <c r="M46" s="9">
        <v>20</v>
      </c>
      <c r="N46" s="9">
        <v>20</v>
      </c>
      <c r="O46" s="9">
        <v>0</v>
      </c>
      <c r="P46" s="9">
        <v>0</v>
      </c>
      <c r="Q46" s="9">
        <v>200</v>
      </c>
      <c r="R46" s="10">
        <v>3.1</v>
      </c>
      <c r="S46" s="10">
        <v>6.67741935483871</v>
      </c>
      <c r="T46" s="10" t="s">
        <v>316</v>
      </c>
      <c r="U46" s="9" t="s">
        <v>222</v>
      </c>
      <c r="V46" s="10"/>
      <c r="W46" s="19"/>
    </row>
    <row r="47" s="1" customFormat="1" customHeight="1" spans="1:23">
      <c r="A47" s="3" t="str">
        <f>_xlfn.DISPIMG("ID_9D7B3FD909AF41058CC573F14124F330",1)</f>
        <v>=DISPIMG("ID_9D7B3FD909AF41058CC573F14124F330",1)</v>
      </c>
      <c r="B47" s="9" t="s">
        <v>317</v>
      </c>
      <c r="C47" s="9" t="s">
        <v>318</v>
      </c>
      <c r="D47" s="9" t="s">
        <v>319</v>
      </c>
      <c r="E47" s="9" t="s">
        <v>226</v>
      </c>
      <c r="F47" s="9">
        <v>23</v>
      </c>
      <c r="G47" s="10">
        <v>25.3</v>
      </c>
      <c r="H47" s="10">
        <v>23</v>
      </c>
      <c r="I47" s="10">
        <v>20.7</v>
      </c>
      <c r="J47" s="9">
        <v>20</v>
      </c>
      <c r="K47" s="9">
        <v>13</v>
      </c>
      <c r="L47" s="9">
        <v>17</v>
      </c>
      <c r="M47" s="9">
        <v>20</v>
      </c>
      <c r="N47" s="9">
        <v>20</v>
      </c>
      <c r="O47" s="9">
        <v>0</v>
      </c>
      <c r="P47" s="9">
        <v>0</v>
      </c>
      <c r="Q47" s="9">
        <v>200</v>
      </c>
      <c r="R47" s="10">
        <v>3.1</v>
      </c>
      <c r="S47" s="10">
        <v>6.67741935483871</v>
      </c>
      <c r="T47" s="10" t="s">
        <v>316</v>
      </c>
      <c r="U47" s="9" t="s">
        <v>222</v>
      </c>
      <c r="V47" s="10"/>
      <c r="W47" s="19"/>
    </row>
    <row r="48" customHeight="1" spans="1:23">
      <c r="A48" s="6" t="str">
        <f>_xlfn.DISPIMG("ID_F08E8C1C529E4FB98DF42D53C59D4164",1)</f>
        <v>=DISPIMG("ID_F08E8C1C529E4FB98DF42D53C59D4164",1)</v>
      </c>
      <c r="B48" s="11" t="s">
        <v>320</v>
      </c>
      <c r="C48" s="11" t="s">
        <v>321</v>
      </c>
      <c r="D48" s="11" t="s">
        <v>322</v>
      </c>
      <c r="E48" s="11" t="s">
        <v>230</v>
      </c>
      <c r="F48" s="11">
        <v>14</v>
      </c>
      <c r="G48" s="12">
        <v>15.4</v>
      </c>
      <c r="H48" s="12">
        <v>14</v>
      </c>
      <c r="I48" s="12">
        <v>12.6</v>
      </c>
      <c r="J48" s="11">
        <v>12</v>
      </c>
      <c r="K48" s="11">
        <v>8</v>
      </c>
      <c r="L48" s="11">
        <v>10</v>
      </c>
      <c r="M48" s="11">
        <v>12</v>
      </c>
      <c r="N48" s="11">
        <v>12</v>
      </c>
      <c r="O48" s="11">
        <v>0</v>
      </c>
      <c r="P48" s="11">
        <v>0</v>
      </c>
      <c r="Q48" s="11">
        <v>200</v>
      </c>
      <c r="R48" s="12">
        <v>1.8</v>
      </c>
      <c r="S48" s="12">
        <v>7</v>
      </c>
      <c r="T48" s="12" t="s">
        <v>316</v>
      </c>
      <c r="U48" s="11" t="s">
        <v>222</v>
      </c>
      <c r="V48" s="12"/>
      <c r="W48" s="20"/>
    </row>
    <row r="49" customHeight="1" spans="1:23">
      <c r="A49" s="6" t="str">
        <f>_xlfn.DISPIMG("ID_7B195FC06EE44DFD87458DB661D0559B",1)</f>
        <v>=DISPIMG("ID_7B195FC06EE44DFD87458DB661D0559B",1)</v>
      </c>
      <c r="B49" s="13" t="s">
        <v>323</v>
      </c>
      <c r="C49" s="13" t="s">
        <v>324</v>
      </c>
      <c r="D49" s="13" t="s">
        <v>325</v>
      </c>
      <c r="E49" s="13" t="s">
        <v>237</v>
      </c>
      <c r="F49" s="13">
        <v>14</v>
      </c>
      <c r="G49" s="14">
        <v>15.4</v>
      </c>
      <c r="H49" s="14">
        <v>14</v>
      </c>
      <c r="I49" s="14">
        <v>12.6</v>
      </c>
      <c r="J49" s="13">
        <v>12</v>
      </c>
      <c r="K49" s="13">
        <v>8</v>
      </c>
      <c r="L49" s="13">
        <v>10</v>
      </c>
      <c r="M49" s="13">
        <v>12</v>
      </c>
      <c r="N49" s="13">
        <v>12</v>
      </c>
      <c r="O49" s="13">
        <v>0</v>
      </c>
      <c r="P49" s="13">
        <v>0</v>
      </c>
      <c r="Q49" s="13">
        <v>200</v>
      </c>
      <c r="R49" s="14">
        <v>1.8</v>
      </c>
      <c r="S49" s="14">
        <v>7</v>
      </c>
      <c r="T49" s="14" t="s">
        <v>316</v>
      </c>
      <c r="U49" s="13" t="s">
        <v>222</v>
      </c>
      <c r="V49" s="14"/>
      <c r="W49" s="21"/>
    </row>
    <row r="50" s="2" customFormat="1" ht="118.25" spans="1:23">
      <c r="A50" s="15" t="str">
        <f>_xlfn.DISPIMG("ID_77287D6F5DE1487D9E16E783736D9DDE",1)</f>
        <v>=DISPIMG("ID_77287D6F5DE1487D9E16E783736D9DDE",1)</v>
      </c>
      <c r="B50" s="16" t="s">
        <v>326</v>
      </c>
      <c r="C50" s="16"/>
      <c r="D50" s="16"/>
      <c r="E50" s="16" t="s">
        <v>215</v>
      </c>
      <c r="F50" s="16">
        <v>74</v>
      </c>
      <c r="G50" s="17">
        <v>81.4</v>
      </c>
      <c r="H50" s="17">
        <v>74</v>
      </c>
      <c r="I50" s="17">
        <v>66.6</v>
      </c>
      <c r="J50" s="16">
        <v>64</v>
      </c>
      <c r="K50" s="16">
        <v>42</v>
      </c>
      <c r="L50" s="16">
        <v>54</v>
      </c>
      <c r="M50" s="16">
        <v>64</v>
      </c>
      <c r="N50" s="16">
        <v>64</v>
      </c>
      <c r="O50" s="16">
        <v>0</v>
      </c>
      <c r="P50" s="16">
        <v>0</v>
      </c>
      <c r="Q50" s="16">
        <v>800</v>
      </c>
      <c r="R50" s="17">
        <v>9.8</v>
      </c>
      <c r="S50" s="17">
        <v>7.55102040816326</v>
      </c>
      <c r="T50" s="17" t="s">
        <v>316</v>
      </c>
      <c r="U50" s="16" t="s">
        <v>222</v>
      </c>
      <c r="V50" s="17"/>
      <c r="W50" s="22" t="s">
        <v>327</v>
      </c>
    </row>
    <row r="51" customHeight="1" spans="1:23">
      <c r="A51" s="6" t="str">
        <f>_xlfn.DISPIMG("ID_F329B8846F8E413A90B673160EABE8A2",1)</f>
        <v>=DISPIMG("ID_F329B8846F8E413A90B673160EABE8A2",1)</v>
      </c>
      <c r="B51" s="7" t="s">
        <v>328</v>
      </c>
      <c r="C51" s="7" t="s">
        <v>329</v>
      </c>
      <c r="D51" s="7" t="s">
        <v>330</v>
      </c>
      <c r="E51" s="7" t="s">
        <v>220</v>
      </c>
      <c r="F51" s="7">
        <v>8</v>
      </c>
      <c r="G51" s="8">
        <v>8.6</v>
      </c>
      <c r="H51" s="8">
        <v>8.3</v>
      </c>
      <c r="I51" s="8">
        <v>8</v>
      </c>
      <c r="J51" s="7">
        <v>10</v>
      </c>
      <c r="K51" s="7">
        <v>5</v>
      </c>
      <c r="L51" s="7">
        <v>6</v>
      </c>
      <c r="M51" s="7">
        <v>6</v>
      </c>
      <c r="N51" s="7">
        <v>5</v>
      </c>
      <c r="O51" s="7">
        <v>0</v>
      </c>
      <c r="P51" s="7">
        <v>0</v>
      </c>
      <c r="Q51" s="7">
        <v>200</v>
      </c>
      <c r="R51" s="8">
        <v>0.9</v>
      </c>
      <c r="S51" s="8">
        <v>8.88888888888889</v>
      </c>
      <c r="T51" s="8" t="s">
        <v>331</v>
      </c>
      <c r="U51" s="7" t="s">
        <v>222</v>
      </c>
      <c r="V51" s="8"/>
      <c r="W51" s="18"/>
    </row>
    <row r="52" customHeight="1" spans="1:23">
      <c r="A52" s="6" t="str">
        <f>_xlfn.DISPIMG("ID_26BBCE81177940F4B06C9836999BF146",1)</f>
        <v>=DISPIMG("ID_26BBCE81177940F4B06C9836999BF146",1)</v>
      </c>
      <c r="B52" s="7" t="s">
        <v>328</v>
      </c>
      <c r="C52" s="7" t="s">
        <v>329</v>
      </c>
      <c r="D52" s="7" t="s">
        <v>330</v>
      </c>
      <c r="E52" s="7" t="s">
        <v>220</v>
      </c>
      <c r="F52" s="7">
        <v>8</v>
      </c>
      <c r="G52" s="8">
        <v>8.6</v>
      </c>
      <c r="H52" s="8">
        <v>8.3</v>
      </c>
      <c r="I52" s="8">
        <v>8</v>
      </c>
      <c r="J52" s="7">
        <v>10</v>
      </c>
      <c r="K52" s="7">
        <v>5</v>
      </c>
      <c r="L52" s="7">
        <v>6</v>
      </c>
      <c r="M52" s="7">
        <v>6</v>
      </c>
      <c r="N52" s="7">
        <v>5</v>
      </c>
      <c r="O52" s="7">
        <v>0</v>
      </c>
      <c r="P52" s="7">
        <v>0</v>
      </c>
      <c r="Q52" s="7">
        <v>200</v>
      </c>
      <c r="R52" s="8">
        <v>0.9</v>
      </c>
      <c r="S52" s="8">
        <v>8.88888888888889</v>
      </c>
      <c r="T52" s="8" t="s">
        <v>331</v>
      </c>
      <c r="U52" s="7" t="s">
        <v>222</v>
      </c>
      <c r="V52" s="8"/>
      <c r="W52" s="18"/>
    </row>
    <row r="53" s="1" customFormat="1" customHeight="1" spans="1:23">
      <c r="A53" s="3" t="str">
        <f>_xlfn.DISPIMG("ID_E99A06782B1945EB94744BD5BA56CFA6",1)</f>
        <v>=DISPIMG("ID_E99A06782B1945EB94744BD5BA56CFA6",1)</v>
      </c>
      <c r="B53" s="9" t="s">
        <v>332</v>
      </c>
      <c r="C53" s="9" t="s">
        <v>333</v>
      </c>
      <c r="D53" s="9" t="s">
        <v>334</v>
      </c>
      <c r="E53" s="9" t="s">
        <v>226</v>
      </c>
      <c r="F53" s="9">
        <v>20</v>
      </c>
      <c r="G53" s="10">
        <v>21.6</v>
      </c>
      <c r="H53" s="10">
        <v>20.8</v>
      </c>
      <c r="I53" s="10">
        <v>20</v>
      </c>
      <c r="J53" s="9">
        <v>27</v>
      </c>
      <c r="K53" s="9">
        <v>13</v>
      </c>
      <c r="L53" s="9">
        <v>17</v>
      </c>
      <c r="M53" s="9">
        <v>16</v>
      </c>
      <c r="N53" s="9">
        <v>12</v>
      </c>
      <c r="O53" s="9">
        <v>0</v>
      </c>
      <c r="P53" s="9">
        <v>0</v>
      </c>
      <c r="Q53" s="9">
        <v>200</v>
      </c>
      <c r="R53" s="10">
        <v>2.3</v>
      </c>
      <c r="S53" s="10">
        <v>8.69565217391304</v>
      </c>
      <c r="T53" s="10" t="s">
        <v>331</v>
      </c>
      <c r="U53" s="9" t="s">
        <v>222</v>
      </c>
      <c r="V53" s="10"/>
      <c r="W53" s="19"/>
    </row>
    <row r="54" s="1" customFormat="1" customHeight="1" spans="1:23">
      <c r="A54" s="3" t="str">
        <f>_xlfn.DISPIMG("ID_EF6DEB495BAC4CE2ADDB9F8E8299F7F0",1)</f>
        <v>=DISPIMG("ID_EF6DEB495BAC4CE2ADDB9F8E8299F7F0",1)</v>
      </c>
      <c r="B54" s="9" t="s">
        <v>332</v>
      </c>
      <c r="C54" s="9" t="s">
        <v>333</v>
      </c>
      <c r="D54" s="9" t="s">
        <v>334</v>
      </c>
      <c r="E54" s="9" t="s">
        <v>226</v>
      </c>
      <c r="F54" s="9">
        <v>20</v>
      </c>
      <c r="G54" s="10">
        <v>21.6</v>
      </c>
      <c r="H54" s="10">
        <v>20.8</v>
      </c>
      <c r="I54" s="10">
        <v>20</v>
      </c>
      <c r="J54" s="9">
        <v>27</v>
      </c>
      <c r="K54" s="9">
        <v>13</v>
      </c>
      <c r="L54" s="9">
        <v>17</v>
      </c>
      <c r="M54" s="9">
        <v>16</v>
      </c>
      <c r="N54" s="9">
        <v>12</v>
      </c>
      <c r="O54" s="9">
        <v>0</v>
      </c>
      <c r="P54" s="9">
        <v>0</v>
      </c>
      <c r="Q54" s="9">
        <v>200</v>
      </c>
      <c r="R54" s="10">
        <v>2.3</v>
      </c>
      <c r="S54" s="10">
        <v>8.69565217391304</v>
      </c>
      <c r="T54" s="10" t="s">
        <v>331</v>
      </c>
      <c r="U54" s="9" t="s">
        <v>222</v>
      </c>
      <c r="V54" s="10"/>
      <c r="W54" s="19"/>
    </row>
    <row r="55" customHeight="1" spans="1:23">
      <c r="A55" s="6" t="str">
        <f>_xlfn.DISPIMG("ID_755394D58E82463480CE1CFF716B6408",1)</f>
        <v>=DISPIMG("ID_755394D58E82463480CE1CFF716B6408",1)</v>
      </c>
      <c r="B55" s="11" t="s">
        <v>335</v>
      </c>
      <c r="C55" s="11" t="s">
        <v>336</v>
      </c>
      <c r="D55" s="11" t="s">
        <v>337</v>
      </c>
      <c r="E55" s="11" t="s">
        <v>230</v>
      </c>
      <c r="F55" s="11">
        <v>12</v>
      </c>
      <c r="G55" s="12">
        <v>13</v>
      </c>
      <c r="H55" s="12">
        <v>12.5</v>
      </c>
      <c r="I55" s="12">
        <v>12</v>
      </c>
      <c r="J55" s="11">
        <v>16</v>
      </c>
      <c r="K55" s="11">
        <v>8</v>
      </c>
      <c r="L55" s="11">
        <v>10</v>
      </c>
      <c r="M55" s="11">
        <v>9</v>
      </c>
      <c r="N55" s="11">
        <v>7</v>
      </c>
      <c r="O55" s="11">
        <v>0</v>
      </c>
      <c r="P55" s="11">
        <v>0</v>
      </c>
      <c r="Q55" s="11">
        <v>200</v>
      </c>
      <c r="R55" s="12">
        <v>1.4</v>
      </c>
      <c r="S55" s="12">
        <v>8.57142857142857</v>
      </c>
      <c r="T55" s="12" t="s">
        <v>331</v>
      </c>
      <c r="U55" s="11" t="s">
        <v>222</v>
      </c>
      <c r="V55" s="12"/>
      <c r="W55" s="20"/>
    </row>
    <row r="56" customHeight="1" spans="1:23">
      <c r="A56" s="6" t="str">
        <f>_xlfn.DISPIMG("ID_193C1C2E90B046C9876E6FC067A11EE0",1)</f>
        <v>=DISPIMG("ID_193C1C2E90B046C9876E6FC067A11EE0",1)</v>
      </c>
      <c r="B56" s="11" t="s">
        <v>335</v>
      </c>
      <c r="C56" s="11" t="s">
        <v>336</v>
      </c>
      <c r="D56" s="11" t="s">
        <v>337</v>
      </c>
      <c r="E56" s="11" t="s">
        <v>230</v>
      </c>
      <c r="F56" s="11">
        <v>12</v>
      </c>
      <c r="G56" s="12">
        <v>13</v>
      </c>
      <c r="H56" s="12">
        <v>12.5</v>
      </c>
      <c r="I56" s="12">
        <v>12</v>
      </c>
      <c r="J56" s="11">
        <v>16</v>
      </c>
      <c r="K56" s="11">
        <v>8</v>
      </c>
      <c r="L56" s="11">
        <v>10</v>
      </c>
      <c r="M56" s="11">
        <v>9</v>
      </c>
      <c r="N56" s="11">
        <v>7</v>
      </c>
      <c r="O56" s="11">
        <v>0</v>
      </c>
      <c r="P56" s="11">
        <v>0</v>
      </c>
      <c r="Q56" s="11">
        <v>200</v>
      </c>
      <c r="R56" s="12">
        <v>1.4</v>
      </c>
      <c r="S56" s="12">
        <v>8.57142857142857</v>
      </c>
      <c r="T56" s="12" t="s">
        <v>331</v>
      </c>
      <c r="U56" s="11" t="s">
        <v>222</v>
      </c>
      <c r="V56" s="12"/>
      <c r="W56" s="20"/>
    </row>
    <row r="57" customHeight="1" spans="1:23">
      <c r="A57" s="6" t="str">
        <f>_xlfn.DISPIMG("ID_D884414AFE624EA9B778C07AA6DD07AE",1)</f>
        <v>=DISPIMG("ID_D884414AFE624EA9B778C07AA6DD07AE",1)</v>
      </c>
      <c r="B57" s="13" t="s">
        <v>338</v>
      </c>
      <c r="C57" s="13" t="s">
        <v>339</v>
      </c>
      <c r="D57" s="13" t="s">
        <v>340</v>
      </c>
      <c r="E57" s="13" t="s">
        <v>237</v>
      </c>
      <c r="F57" s="13">
        <v>12</v>
      </c>
      <c r="G57" s="14">
        <v>13</v>
      </c>
      <c r="H57" s="14">
        <v>12.5</v>
      </c>
      <c r="I57" s="14">
        <v>12</v>
      </c>
      <c r="J57" s="13">
        <v>16</v>
      </c>
      <c r="K57" s="13">
        <v>8</v>
      </c>
      <c r="L57" s="13">
        <v>10</v>
      </c>
      <c r="M57" s="13">
        <v>9</v>
      </c>
      <c r="N57" s="13">
        <v>7</v>
      </c>
      <c r="O57" s="13">
        <v>0</v>
      </c>
      <c r="P57" s="13">
        <v>0</v>
      </c>
      <c r="Q57" s="13">
        <v>200</v>
      </c>
      <c r="R57" s="14">
        <v>1.4</v>
      </c>
      <c r="S57" s="14">
        <v>8.57142857142857</v>
      </c>
      <c r="T57" s="14" t="s">
        <v>331</v>
      </c>
      <c r="U57" s="13" t="s">
        <v>222</v>
      </c>
      <c r="V57" s="14"/>
      <c r="W57" s="21"/>
    </row>
    <row r="58" customHeight="1" spans="1:23">
      <c r="A58" s="6" t="str">
        <f>_xlfn.DISPIMG("ID_145802712595444DA1B555A12D648D83",1)</f>
        <v>=DISPIMG("ID_145802712595444DA1B555A12D648D83",1)</v>
      </c>
      <c r="B58" s="13" t="s">
        <v>338</v>
      </c>
      <c r="C58" s="13" t="s">
        <v>339</v>
      </c>
      <c r="D58" s="13" t="s">
        <v>340</v>
      </c>
      <c r="E58" s="13" t="s">
        <v>237</v>
      </c>
      <c r="F58" s="13">
        <v>12</v>
      </c>
      <c r="G58" s="14">
        <v>13</v>
      </c>
      <c r="H58" s="14">
        <v>12.5</v>
      </c>
      <c r="I58" s="14">
        <v>12</v>
      </c>
      <c r="J58" s="13">
        <v>16</v>
      </c>
      <c r="K58" s="13">
        <v>8</v>
      </c>
      <c r="L58" s="13">
        <v>10</v>
      </c>
      <c r="M58" s="13">
        <v>9</v>
      </c>
      <c r="N58" s="13">
        <v>7</v>
      </c>
      <c r="O58" s="13">
        <v>0</v>
      </c>
      <c r="P58" s="13">
        <v>0</v>
      </c>
      <c r="Q58" s="13">
        <v>200</v>
      </c>
      <c r="R58" s="14">
        <v>1.4</v>
      </c>
      <c r="S58" s="14">
        <v>8.57142857142857</v>
      </c>
      <c r="T58" s="14" t="s">
        <v>331</v>
      </c>
      <c r="U58" s="13" t="s">
        <v>222</v>
      </c>
      <c r="V58" s="14"/>
      <c r="W58" s="21"/>
    </row>
    <row r="59" s="2" customFormat="1" ht="118.25" spans="1:23">
      <c r="A59" s="15" t="str">
        <f>_xlfn.DISPIMG("ID_C6DC65AC0E2249AAAEC6EAAC98558705",1)</f>
        <v>=DISPIMG("ID_C6DC65AC0E2249AAAEC6EAAC98558705",1)</v>
      </c>
      <c r="B59" s="16" t="s">
        <v>341</v>
      </c>
      <c r="C59" s="16"/>
      <c r="D59" s="16"/>
      <c r="E59" s="16" t="s">
        <v>215</v>
      </c>
      <c r="F59" s="16">
        <v>48</v>
      </c>
      <c r="G59" s="17">
        <v>52</v>
      </c>
      <c r="H59" s="17">
        <v>50</v>
      </c>
      <c r="I59" s="17">
        <v>48</v>
      </c>
      <c r="J59" s="16">
        <v>64</v>
      </c>
      <c r="K59" s="16">
        <v>32</v>
      </c>
      <c r="L59" s="16">
        <v>40</v>
      </c>
      <c r="M59" s="16">
        <v>36</v>
      </c>
      <c r="N59" s="16">
        <v>28</v>
      </c>
      <c r="O59" s="16">
        <v>0</v>
      </c>
      <c r="P59" s="16">
        <v>0</v>
      </c>
      <c r="Q59" s="16">
        <v>800</v>
      </c>
      <c r="R59" s="17">
        <v>5.6</v>
      </c>
      <c r="S59" s="17">
        <v>8.57142857142857</v>
      </c>
      <c r="T59" s="17" t="s">
        <v>331</v>
      </c>
      <c r="U59" s="16" t="s">
        <v>222</v>
      </c>
      <c r="V59" s="17"/>
      <c r="W59" s="22" t="s">
        <v>342</v>
      </c>
    </row>
    <row r="60" customHeight="1" spans="1:23">
      <c r="A60" s="6" t="str">
        <f>_xlfn.DISPIMG("ID_9FE9FDBFF1BB4CBF85FAAA5BC79AB8F7",1)</f>
        <v>=DISPIMG("ID_9FE9FDBFF1BB4CBF85FAAA5BC79AB8F7",1)</v>
      </c>
      <c r="B60" s="7" t="s">
        <v>343</v>
      </c>
      <c r="C60" s="7" t="s">
        <v>344</v>
      </c>
      <c r="D60" s="7" t="s">
        <v>345</v>
      </c>
      <c r="E60" s="7" t="s">
        <v>220</v>
      </c>
      <c r="F60" s="7">
        <v>5</v>
      </c>
      <c r="G60" s="8">
        <v>5.1</v>
      </c>
      <c r="H60" s="8">
        <v>5.5</v>
      </c>
      <c r="I60" s="8">
        <v>5</v>
      </c>
      <c r="J60" s="7">
        <v>11</v>
      </c>
      <c r="K60" s="7">
        <v>8</v>
      </c>
      <c r="L60" s="7">
        <v>8</v>
      </c>
      <c r="M60" s="7">
        <v>12</v>
      </c>
      <c r="N60" s="7">
        <v>12</v>
      </c>
      <c r="O60" s="7">
        <v>2</v>
      </c>
      <c r="P60" s="7">
        <v>0</v>
      </c>
      <c r="Q60" s="7">
        <v>200</v>
      </c>
      <c r="R60" s="8">
        <v>0.7</v>
      </c>
      <c r="S60" s="8">
        <v>7.14285714285714</v>
      </c>
      <c r="T60" s="8" t="s">
        <v>346</v>
      </c>
      <c r="U60" s="7" t="s">
        <v>222</v>
      </c>
      <c r="V60" s="8"/>
      <c r="W60" s="18"/>
    </row>
    <row r="61" s="1" customFormat="1" customHeight="1" spans="1:23">
      <c r="A61" s="3" t="str">
        <f>_xlfn.DISPIMG("ID_EA219619683C4EA4B2DA613906101D22",1)</f>
        <v>=DISPIMG("ID_EA219619683C4EA4B2DA613906101D22",1)</v>
      </c>
      <c r="B61" s="9" t="s">
        <v>347</v>
      </c>
      <c r="C61" s="9" t="s">
        <v>348</v>
      </c>
      <c r="D61" s="9" t="s">
        <v>349</v>
      </c>
      <c r="E61" s="9" t="s">
        <v>226</v>
      </c>
      <c r="F61" s="9">
        <v>13</v>
      </c>
      <c r="G61" s="10">
        <v>13.4</v>
      </c>
      <c r="H61" s="10">
        <v>14.2</v>
      </c>
      <c r="I61" s="10">
        <v>13</v>
      </c>
      <c r="J61" s="9">
        <v>28</v>
      </c>
      <c r="K61" s="9">
        <v>21</v>
      </c>
      <c r="L61" s="9">
        <v>21</v>
      </c>
      <c r="M61" s="9">
        <v>31</v>
      </c>
      <c r="N61" s="9">
        <v>31</v>
      </c>
      <c r="O61" s="9">
        <v>4</v>
      </c>
      <c r="P61" s="9">
        <v>0</v>
      </c>
      <c r="Q61" s="9">
        <v>200</v>
      </c>
      <c r="R61" s="10">
        <v>1.8</v>
      </c>
      <c r="S61" s="10">
        <v>7.22222222222222</v>
      </c>
      <c r="T61" s="10" t="s">
        <v>346</v>
      </c>
      <c r="U61" s="9" t="s">
        <v>222</v>
      </c>
      <c r="V61" s="10"/>
      <c r="W61" s="19"/>
    </row>
    <row r="62" customHeight="1" spans="1:23">
      <c r="A62" s="3" t="str">
        <f>_xlfn.DISPIMG("ID_6ECA077F10BC49D4B32394FFEE26410F",1)</f>
        <v>=DISPIMG("ID_6ECA077F10BC49D4B32394FFEE26410F",1)</v>
      </c>
      <c r="B62" s="9" t="s">
        <v>347</v>
      </c>
      <c r="C62" s="9" t="s">
        <v>348</v>
      </c>
      <c r="D62" s="9" t="s">
        <v>349</v>
      </c>
      <c r="E62" s="9" t="s">
        <v>226</v>
      </c>
      <c r="F62" s="9">
        <v>13</v>
      </c>
      <c r="G62" s="10">
        <v>13.4</v>
      </c>
      <c r="H62" s="10">
        <v>14.2</v>
      </c>
      <c r="I62" s="10">
        <v>13</v>
      </c>
      <c r="J62" s="9">
        <v>28</v>
      </c>
      <c r="K62" s="9">
        <v>21</v>
      </c>
      <c r="L62" s="9">
        <v>21</v>
      </c>
      <c r="M62" s="9">
        <v>31</v>
      </c>
      <c r="N62" s="9">
        <v>31</v>
      </c>
      <c r="O62" s="9">
        <v>4</v>
      </c>
      <c r="P62" s="9">
        <v>0</v>
      </c>
      <c r="Q62" s="9">
        <v>200</v>
      </c>
      <c r="R62" s="10">
        <v>1.8</v>
      </c>
      <c r="S62" s="10">
        <v>7.22222222222222</v>
      </c>
      <c r="T62" s="10" t="s">
        <v>346</v>
      </c>
      <c r="U62" s="9" t="s">
        <v>222</v>
      </c>
      <c r="V62" s="10"/>
      <c r="W62" s="19"/>
    </row>
    <row r="63" customHeight="1" spans="1:23">
      <c r="A63" s="6" t="str">
        <f>_xlfn.DISPIMG("ID_A56B8484FCD9400AB0327ABD51E5BA6B",1)</f>
        <v>=DISPIMG("ID_A56B8484FCD9400AB0327ABD51E5BA6B",1)</v>
      </c>
      <c r="B63" s="11" t="s">
        <v>350</v>
      </c>
      <c r="C63" s="11" t="s">
        <v>351</v>
      </c>
      <c r="D63" s="11" t="s">
        <v>352</v>
      </c>
      <c r="E63" s="11" t="s">
        <v>230</v>
      </c>
      <c r="F63" s="11">
        <v>8</v>
      </c>
      <c r="G63" s="12">
        <v>8.2</v>
      </c>
      <c r="H63" s="12">
        <v>8.7</v>
      </c>
      <c r="I63" s="12">
        <v>8</v>
      </c>
      <c r="J63" s="11">
        <v>17</v>
      </c>
      <c r="K63" s="11">
        <v>12</v>
      </c>
      <c r="L63" s="11">
        <v>12</v>
      </c>
      <c r="M63" s="11">
        <v>18</v>
      </c>
      <c r="N63" s="11">
        <v>18</v>
      </c>
      <c r="O63" s="11">
        <v>2</v>
      </c>
      <c r="P63" s="11">
        <v>0</v>
      </c>
      <c r="Q63" s="11">
        <v>200</v>
      </c>
      <c r="R63" s="12">
        <v>1</v>
      </c>
      <c r="S63" s="12">
        <v>8</v>
      </c>
      <c r="T63" s="12" t="s">
        <v>346</v>
      </c>
      <c r="U63" s="11" t="s">
        <v>222</v>
      </c>
      <c r="V63" s="12"/>
      <c r="W63" s="20"/>
    </row>
    <row r="64" customHeight="1" spans="1:23">
      <c r="A64" s="6" t="str">
        <f>_xlfn.DISPIMG("ID_643907E7C8F7469FBFB05E92A81454DA",1)</f>
        <v>=DISPIMG("ID_643907E7C8F7469FBFB05E92A81454DA",1)</v>
      </c>
      <c r="B64" s="13" t="s">
        <v>353</v>
      </c>
      <c r="C64" s="13" t="s">
        <v>354</v>
      </c>
      <c r="D64" s="13" t="s">
        <v>355</v>
      </c>
      <c r="E64" s="13" t="s">
        <v>237</v>
      </c>
      <c r="F64" s="13">
        <v>8</v>
      </c>
      <c r="G64" s="14">
        <v>8.2</v>
      </c>
      <c r="H64" s="14">
        <v>8.7</v>
      </c>
      <c r="I64" s="14">
        <v>8</v>
      </c>
      <c r="J64" s="13">
        <v>17</v>
      </c>
      <c r="K64" s="13">
        <v>12</v>
      </c>
      <c r="L64" s="13">
        <v>12</v>
      </c>
      <c r="M64" s="13">
        <v>18</v>
      </c>
      <c r="N64" s="13">
        <v>18</v>
      </c>
      <c r="O64" s="13">
        <v>2</v>
      </c>
      <c r="P64" s="13">
        <v>0</v>
      </c>
      <c r="Q64" s="13">
        <v>200</v>
      </c>
      <c r="R64" s="14">
        <v>1</v>
      </c>
      <c r="S64" s="14">
        <v>8</v>
      </c>
      <c r="T64" s="14" t="s">
        <v>346</v>
      </c>
      <c r="U64" s="13" t="s">
        <v>222</v>
      </c>
      <c r="V64" s="14"/>
      <c r="W64" s="21"/>
    </row>
    <row r="65" s="2" customFormat="1" ht="118.25" spans="1:23">
      <c r="A65" s="15" t="str">
        <f>_xlfn.DISPIMG("ID_78EAA1F8A0C84D7792C075BABA9D157D",1)</f>
        <v>=DISPIMG("ID_78EAA1F8A0C84D7792C075BABA9D157D",1)</v>
      </c>
      <c r="B65" s="16" t="s">
        <v>356</v>
      </c>
      <c r="C65" s="16"/>
      <c r="D65" s="16"/>
      <c r="E65" s="16" t="s">
        <v>215</v>
      </c>
      <c r="F65" s="16">
        <v>42</v>
      </c>
      <c r="G65" s="17">
        <v>43.2</v>
      </c>
      <c r="H65" s="17">
        <v>45.8</v>
      </c>
      <c r="I65" s="17">
        <v>42</v>
      </c>
      <c r="J65" s="16">
        <v>90</v>
      </c>
      <c r="K65" s="16">
        <v>66</v>
      </c>
      <c r="L65" s="16">
        <v>66</v>
      </c>
      <c r="M65" s="16">
        <v>98</v>
      </c>
      <c r="N65" s="16">
        <v>98</v>
      </c>
      <c r="O65" s="16">
        <v>12</v>
      </c>
      <c r="P65" s="16">
        <v>0</v>
      </c>
      <c r="Q65" s="16">
        <v>800</v>
      </c>
      <c r="R65" s="17">
        <v>5.6</v>
      </c>
      <c r="S65" s="17">
        <v>7.5</v>
      </c>
      <c r="T65" s="17" t="s">
        <v>346</v>
      </c>
      <c r="U65" s="16" t="s">
        <v>222</v>
      </c>
      <c r="V65" s="17"/>
      <c r="W65" s="22" t="s">
        <v>357</v>
      </c>
    </row>
    <row r="66" customHeight="1" spans="1:23">
      <c r="A66" s="6" t="str">
        <f>_xlfn.DISPIMG("ID_9B32052602104B969ED35384ACC74D7E",1)</f>
        <v>=DISPIMG("ID_9B32052602104B969ED35384ACC74D7E",1)</v>
      </c>
      <c r="B66" s="7" t="s">
        <v>358</v>
      </c>
      <c r="C66" s="7" t="s">
        <v>359</v>
      </c>
      <c r="D66" s="7" t="s">
        <v>360</v>
      </c>
      <c r="E66" s="7" t="s">
        <v>220</v>
      </c>
      <c r="F66" s="7">
        <v>8</v>
      </c>
      <c r="G66" s="8">
        <v>8.9</v>
      </c>
      <c r="H66" s="8">
        <v>8</v>
      </c>
      <c r="I66" s="8">
        <v>8</v>
      </c>
      <c r="J66" s="7">
        <v>9</v>
      </c>
      <c r="K66" s="7">
        <v>12</v>
      </c>
      <c r="L66" s="7">
        <v>6</v>
      </c>
      <c r="M66" s="7">
        <v>9</v>
      </c>
      <c r="N66" s="7">
        <v>23</v>
      </c>
      <c r="O66" s="7">
        <v>1</v>
      </c>
      <c r="P66" s="7">
        <v>0</v>
      </c>
      <c r="Q66" s="7">
        <v>400</v>
      </c>
      <c r="R66" s="8">
        <v>1.1</v>
      </c>
      <c r="S66" s="8">
        <v>7.27272727272727</v>
      </c>
      <c r="T66" s="8" t="s">
        <v>361</v>
      </c>
      <c r="U66" s="7" t="s">
        <v>222</v>
      </c>
      <c r="V66" s="8"/>
      <c r="W66" s="18"/>
    </row>
    <row r="67" customHeight="1" spans="1:23">
      <c r="A67" s="6" t="str">
        <f>_xlfn.DISPIMG("ID_B4677E3479804D43A3E4FD3E7C5EA7D2",1)</f>
        <v>=DISPIMG("ID_B4677E3479804D43A3E4FD3E7C5EA7D2",1)</v>
      </c>
      <c r="B67" s="7" t="s">
        <v>358</v>
      </c>
      <c r="C67" s="7" t="s">
        <v>359</v>
      </c>
      <c r="D67" s="7" t="s">
        <v>360</v>
      </c>
      <c r="E67" s="7" t="s">
        <v>220</v>
      </c>
      <c r="F67" s="7">
        <v>8</v>
      </c>
      <c r="G67" s="8">
        <v>8.9</v>
      </c>
      <c r="H67" s="8">
        <v>8</v>
      </c>
      <c r="I67" s="8">
        <v>8</v>
      </c>
      <c r="J67" s="7">
        <v>9</v>
      </c>
      <c r="K67" s="7">
        <v>12</v>
      </c>
      <c r="L67" s="7">
        <v>6</v>
      </c>
      <c r="M67" s="7">
        <v>9</v>
      </c>
      <c r="N67" s="7">
        <v>23</v>
      </c>
      <c r="O67" s="7">
        <v>1</v>
      </c>
      <c r="P67" s="7">
        <v>0</v>
      </c>
      <c r="Q67" s="7">
        <v>400</v>
      </c>
      <c r="R67" s="8">
        <v>1.1</v>
      </c>
      <c r="S67" s="8">
        <v>7.27272727272727</v>
      </c>
      <c r="T67" s="8" t="s">
        <v>361</v>
      </c>
      <c r="U67" s="7" t="s">
        <v>222</v>
      </c>
      <c r="V67" s="8"/>
      <c r="W67" s="18"/>
    </row>
    <row r="68" s="1" customFormat="1" customHeight="1" spans="1:23">
      <c r="A68" s="3" t="str">
        <f>_xlfn.DISPIMG("ID_0941C27F3FA3406AB9FB15266B9A6B97",1)</f>
        <v>=DISPIMG("ID_0941C27F3FA3406AB9FB15266B9A6B97",1)</v>
      </c>
      <c r="B68" s="9" t="s">
        <v>362</v>
      </c>
      <c r="C68" s="9" t="s">
        <v>363</v>
      </c>
      <c r="D68" s="9" t="s">
        <v>364</v>
      </c>
      <c r="E68" s="9" t="s">
        <v>226</v>
      </c>
      <c r="F68" s="9">
        <v>21</v>
      </c>
      <c r="G68" s="10">
        <v>23.3</v>
      </c>
      <c r="H68" s="10">
        <v>21</v>
      </c>
      <c r="I68" s="10">
        <v>21</v>
      </c>
      <c r="J68" s="9">
        <v>23</v>
      </c>
      <c r="K68" s="9">
        <v>30</v>
      </c>
      <c r="L68" s="9">
        <v>17</v>
      </c>
      <c r="M68" s="9">
        <v>23</v>
      </c>
      <c r="N68" s="9">
        <v>59</v>
      </c>
      <c r="O68" s="9">
        <v>2</v>
      </c>
      <c r="P68" s="9">
        <v>0</v>
      </c>
      <c r="Q68" s="9">
        <v>400</v>
      </c>
      <c r="R68" s="10">
        <v>2.7</v>
      </c>
      <c r="S68" s="10">
        <v>7.77777777777778</v>
      </c>
      <c r="T68" s="10" t="s">
        <v>361</v>
      </c>
      <c r="U68" s="9" t="s">
        <v>222</v>
      </c>
      <c r="V68" s="10"/>
      <c r="W68" s="19"/>
    </row>
    <row r="69" s="1" customFormat="1" customHeight="1" spans="1:23">
      <c r="A69" s="3" t="str">
        <f>_xlfn.DISPIMG("ID_5A09A9B2129F45D6BA1CD0EB89C9DEB4",1)</f>
        <v>=DISPIMG("ID_5A09A9B2129F45D6BA1CD0EB89C9DEB4",1)</v>
      </c>
      <c r="B69" s="9" t="s">
        <v>362</v>
      </c>
      <c r="C69" s="9" t="s">
        <v>363</v>
      </c>
      <c r="D69" s="9" t="s">
        <v>364</v>
      </c>
      <c r="E69" s="9" t="s">
        <v>226</v>
      </c>
      <c r="F69" s="9">
        <v>21</v>
      </c>
      <c r="G69" s="10">
        <v>23.3</v>
      </c>
      <c r="H69" s="10">
        <v>21</v>
      </c>
      <c r="I69" s="10">
        <v>21</v>
      </c>
      <c r="J69" s="9">
        <v>23</v>
      </c>
      <c r="K69" s="9">
        <v>30</v>
      </c>
      <c r="L69" s="9">
        <v>17</v>
      </c>
      <c r="M69" s="9">
        <v>23</v>
      </c>
      <c r="N69" s="9">
        <v>59</v>
      </c>
      <c r="O69" s="9">
        <v>2</v>
      </c>
      <c r="P69" s="9">
        <v>0</v>
      </c>
      <c r="Q69" s="9">
        <v>400</v>
      </c>
      <c r="R69" s="10">
        <v>2.7</v>
      </c>
      <c r="S69" s="10">
        <v>7.77777777777778</v>
      </c>
      <c r="T69" s="10" t="s">
        <v>361</v>
      </c>
      <c r="U69" s="9" t="s">
        <v>222</v>
      </c>
      <c r="V69" s="10"/>
      <c r="W69" s="19"/>
    </row>
    <row r="70" customHeight="1" spans="1:23">
      <c r="A70" s="6" t="str">
        <f>_xlfn.DISPIMG("ID_653DE803DFAF4BE899653F598A0F77DA",1)</f>
        <v>=DISPIMG("ID_653DE803DFAF4BE899653F598A0F77DA",1)</v>
      </c>
      <c r="B70" s="11" t="s">
        <v>365</v>
      </c>
      <c r="C70" s="11" t="s">
        <v>366</v>
      </c>
      <c r="D70" s="11" t="s">
        <v>367</v>
      </c>
      <c r="E70" s="11" t="s">
        <v>230</v>
      </c>
      <c r="F70" s="11">
        <v>12</v>
      </c>
      <c r="G70" s="12">
        <v>13.3</v>
      </c>
      <c r="H70" s="12">
        <v>12</v>
      </c>
      <c r="I70" s="12">
        <v>12</v>
      </c>
      <c r="J70" s="11">
        <v>14</v>
      </c>
      <c r="K70" s="11">
        <v>18</v>
      </c>
      <c r="L70" s="11">
        <v>10</v>
      </c>
      <c r="M70" s="11">
        <v>14</v>
      </c>
      <c r="N70" s="11">
        <v>35</v>
      </c>
      <c r="O70" s="11">
        <v>1</v>
      </c>
      <c r="P70" s="11">
        <v>0</v>
      </c>
      <c r="Q70" s="11">
        <v>400</v>
      </c>
      <c r="R70" s="12">
        <v>1.6</v>
      </c>
      <c r="S70" s="12">
        <v>7.5</v>
      </c>
      <c r="T70" s="12" t="s">
        <v>361</v>
      </c>
      <c r="U70" s="11" t="s">
        <v>222</v>
      </c>
      <c r="V70" s="12"/>
      <c r="W70" s="20"/>
    </row>
    <row r="71" customHeight="1" spans="1:23">
      <c r="A71" s="6" t="str">
        <f>_xlfn.DISPIMG("ID_81E081639438499EAB99834B69C92B49",1)</f>
        <v>=DISPIMG("ID_81E081639438499EAB99834B69C92B49",1)</v>
      </c>
      <c r="B71" s="13" t="s">
        <v>368</v>
      </c>
      <c r="C71" s="13" t="s">
        <v>369</v>
      </c>
      <c r="D71" s="13" t="s">
        <v>370</v>
      </c>
      <c r="E71" s="13" t="s">
        <v>237</v>
      </c>
      <c r="F71" s="13">
        <v>12</v>
      </c>
      <c r="G71" s="14">
        <v>13.3</v>
      </c>
      <c r="H71" s="14">
        <v>12</v>
      </c>
      <c r="I71" s="14">
        <v>12</v>
      </c>
      <c r="J71" s="13">
        <v>14</v>
      </c>
      <c r="K71" s="13">
        <v>18</v>
      </c>
      <c r="L71" s="13">
        <v>10</v>
      </c>
      <c r="M71" s="13">
        <v>14</v>
      </c>
      <c r="N71" s="13">
        <v>35</v>
      </c>
      <c r="O71" s="13">
        <v>1</v>
      </c>
      <c r="P71" s="13">
        <v>0</v>
      </c>
      <c r="Q71" s="13">
        <v>400</v>
      </c>
      <c r="R71" s="14">
        <v>1.6</v>
      </c>
      <c r="S71" s="14">
        <v>7.5</v>
      </c>
      <c r="T71" s="14" t="s">
        <v>361</v>
      </c>
      <c r="U71" s="13" t="s">
        <v>222</v>
      </c>
      <c r="V71" s="14"/>
      <c r="W71" s="21"/>
    </row>
    <row r="72" customHeight="1" spans="1:23">
      <c r="A72" s="6" t="str">
        <f>_xlfn.DISPIMG("ID_15F354249AC64C8A94406BBF389F0423",1)</f>
        <v>=DISPIMG("ID_15F354249AC64C8A94406BBF389F0423",1)</v>
      </c>
      <c r="B72" s="13" t="s">
        <v>368</v>
      </c>
      <c r="C72" s="13" t="s">
        <v>369</v>
      </c>
      <c r="D72" s="13" t="s">
        <v>370</v>
      </c>
      <c r="E72" s="13" t="s">
        <v>237</v>
      </c>
      <c r="F72" s="13">
        <v>12</v>
      </c>
      <c r="G72" s="14">
        <v>13.3</v>
      </c>
      <c r="H72" s="14">
        <v>12</v>
      </c>
      <c r="I72" s="14">
        <v>12</v>
      </c>
      <c r="J72" s="13">
        <v>14</v>
      </c>
      <c r="K72" s="13">
        <v>18</v>
      </c>
      <c r="L72" s="13">
        <v>10</v>
      </c>
      <c r="M72" s="13">
        <v>14</v>
      </c>
      <c r="N72" s="13">
        <v>35</v>
      </c>
      <c r="O72" s="13">
        <v>1</v>
      </c>
      <c r="P72" s="13">
        <v>0</v>
      </c>
      <c r="Q72" s="13">
        <v>400</v>
      </c>
      <c r="R72" s="14">
        <v>1.6</v>
      </c>
      <c r="S72" s="14">
        <v>7.5</v>
      </c>
      <c r="T72" s="14" t="s">
        <v>361</v>
      </c>
      <c r="U72" s="13" t="s">
        <v>222</v>
      </c>
      <c r="V72" s="14"/>
      <c r="W72" s="21"/>
    </row>
    <row r="73" s="2" customFormat="1" ht="118.25" spans="1:23">
      <c r="A73" s="15" t="str">
        <f>_xlfn.DISPIMG("ID_2C3D0792E5EF4FCD829DDE009431CB6C",1)</f>
        <v>=DISPIMG("ID_2C3D0792E5EF4FCD829DDE009431CB6C",1)</v>
      </c>
      <c r="B73" s="16" t="s">
        <v>371</v>
      </c>
      <c r="C73" s="16"/>
      <c r="D73" s="16"/>
      <c r="E73" s="16" t="s">
        <v>215</v>
      </c>
      <c r="F73" s="16">
        <v>57</v>
      </c>
      <c r="G73" s="17">
        <v>63.2</v>
      </c>
      <c r="H73" s="17">
        <v>57</v>
      </c>
      <c r="I73" s="17">
        <v>57</v>
      </c>
      <c r="J73" s="16">
        <v>65</v>
      </c>
      <c r="K73" s="16">
        <v>84</v>
      </c>
      <c r="L73" s="16">
        <v>47</v>
      </c>
      <c r="M73" s="16">
        <v>65</v>
      </c>
      <c r="N73" s="16">
        <v>164</v>
      </c>
      <c r="O73" s="16">
        <v>5</v>
      </c>
      <c r="P73" s="16">
        <v>0</v>
      </c>
      <c r="Q73" s="16">
        <v>1600</v>
      </c>
      <c r="R73" s="17">
        <v>7.5</v>
      </c>
      <c r="S73" s="17">
        <v>7.6</v>
      </c>
      <c r="T73" s="17" t="s">
        <v>361</v>
      </c>
      <c r="U73" s="16" t="s">
        <v>222</v>
      </c>
      <c r="V73" s="17"/>
      <c r="W73" s="22" t="s">
        <v>372</v>
      </c>
    </row>
    <row r="74" customHeight="1" spans="1:23">
      <c r="A74" s="6" t="str">
        <f>_xlfn.DISPIMG("ID_16A6E8E857D34ECB8330055180849B0C",1)</f>
        <v>=DISPIMG("ID_16A6E8E857D34ECB8330055180849B0C",1)</v>
      </c>
      <c r="B74" s="7" t="s">
        <v>373</v>
      </c>
      <c r="C74" s="7" t="s">
        <v>374</v>
      </c>
      <c r="D74" s="7" t="s">
        <v>375</v>
      </c>
      <c r="E74" s="7" t="s">
        <v>220</v>
      </c>
      <c r="F74" s="7">
        <v>8</v>
      </c>
      <c r="G74" s="8">
        <v>9.4</v>
      </c>
      <c r="H74" s="8">
        <v>8</v>
      </c>
      <c r="I74" s="8">
        <v>8</v>
      </c>
      <c r="J74" s="7">
        <v>9</v>
      </c>
      <c r="K74" s="7">
        <v>5</v>
      </c>
      <c r="L74" s="7">
        <v>7</v>
      </c>
      <c r="M74" s="7">
        <v>9</v>
      </c>
      <c r="N74" s="7">
        <v>8</v>
      </c>
      <c r="O74" s="7">
        <v>0</v>
      </c>
      <c r="P74" s="7">
        <v>0</v>
      </c>
      <c r="Q74" s="7">
        <v>350</v>
      </c>
      <c r="R74" s="8">
        <v>1.2</v>
      </c>
      <c r="S74" s="8">
        <v>6.66666666666667</v>
      </c>
      <c r="T74" s="8" t="s">
        <v>376</v>
      </c>
      <c r="U74" s="7" t="s">
        <v>222</v>
      </c>
      <c r="V74" s="8"/>
      <c r="W74" s="18"/>
    </row>
    <row r="75" customHeight="1" spans="1:23">
      <c r="A75" s="6" t="str">
        <f>_xlfn.DISPIMG("ID_3CBA64A44C1E4B74BCFB9A453817D6AD",1)</f>
        <v>=DISPIMG("ID_3CBA64A44C1E4B74BCFB9A453817D6AD",1)</v>
      </c>
      <c r="B75" s="7" t="s">
        <v>373</v>
      </c>
      <c r="C75" s="7" t="s">
        <v>374</v>
      </c>
      <c r="D75" s="7" t="s">
        <v>375</v>
      </c>
      <c r="E75" s="7" t="s">
        <v>220</v>
      </c>
      <c r="F75" s="7">
        <v>8</v>
      </c>
      <c r="G75" s="8">
        <v>9.4</v>
      </c>
      <c r="H75" s="8">
        <v>8</v>
      </c>
      <c r="I75" s="8">
        <v>8</v>
      </c>
      <c r="J75" s="7">
        <v>9</v>
      </c>
      <c r="K75" s="7">
        <v>5</v>
      </c>
      <c r="L75" s="7">
        <v>7</v>
      </c>
      <c r="M75" s="7">
        <v>9</v>
      </c>
      <c r="N75" s="7">
        <v>8</v>
      </c>
      <c r="O75" s="7">
        <v>0</v>
      </c>
      <c r="P75" s="7">
        <v>0</v>
      </c>
      <c r="Q75" s="7">
        <v>350</v>
      </c>
      <c r="R75" s="8">
        <v>1.2</v>
      </c>
      <c r="S75" s="8">
        <v>6.66666666666667</v>
      </c>
      <c r="T75" s="8" t="s">
        <v>376</v>
      </c>
      <c r="U75" s="7" t="s">
        <v>222</v>
      </c>
      <c r="V75" s="8"/>
      <c r="W75" s="18"/>
    </row>
    <row r="76" customHeight="1" spans="1:23">
      <c r="A76" s="3" t="str">
        <f>_xlfn.DISPIMG("ID_D8631BDA268149C19C97244F36A7FBD5",1)</f>
        <v>=DISPIMG("ID_D8631BDA268149C19C97244F36A7FBD5",1)</v>
      </c>
      <c r="B76" s="9" t="s">
        <v>377</v>
      </c>
      <c r="C76" s="9" t="s">
        <v>378</v>
      </c>
      <c r="D76" s="9" t="s">
        <v>379</v>
      </c>
      <c r="E76" s="9" t="s">
        <v>226</v>
      </c>
      <c r="F76" s="9">
        <v>22</v>
      </c>
      <c r="G76" s="10">
        <v>26</v>
      </c>
      <c r="H76" s="10">
        <v>22</v>
      </c>
      <c r="I76" s="10">
        <v>22</v>
      </c>
      <c r="J76" s="9">
        <v>23</v>
      </c>
      <c r="K76" s="9">
        <v>14</v>
      </c>
      <c r="L76" s="9">
        <v>19</v>
      </c>
      <c r="M76" s="9">
        <v>24</v>
      </c>
      <c r="N76" s="9">
        <v>20</v>
      </c>
      <c r="O76" s="9">
        <v>0</v>
      </c>
      <c r="P76" s="9">
        <v>0</v>
      </c>
      <c r="Q76" s="9">
        <v>350</v>
      </c>
      <c r="R76" s="10">
        <v>4</v>
      </c>
      <c r="S76" s="10">
        <v>5.5</v>
      </c>
      <c r="T76" s="10" t="s">
        <v>376</v>
      </c>
      <c r="U76" s="9" t="s">
        <v>222</v>
      </c>
      <c r="V76" s="10"/>
      <c r="W76" s="24"/>
    </row>
    <row r="77" customHeight="1" spans="1:23">
      <c r="A77" s="3" t="str">
        <f>_xlfn.DISPIMG("ID_C77D1DDBE7CA463EBBC9FEA47A3FA2D9",1)</f>
        <v>=DISPIMG("ID_C77D1DDBE7CA463EBBC9FEA47A3FA2D9",1)</v>
      </c>
      <c r="B77" s="9" t="s">
        <v>377</v>
      </c>
      <c r="C77" s="9" t="s">
        <v>378</v>
      </c>
      <c r="D77" s="9" t="s">
        <v>379</v>
      </c>
      <c r="E77" s="9" t="s">
        <v>226</v>
      </c>
      <c r="F77" s="9">
        <v>22</v>
      </c>
      <c r="G77" s="10">
        <v>26</v>
      </c>
      <c r="H77" s="10">
        <v>22</v>
      </c>
      <c r="I77" s="10">
        <v>22</v>
      </c>
      <c r="J77" s="9">
        <v>23</v>
      </c>
      <c r="K77" s="9">
        <v>14</v>
      </c>
      <c r="L77" s="9">
        <v>19</v>
      </c>
      <c r="M77" s="9">
        <v>24</v>
      </c>
      <c r="N77" s="9">
        <v>20</v>
      </c>
      <c r="O77" s="9">
        <v>0</v>
      </c>
      <c r="P77" s="9">
        <v>0</v>
      </c>
      <c r="Q77" s="9">
        <v>350</v>
      </c>
      <c r="R77" s="10">
        <v>4</v>
      </c>
      <c r="S77" s="10">
        <v>5.5</v>
      </c>
      <c r="T77" s="10" t="s">
        <v>376</v>
      </c>
      <c r="U77" s="9" t="s">
        <v>222</v>
      </c>
      <c r="V77" s="10"/>
      <c r="W77" s="24"/>
    </row>
    <row r="78" customHeight="1" spans="1:23">
      <c r="A78" s="6" t="str">
        <f>_xlfn.DISPIMG("ID_1958B3A76A3D41668A9C469DF28524C6",1)</f>
        <v>=DISPIMG("ID_1958B3A76A3D41668A9C469DF28524C6",1)</v>
      </c>
      <c r="B78" s="11" t="s">
        <v>380</v>
      </c>
      <c r="C78" s="11" t="s">
        <v>381</v>
      </c>
      <c r="D78" s="11" t="s">
        <v>382</v>
      </c>
      <c r="E78" s="11" t="s">
        <v>230</v>
      </c>
      <c r="F78" s="11">
        <v>5</v>
      </c>
      <c r="G78" s="12">
        <v>5.9</v>
      </c>
      <c r="H78" s="12">
        <v>5</v>
      </c>
      <c r="I78" s="12">
        <v>5</v>
      </c>
      <c r="J78" s="11">
        <v>5</v>
      </c>
      <c r="K78" s="11">
        <v>3</v>
      </c>
      <c r="L78" s="11">
        <v>4</v>
      </c>
      <c r="M78" s="11">
        <v>5</v>
      </c>
      <c r="N78" s="11">
        <v>4</v>
      </c>
      <c r="O78" s="11">
        <v>0</v>
      </c>
      <c r="P78" s="11">
        <v>0</v>
      </c>
      <c r="Q78" s="11">
        <v>350</v>
      </c>
      <c r="R78" s="12">
        <v>0.7</v>
      </c>
      <c r="S78" s="12">
        <v>7.14285714285714</v>
      </c>
      <c r="T78" s="12" t="s">
        <v>376</v>
      </c>
      <c r="U78" s="11" t="s">
        <v>222</v>
      </c>
      <c r="V78" s="12"/>
      <c r="W78" s="20"/>
    </row>
    <row r="79" customHeight="1" spans="1:23">
      <c r="A79" s="6" t="str">
        <f>_xlfn.DISPIMG("ID_F78B11D7C65E425088B0F18FB08BE02B",1)</f>
        <v>=DISPIMG("ID_F78B11D7C65E425088B0F18FB08BE02B",1)</v>
      </c>
      <c r="B79" s="13" t="s">
        <v>383</v>
      </c>
      <c r="C79" s="13" t="s">
        <v>384</v>
      </c>
      <c r="D79" s="13" t="s">
        <v>385</v>
      </c>
      <c r="E79" s="13" t="s">
        <v>237</v>
      </c>
      <c r="F79" s="13">
        <v>14</v>
      </c>
      <c r="G79" s="14">
        <v>16.5</v>
      </c>
      <c r="H79" s="14">
        <v>14</v>
      </c>
      <c r="I79" s="14">
        <v>14</v>
      </c>
      <c r="J79" s="13">
        <v>15</v>
      </c>
      <c r="K79" s="13">
        <v>8</v>
      </c>
      <c r="L79" s="13">
        <v>12</v>
      </c>
      <c r="M79" s="13">
        <v>15</v>
      </c>
      <c r="N79" s="13">
        <v>13</v>
      </c>
      <c r="O79" s="13">
        <v>0</v>
      </c>
      <c r="P79" s="13">
        <v>0</v>
      </c>
      <c r="Q79" s="13">
        <v>350</v>
      </c>
      <c r="R79" s="14">
        <v>2</v>
      </c>
      <c r="S79" s="14">
        <v>7</v>
      </c>
      <c r="T79" s="14" t="s">
        <v>376</v>
      </c>
      <c r="U79" s="13" t="s">
        <v>222</v>
      </c>
      <c r="V79" s="14"/>
      <c r="W79" s="21"/>
    </row>
    <row r="80" s="2" customFormat="1" ht="118.25" spans="1:23">
      <c r="A80" s="15" t="str">
        <f>_xlfn.DISPIMG("ID_730C1CB878BB454D81C6D0ACEAE59F39",1)</f>
        <v>=DISPIMG("ID_730C1CB878BB454D81C6D0ACEAE59F39",1)</v>
      </c>
      <c r="B80" s="16" t="s">
        <v>386</v>
      </c>
      <c r="C80" s="16"/>
      <c r="D80" s="16"/>
      <c r="E80" s="16" t="s">
        <v>215</v>
      </c>
      <c r="F80" s="16">
        <v>63</v>
      </c>
      <c r="G80" s="17">
        <v>74.4</v>
      </c>
      <c r="H80" s="17">
        <v>63</v>
      </c>
      <c r="I80" s="17">
        <v>63</v>
      </c>
      <c r="J80" s="16">
        <v>66</v>
      </c>
      <c r="K80" s="16">
        <v>39</v>
      </c>
      <c r="L80" s="16">
        <v>54</v>
      </c>
      <c r="M80" s="16">
        <v>68</v>
      </c>
      <c r="N80" s="16">
        <v>57</v>
      </c>
      <c r="O80" s="16">
        <v>0</v>
      </c>
      <c r="P80" s="16">
        <v>0</v>
      </c>
      <c r="Q80" s="16">
        <v>1400</v>
      </c>
      <c r="R80" s="17">
        <v>10.7</v>
      </c>
      <c r="S80" s="17">
        <v>5.88785046728972</v>
      </c>
      <c r="T80" s="17" t="s">
        <v>376</v>
      </c>
      <c r="U80" s="16" t="s">
        <v>222</v>
      </c>
      <c r="V80" s="17"/>
      <c r="W80" s="22" t="s">
        <v>387</v>
      </c>
    </row>
    <row r="81" customHeight="1" spans="1:23">
      <c r="A81" s="6" t="str">
        <f>_xlfn.DISPIMG("ID_8CCD59AC56834F52A68AECEC5C9CD2FB",1)</f>
        <v>=DISPIMG("ID_8CCD59AC56834F52A68AECEC5C9CD2FB",1)</v>
      </c>
      <c r="B81" s="7" t="s">
        <v>388</v>
      </c>
      <c r="C81" s="7" t="s">
        <v>389</v>
      </c>
      <c r="D81" s="7" t="s">
        <v>390</v>
      </c>
      <c r="E81" s="7" t="s">
        <v>220</v>
      </c>
      <c r="F81" s="7">
        <v>15</v>
      </c>
      <c r="G81" s="8">
        <v>15</v>
      </c>
      <c r="H81" s="8">
        <v>17.3</v>
      </c>
      <c r="I81" s="8">
        <v>15</v>
      </c>
      <c r="J81" s="7">
        <v>9</v>
      </c>
      <c r="K81" s="7">
        <v>8</v>
      </c>
      <c r="L81" s="7">
        <v>6</v>
      </c>
      <c r="M81" s="7">
        <v>9</v>
      </c>
      <c r="N81" s="7">
        <v>6</v>
      </c>
      <c r="O81" s="7">
        <v>0</v>
      </c>
      <c r="P81" s="7">
        <v>8</v>
      </c>
      <c r="Q81" s="7">
        <v>500</v>
      </c>
      <c r="R81" s="8">
        <v>4.8</v>
      </c>
      <c r="S81" s="8">
        <v>3.125</v>
      </c>
      <c r="T81" s="8" t="s">
        <v>391</v>
      </c>
      <c r="U81" s="7" t="s">
        <v>222</v>
      </c>
      <c r="V81" s="8"/>
      <c r="W81" s="18"/>
    </row>
    <row r="82" customHeight="1" spans="1:23">
      <c r="A82" s="3" t="str">
        <f>_xlfn.DISPIMG("ID_7D67B52DF22044B29CB5F225096BD906",1)</f>
        <v>=DISPIMG("ID_7D67B52DF22044B29CB5F225096BD906",1)</v>
      </c>
      <c r="B82" s="9" t="s">
        <v>392</v>
      </c>
      <c r="C82" s="9" t="s">
        <v>393</v>
      </c>
      <c r="D82" s="9" t="s">
        <v>394</v>
      </c>
      <c r="E82" s="9" t="s">
        <v>226</v>
      </c>
      <c r="F82" s="9">
        <v>40</v>
      </c>
      <c r="G82" s="10">
        <v>40</v>
      </c>
      <c r="H82" s="10">
        <v>46</v>
      </c>
      <c r="I82" s="10">
        <v>40</v>
      </c>
      <c r="J82" s="9">
        <v>23</v>
      </c>
      <c r="K82" s="9">
        <v>21</v>
      </c>
      <c r="L82" s="9">
        <v>15</v>
      </c>
      <c r="M82" s="9">
        <v>23</v>
      </c>
      <c r="N82" s="9">
        <v>16</v>
      </c>
      <c r="O82" s="9">
        <v>0</v>
      </c>
      <c r="P82" s="9">
        <v>20</v>
      </c>
      <c r="Q82" s="9">
        <v>500</v>
      </c>
      <c r="R82" s="10">
        <v>12.5</v>
      </c>
      <c r="S82" s="10">
        <v>3.2</v>
      </c>
      <c r="T82" s="10" t="s">
        <v>391</v>
      </c>
      <c r="U82" s="9" t="s">
        <v>222</v>
      </c>
      <c r="V82" s="10"/>
      <c r="W82" s="19"/>
    </row>
    <row r="83" customHeight="1" spans="1:23">
      <c r="A83" s="23" t="str">
        <f>_xlfn.DISPIMG("ID_45E0B7ACA496404A83A225A8C1F90C60",1)</f>
        <v>=DISPIMG("ID_45E0B7ACA496404A83A225A8C1F90C60",1)</v>
      </c>
      <c r="B83" s="9" t="s">
        <v>392</v>
      </c>
      <c r="C83" s="9" t="s">
        <v>393</v>
      </c>
      <c r="D83" s="9" t="s">
        <v>394</v>
      </c>
      <c r="E83" s="9" t="s">
        <v>226</v>
      </c>
      <c r="F83" s="9">
        <v>40</v>
      </c>
      <c r="G83" s="10">
        <v>40</v>
      </c>
      <c r="H83" s="10">
        <v>46</v>
      </c>
      <c r="I83" s="10">
        <v>40</v>
      </c>
      <c r="J83" s="9">
        <v>23</v>
      </c>
      <c r="K83" s="9">
        <v>21</v>
      </c>
      <c r="L83" s="9">
        <v>15</v>
      </c>
      <c r="M83" s="9">
        <v>23</v>
      </c>
      <c r="N83" s="9">
        <v>16</v>
      </c>
      <c r="O83" s="9">
        <v>0</v>
      </c>
      <c r="P83" s="9">
        <v>20</v>
      </c>
      <c r="Q83" s="9">
        <v>500</v>
      </c>
      <c r="R83" s="10">
        <v>12.5</v>
      </c>
      <c r="S83" s="10">
        <v>3.2</v>
      </c>
      <c r="T83" s="10" t="s">
        <v>391</v>
      </c>
      <c r="U83" s="9" t="s">
        <v>222</v>
      </c>
      <c r="V83" s="10"/>
      <c r="W83" s="24"/>
    </row>
    <row r="84" customHeight="1" spans="1:23">
      <c r="A84" s="6" t="str">
        <f>_xlfn.DISPIMG("ID_D9D021F12D4E4B1CAB2820B4BE1EC4B7",1)</f>
        <v>=DISPIMG("ID_D9D021F12D4E4B1CAB2820B4BE1EC4B7",1)</v>
      </c>
      <c r="B84" s="11" t="s">
        <v>395</v>
      </c>
      <c r="C84" s="11" t="s">
        <v>396</v>
      </c>
      <c r="D84" s="11" t="s">
        <v>397</v>
      </c>
      <c r="E84" s="11" t="s">
        <v>230</v>
      </c>
      <c r="F84" s="11">
        <v>24</v>
      </c>
      <c r="G84" s="12">
        <v>24</v>
      </c>
      <c r="H84" s="12">
        <v>27.6</v>
      </c>
      <c r="I84" s="12">
        <v>24</v>
      </c>
      <c r="J84" s="11">
        <v>13</v>
      </c>
      <c r="K84" s="11">
        <v>12</v>
      </c>
      <c r="L84" s="11">
        <v>9</v>
      </c>
      <c r="M84" s="11">
        <v>14</v>
      </c>
      <c r="N84" s="11">
        <v>9</v>
      </c>
      <c r="O84" s="11">
        <v>0</v>
      </c>
      <c r="P84" s="11">
        <v>12</v>
      </c>
      <c r="Q84" s="11">
        <v>500</v>
      </c>
      <c r="R84" s="12">
        <v>7.4</v>
      </c>
      <c r="S84" s="12">
        <v>3.24324324324324</v>
      </c>
      <c r="T84" s="12" t="s">
        <v>391</v>
      </c>
      <c r="U84" s="11" t="s">
        <v>222</v>
      </c>
      <c r="V84" s="12"/>
      <c r="W84" s="20"/>
    </row>
    <row r="85" customHeight="1" spans="1:23">
      <c r="A85" s="6" t="str">
        <f>_xlfn.DISPIMG("ID_DD401149CED4490396BCD18077F22406",1)</f>
        <v>=DISPIMG("ID_DD401149CED4490396BCD18077F22406",1)</v>
      </c>
      <c r="B85" s="13" t="s">
        <v>398</v>
      </c>
      <c r="C85" s="13" t="s">
        <v>399</v>
      </c>
      <c r="D85" s="13" t="s">
        <v>400</v>
      </c>
      <c r="E85" s="13" t="s">
        <v>237</v>
      </c>
      <c r="F85" s="13">
        <v>24</v>
      </c>
      <c r="G85" s="14">
        <v>24</v>
      </c>
      <c r="H85" s="14">
        <v>27.6</v>
      </c>
      <c r="I85" s="14">
        <v>24</v>
      </c>
      <c r="J85" s="13">
        <v>13</v>
      </c>
      <c r="K85" s="13">
        <v>12</v>
      </c>
      <c r="L85" s="13">
        <v>9</v>
      </c>
      <c r="M85" s="13">
        <v>14</v>
      </c>
      <c r="N85" s="13">
        <v>9</v>
      </c>
      <c r="O85" s="13">
        <v>0</v>
      </c>
      <c r="P85" s="13">
        <v>12</v>
      </c>
      <c r="Q85" s="13">
        <v>500</v>
      </c>
      <c r="R85" s="14">
        <v>7.4</v>
      </c>
      <c r="S85" s="14">
        <v>3.24324324324324</v>
      </c>
      <c r="T85" s="14" t="s">
        <v>391</v>
      </c>
      <c r="U85" s="13" t="s">
        <v>222</v>
      </c>
      <c r="V85" s="14"/>
      <c r="W85" s="21"/>
    </row>
    <row r="86" s="2" customFormat="1" ht="118.25" spans="1:23">
      <c r="A86" s="15" t="str">
        <f>_xlfn.DISPIMG("ID_675DED55C2E94E09885F46128D3CB9B9",1)</f>
        <v>=DISPIMG("ID_675DED55C2E94E09885F46128D3CB9B9",1)</v>
      </c>
      <c r="B86" s="16" t="s">
        <v>401</v>
      </c>
      <c r="C86" s="16"/>
      <c r="D86" s="16"/>
      <c r="E86" s="16" t="s">
        <v>215</v>
      </c>
      <c r="F86" s="16">
        <v>128</v>
      </c>
      <c r="G86" s="17">
        <v>128</v>
      </c>
      <c r="H86" s="17">
        <v>147.2</v>
      </c>
      <c r="I86" s="17">
        <v>128</v>
      </c>
      <c r="J86" s="16">
        <v>72</v>
      </c>
      <c r="K86" s="16">
        <v>66</v>
      </c>
      <c r="L86" s="16">
        <v>48</v>
      </c>
      <c r="M86" s="16">
        <v>74</v>
      </c>
      <c r="N86" s="16">
        <v>50</v>
      </c>
      <c r="O86" s="16">
        <v>0</v>
      </c>
      <c r="P86" s="16">
        <v>64</v>
      </c>
      <c r="Q86" s="16">
        <v>2000</v>
      </c>
      <c r="R86" s="17">
        <v>39.8</v>
      </c>
      <c r="S86" s="17">
        <v>3.21608040201005</v>
      </c>
      <c r="T86" s="17" t="s">
        <v>391</v>
      </c>
      <c r="U86" s="16" t="s">
        <v>222</v>
      </c>
      <c r="V86" s="17"/>
      <c r="W86" s="22" t="s">
        <v>402</v>
      </c>
    </row>
    <row r="87" customHeight="1" spans="1:23">
      <c r="A87" s="6" t="str">
        <f>_xlfn.DISPIMG("ID_CC3EB4F3147E44788BFE9E67D97079F8",1)</f>
        <v>=DISPIMG("ID_CC3EB4F3147E44788BFE9E67D97079F8",1)</v>
      </c>
      <c r="B87" s="7" t="s">
        <v>403</v>
      </c>
      <c r="C87" s="7" t="s">
        <v>404</v>
      </c>
      <c r="D87" s="7" t="s">
        <v>405</v>
      </c>
      <c r="E87" s="7" t="s">
        <v>220</v>
      </c>
      <c r="F87" s="7">
        <v>7</v>
      </c>
      <c r="G87" s="8">
        <v>7.4</v>
      </c>
      <c r="H87" s="8">
        <v>7</v>
      </c>
      <c r="I87" s="8">
        <v>7</v>
      </c>
      <c r="J87" s="7">
        <v>5</v>
      </c>
      <c r="K87" s="7">
        <v>7</v>
      </c>
      <c r="L87" s="7">
        <v>6</v>
      </c>
      <c r="M87" s="7">
        <v>6</v>
      </c>
      <c r="N87" s="7">
        <v>5</v>
      </c>
      <c r="O87" s="7">
        <v>0</v>
      </c>
      <c r="P87" s="7">
        <v>0</v>
      </c>
      <c r="Q87" s="7">
        <v>250</v>
      </c>
      <c r="R87" s="8">
        <v>1.2</v>
      </c>
      <c r="S87" s="8">
        <v>5.83333333333333</v>
      </c>
      <c r="T87" s="8" t="s">
        <v>406</v>
      </c>
      <c r="U87" s="7" t="s">
        <v>222</v>
      </c>
      <c r="V87" s="8"/>
      <c r="W87" s="18" t="s">
        <v>407</v>
      </c>
    </row>
    <row r="88" customHeight="1" spans="1:23">
      <c r="A88" s="6" t="str">
        <f>_xlfn.DISPIMG("ID_67997EA97AF946E6830666D7E7680AD4",1)</f>
        <v>=DISPIMG("ID_67997EA97AF946E6830666D7E7680AD4",1)</v>
      </c>
      <c r="B88" s="7" t="s">
        <v>403</v>
      </c>
      <c r="C88" s="7" t="s">
        <v>404</v>
      </c>
      <c r="D88" s="7" t="s">
        <v>405</v>
      </c>
      <c r="E88" s="7" t="s">
        <v>220</v>
      </c>
      <c r="F88" s="7">
        <v>7</v>
      </c>
      <c r="G88" s="8">
        <v>7.4</v>
      </c>
      <c r="H88" s="8">
        <v>7</v>
      </c>
      <c r="I88" s="8">
        <v>7</v>
      </c>
      <c r="J88" s="7">
        <v>5</v>
      </c>
      <c r="K88" s="7">
        <v>7</v>
      </c>
      <c r="L88" s="7">
        <v>6</v>
      </c>
      <c r="M88" s="7">
        <v>6</v>
      </c>
      <c r="N88" s="7">
        <v>5</v>
      </c>
      <c r="O88" s="7">
        <v>0</v>
      </c>
      <c r="P88" s="7">
        <v>0</v>
      </c>
      <c r="Q88" s="7">
        <v>250</v>
      </c>
      <c r="R88" s="8">
        <v>1.2</v>
      </c>
      <c r="S88" s="8">
        <v>5.83333333333333</v>
      </c>
      <c r="T88" s="8" t="s">
        <v>406</v>
      </c>
      <c r="U88" s="7" t="s">
        <v>222</v>
      </c>
      <c r="V88" s="8"/>
      <c r="W88" s="18"/>
    </row>
    <row r="89" customHeight="1" spans="1:23">
      <c r="A89" s="3" t="str">
        <f>_xlfn.DISPIMG("ID_3B969481A32040639CF4A333A84725A6",1)</f>
        <v>=DISPIMG("ID_3B969481A32040639CF4A333A84725A6",1)</v>
      </c>
      <c r="B89" s="9" t="s">
        <v>408</v>
      </c>
      <c r="C89" s="9" t="s">
        <v>409</v>
      </c>
      <c r="D89" s="9" t="s">
        <v>410</v>
      </c>
      <c r="E89" s="9" t="s">
        <v>226</v>
      </c>
      <c r="F89" s="9">
        <v>24</v>
      </c>
      <c r="G89" s="10">
        <v>25.4</v>
      </c>
      <c r="H89" s="10">
        <v>24</v>
      </c>
      <c r="I89" s="10">
        <v>24</v>
      </c>
      <c r="J89" s="9">
        <v>20</v>
      </c>
      <c r="K89" s="9">
        <v>12</v>
      </c>
      <c r="L89" s="9">
        <v>23</v>
      </c>
      <c r="M89" s="9">
        <v>21</v>
      </c>
      <c r="N89" s="9">
        <v>20</v>
      </c>
      <c r="O89" s="9">
        <v>0</v>
      </c>
      <c r="P89" s="9">
        <v>0</v>
      </c>
      <c r="Q89" s="9">
        <v>250</v>
      </c>
      <c r="R89" s="10">
        <v>4.7</v>
      </c>
      <c r="S89" s="10">
        <v>5.1063829787234</v>
      </c>
      <c r="T89" s="10" t="s">
        <v>406</v>
      </c>
      <c r="U89" s="9" t="s">
        <v>222</v>
      </c>
      <c r="V89" s="10"/>
      <c r="W89" s="19"/>
    </row>
    <row r="90" customHeight="1" spans="1:23">
      <c r="A90" s="3" t="str">
        <f>_xlfn.DISPIMG("ID_D3BDF75859A74F2A8AA0E1FA515E8990",1)</f>
        <v>=DISPIMG("ID_D3BDF75859A74F2A8AA0E1FA515E8990",1)</v>
      </c>
      <c r="B90" s="9" t="s">
        <v>408</v>
      </c>
      <c r="C90" s="9" t="s">
        <v>409</v>
      </c>
      <c r="D90" s="9" t="s">
        <v>410</v>
      </c>
      <c r="E90" s="9" t="s">
        <v>226</v>
      </c>
      <c r="F90" s="9">
        <v>24</v>
      </c>
      <c r="G90" s="10">
        <v>25.4</v>
      </c>
      <c r="H90" s="10">
        <v>24</v>
      </c>
      <c r="I90" s="10">
        <v>24</v>
      </c>
      <c r="J90" s="9">
        <v>20</v>
      </c>
      <c r="K90" s="9">
        <v>12</v>
      </c>
      <c r="L90" s="9">
        <v>23</v>
      </c>
      <c r="M90" s="9">
        <v>21</v>
      </c>
      <c r="N90" s="9">
        <v>20</v>
      </c>
      <c r="O90" s="9">
        <v>0</v>
      </c>
      <c r="P90" s="9">
        <v>0</v>
      </c>
      <c r="Q90" s="9">
        <v>250</v>
      </c>
      <c r="R90" s="10">
        <v>4.7</v>
      </c>
      <c r="S90" s="10">
        <v>5.1063829787234</v>
      </c>
      <c r="T90" s="10" t="s">
        <v>406</v>
      </c>
      <c r="U90" s="9" t="s">
        <v>222</v>
      </c>
      <c r="V90" s="10"/>
      <c r="W90" s="19"/>
    </row>
    <row r="91" customHeight="1" spans="1:23">
      <c r="A91" s="6" t="str">
        <f>_xlfn.DISPIMG("ID_2A7987C51B454BF4B3F736700A442036",1)</f>
        <v>=DISPIMG("ID_2A7987C51B454BF4B3F736700A442036",1)</v>
      </c>
      <c r="B91" s="11" t="s">
        <v>411</v>
      </c>
      <c r="C91" s="11" t="s">
        <v>412</v>
      </c>
      <c r="D91" s="11" t="s">
        <v>413</v>
      </c>
      <c r="E91" s="11" t="s">
        <v>230</v>
      </c>
      <c r="F91" s="11">
        <v>12</v>
      </c>
      <c r="G91" s="12">
        <v>12.7</v>
      </c>
      <c r="H91" s="12">
        <v>12</v>
      </c>
      <c r="I91" s="12">
        <v>12</v>
      </c>
      <c r="J91" s="11">
        <v>12</v>
      </c>
      <c r="K91" s="11">
        <v>6</v>
      </c>
      <c r="L91" s="11">
        <v>13</v>
      </c>
      <c r="M91" s="11">
        <v>13</v>
      </c>
      <c r="N91" s="11">
        <v>12</v>
      </c>
      <c r="O91" s="11">
        <v>0</v>
      </c>
      <c r="P91" s="11">
        <v>0</v>
      </c>
      <c r="Q91" s="11">
        <v>250</v>
      </c>
      <c r="R91" s="12">
        <v>2.8</v>
      </c>
      <c r="S91" s="12">
        <v>4.28571428571429</v>
      </c>
      <c r="T91" s="12" t="s">
        <v>406</v>
      </c>
      <c r="U91" s="11" t="s">
        <v>222</v>
      </c>
      <c r="V91" s="12"/>
      <c r="W91" s="20"/>
    </row>
    <row r="92" customHeight="1" spans="1:23">
      <c r="A92" s="6" t="str">
        <f>_xlfn.DISPIMG("ID_EA9CE789AFF6434B9851F985AD382150",1)</f>
        <v>=DISPIMG("ID_EA9CE789AFF6434B9851F985AD382150",1)</v>
      </c>
      <c r="B92" s="13" t="s">
        <v>414</v>
      </c>
      <c r="C92" s="13" t="s">
        <v>415</v>
      </c>
      <c r="D92" s="13" t="s">
        <v>416</v>
      </c>
      <c r="E92" s="13" t="s">
        <v>237</v>
      </c>
      <c r="F92" s="13">
        <v>12</v>
      </c>
      <c r="G92" s="14">
        <v>12.7</v>
      </c>
      <c r="H92" s="14">
        <v>12</v>
      </c>
      <c r="I92" s="14">
        <v>12</v>
      </c>
      <c r="J92" s="13">
        <v>12</v>
      </c>
      <c r="K92" s="13">
        <v>6</v>
      </c>
      <c r="L92" s="13">
        <v>13</v>
      </c>
      <c r="M92" s="13">
        <v>13</v>
      </c>
      <c r="N92" s="13">
        <v>12</v>
      </c>
      <c r="O92" s="13">
        <v>0</v>
      </c>
      <c r="P92" s="13">
        <v>0</v>
      </c>
      <c r="Q92" s="13">
        <v>250</v>
      </c>
      <c r="R92" s="14">
        <v>2.8</v>
      </c>
      <c r="S92" s="14">
        <v>4.28571428571429</v>
      </c>
      <c r="T92" s="14" t="s">
        <v>406</v>
      </c>
      <c r="U92" s="13" t="s">
        <v>222</v>
      </c>
      <c r="V92" s="14"/>
      <c r="W92" s="21"/>
    </row>
    <row r="93" customHeight="1" spans="1:23">
      <c r="A93" s="6" t="str">
        <f>_xlfn.DISPIMG("ID_8DC50690C2B24F1ABF321D5C8843FE02",1)</f>
        <v>=DISPIMG("ID_8DC50690C2B24F1ABF321D5C8843FE02",1)</v>
      </c>
      <c r="B93" s="13" t="s">
        <v>414</v>
      </c>
      <c r="C93" s="13" t="s">
        <v>415</v>
      </c>
      <c r="D93" s="13" t="s">
        <v>416</v>
      </c>
      <c r="E93" s="13" t="s">
        <v>237</v>
      </c>
      <c r="F93" s="13">
        <v>12</v>
      </c>
      <c r="G93" s="14">
        <v>12.7</v>
      </c>
      <c r="H93" s="14">
        <v>12</v>
      </c>
      <c r="I93" s="14">
        <v>12</v>
      </c>
      <c r="J93" s="13">
        <v>12</v>
      </c>
      <c r="K93" s="13">
        <v>6</v>
      </c>
      <c r="L93" s="13">
        <v>13</v>
      </c>
      <c r="M93" s="13">
        <v>13</v>
      </c>
      <c r="N93" s="13">
        <v>12</v>
      </c>
      <c r="O93" s="13">
        <v>0</v>
      </c>
      <c r="P93" s="13">
        <v>0</v>
      </c>
      <c r="Q93" s="13">
        <v>250</v>
      </c>
      <c r="R93" s="14">
        <v>2.8</v>
      </c>
      <c r="S93" s="14">
        <v>4.28571428571429</v>
      </c>
      <c r="T93" s="14" t="s">
        <v>406</v>
      </c>
      <c r="U93" s="13" t="s">
        <v>222</v>
      </c>
      <c r="V93" s="14"/>
      <c r="W93" s="21"/>
    </row>
    <row r="94" s="2" customFormat="1" ht="118.25" spans="1:23">
      <c r="A94" s="15" t="str">
        <f>_xlfn.DISPIMG("ID_AD61F2CE8B064AAA99E0C34F85E89883",1)</f>
        <v>=DISPIMG("ID_AD61F2CE8B064AAA99E0C34F85E89883",1)</v>
      </c>
      <c r="B94" s="16" t="s">
        <v>417</v>
      </c>
      <c r="C94" s="16"/>
      <c r="D94" s="16"/>
      <c r="E94" s="16" t="s">
        <v>215</v>
      </c>
      <c r="F94" s="16">
        <v>60</v>
      </c>
      <c r="G94" s="17">
        <v>63.5</v>
      </c>
      <c r="H94" s="17">
        <v>60</v>
      </c>
      <c r="I94" s="17">
        <v>60</v>
      </c>
      <c r="J94" s="16">
        <v>56</v>
      </c>
      <c r="K94" s="16">
        <v>30</v>
      </c>
      <c r="L94" s="16">
        <v>62</v>
      </c>
      <c r="M94" s="16">
        <v>60</v>
      </c>
      <c r="N94" s="16">
        <v>56</v>
      </c>
      <c r="O94" s="16">
        <v>0</v>
      </c>
      <c r="P94" s="16">
        <v>0</v>
      </c>
      <c r="Q94" s="16">
        <v>1000</v>
      </c>
      <c r="R94" s="17">
        <v>13.1</v>
      </c>
      <c r="S94" s="17">
        <v>4.58015267175572</v>
      </c>
      <c r="T94" s="17" t="s">
        <v>406</v>
      </c>
      <c r="U94" s="16" t="s">
        <v>222</v>
      </c>
      <c r="V94" s="17"/>
      <c r="W94" s="22" t="s">
        <v>418</v>
      </c>
    </row>
    <row r="95" customHeight="1" spans="1:23">
      <c r="A95" s="6" t="str">
        <f>_xlfn.DISPIMG("ID_BE0F1D01B2D641EEA54A16F96409F71B",1)</f>
        <v>=DISPIMG("ID_BE0F1D01B2D641EEA54A16F96409F71B",1)</v>
      </c>
      <c r="B95" s="7" t="s">
        <v>419</v>
      </c>
      <c r="C95" s="7" t="s">
        <v>420</v>
      </c>
      <c r="D95" s="7" t="s">
        <v>421</v>
      </c>
      <c r="E95" s="7" t="s">
        <v>220</v>
      </c>
      <c r="F95" s="7">
        <v>14</v>
      </c>
      <c r="G95" s="8">
        <v>14</v>
      </c>
      <c r="H95" s="8">
        <v>14</v>
      </c>
      <c r="I95" s="8">
        <v>13.7</v>
      </c>
      <c r="J95" s="7">
        <v>10</v>
      </c>
      <c r="K95" s="7">
        <v>10</v>
      </c>
      <c r="L95" s="7">
        <v>9</v>
      </c>
      <c r="M95" s="7">
        <v>12</v>
      </c>
      <c r="N95" s="7">
        <v>8</v>
      </c>
      <c r="O95" s="7">
        <v>2</v>
      </c>
      <c r="P95" s="7">
        <v>8</v>
      </c>
      <c r="Q95" s="7">
        <v>350</v>
      </c>
      <c r="R95" s="8">
        <v>4.5</v>
      </c>
      <c r="S95" s="8">
        <v>3.04444444444444</v>
      </c>
      <c r="T95" s="8" t="s">
        <v>422</v>
      </c>
      <c r="U95" s="7" t="s">
        <v>222</v>
      </c>
      <c r="V95" s="8"/>
      <c r="W95" s="18"/>
    </row>
    <row r="96" customHeight="1" spans="1:23">
      <c r="A96" s="23" t="str">
        <f>_xlfn.DISPIMG("ID_E8C839F6D2E14092896975875D349CD2",1)</f>
        <v>=DISPIMG("ID_E8C839F6D2E14092896975875D349CD2",1)</v>
      </c>
      <c r="B96" s="9" t="s">
        <v>423</v>
      </c>
      <c r="C96" s="9" t="s">
        <v>424</v>
      </c>
      <c r="D96" s="9" t="s">
        <v>425</v>
      </c>
      <c r="E96" s="9" t="s">
        <v>226</v>
      </c>
      <c r="F96" s="9">
        <v>35</v>
      </c>
      <c r="G96" s="10">
        <v>35</v>
      </c>
      <c r="H96" s="10">
        <v>35</v>
      </c>
      <c r="I96" s="10">
        <v>34.3</v>
      </c>
      <c r="J96" s="9">
        <v>21</v>
      </c>
      <c r="K96" s="9">
        <v>21</v>
      </c>
      <c r="L96" s="9">
        <v>19</v>
      </c>
      <c r="M96" s="9">
        <v>23</v>
      </c>
      <c r="N96" s="9">
        <v>16</v>
      </c>
      <c r="O96" s="9">
        <v>10</v>
      </c>
      <c r="P96" s="9">
        <v>16</v>
      </c>
      <c r="Q96" s="9">
        <v>350</v>
      </c>
      <c r="R96" s="10">
        <v>9</v>
      </c>
      <c r="S96" s="10">
        <v>3.81111111111111</v>
      </c>
      <c r="T96" s="10" t="s">
        <v>422</v>
      </c>
      <c r="U96" s="9" t="s">
        <v>222</v>
      </c>
      <c r="V96" s="10"/>
      <c r="W96" s="24"/>
    </row>
    <row r="97" customHeight="1" spans="1:23">
      <c r="A97" s="6" t="str">
        <f>_xlfn.DISPIMG("ID_81603EF81C6549069F36ED3EB3C466AE",1)</f>
        <v>=DISPIMG("ID_81603EF81C6549069F36ED3EB3C466AE",1)</v>
      </c>
      <c r="B97" s="11" t="s">
        <v>426</v>
      </c>
      <c r="C97" s="11" t="s">
        <v>427</v>
      </c>
      <c r="D97" s="11" t="s">
        <v>428</v>
      </c>
      <c r="E97" s="11" t="s">
        <v>230</v>
      </c>
      <c r="F97" s="11">
        <v>17</v>
      </c>
      <c r="G97" s="12">
        <v>17</v>
      </c>
      <c r="H97" s="12">
        <v>17</v>
      </c>
      <c r="I97" s="12">
        <v>16.7</v>
      </c>
      <c r="J97" s="11">
        <v>10</v>
      </c>
      <c r="K97" s="11">
        <v>10</v>
      </c>
      <c r="L97" s="11">
        <v>9</v>
      </c>
      <c r="M97" s="11">
        <v>11</v>
      </c>
      <c r="N97" s="11">
        <v>7</v>
      </c>
      <c r="O97" s="11">
        <v>2</v>
      </c>
      <c r="P97" s="11">
        <v>7</v>
      </c>
      <c r="Q97" s="11">
        <v>350</v>
      </c>
      <c r="R97" s="12">
        <v>4.3</v>
      </c>
      <c r="S97" s="12">
        <v>3.88372093023256</v>
      </c>
      <c r="T97" s="12" t="s">
        <v>422</v>
      </c>
      <c r="U97" s="11" t="s">
        <v>222</v>
      </c>
      <c r="V97" s="12"/>
      <c r="W97" s="20"/>
    </row>
    <row r="98" customHeight="1" spans="1:23">
      <c r="A98" s="6" t="str">
        <f>_xlfn.DISPIMG("ID_198F1C05ED7B4E03A03BEE82EC1DEC75",1)</f>
        <v>=DISPIMG("ID_198F1C05ED7B4E03A03BEE82EC1DEC75",1)</v>
      </c>
      <c r="B98" s="13" t="s">
        <v>429</v>
      </c>
      <c r="C98" s="13" t="s">
        <v>430</v>
      </c>
      <c r="D98" s="13" t="s">
        <v>431</v>
      </c>
      <c r="E98" s="13" t="s">
        <v>237</v>
      </c>
      <c r="F98" s="13">
        <v>21</v>
      </c>
      <c r="G98" s="14">
        <v>21</v>
      </c>
      <c r="H98" s="14">
        <v>21</v>
      </c>
      <c r="I98" s="14">
        <v>20.6</v>
      </c>
      <c r="J98" s="13">
        <v>12</v>
      </c>
      <c r="K98" s="13">
        <v>12</v>
      </c>
      <c r="L98" s="13">
        <v>11</v>
      </c>
      <c r="M98" s="13">
        <v>14</v>
      </c>
      <c r="N98" s="13">
        <v>9</v>
      </c>
      <c r="O98" s="13">
        <v>2</v>
      </c>
      <c r="P98" s="13">
        <v>9</v>
      </c>
      <c r="Q98" s="13">
        <v>350</v>
      </c>
      <c r="R98" s="14">
        <v>5.3</v>
      </c>
      <c r="S98" s="14">
        <v>3.88679245283019</v>
      </c>
      <c r="T98" s="14" t="s">
        <v>422</v>
      </c>
      <c r="U98" s="13" t="s">
        <v>222</v>
      </c>
      <c r="V98" s="14"/>
      <c r="W98" s="21"/>
    </row>
    <row r="99" s="2" customFormat="1" ht="118.25" spans="1:23">
      <c r="A99" s="15" t="str">
        <f>_xlfn.DISPIMG("ID_8C76535E57A04B8189EAB54E60EFFE64",1)</f>
        <v>=DISPIMG("ID_8C76535E57A04B8189EAB54E60EFFE64",1)</v>
      </c>
      <c r="B99" s="16" t="s">
        <v>432</v>
      </c>
      <c r="C99" s="16"/>
      <c r="D99" s="16"/>
      <c r="E99" s="16" t="s">
        <v>215</v>
      </c>
      <c r="F99" s="16">
        <v>87</v>
      </c>
      <c r="G99" s="17">
        <v>87</v>
      </c>
      <c r="H99" s="17">
        <v>87</v>
      </c>
      <c r="I99" s="17">
        <v>85.3</v>
      </c>
      <c r="J99" s="16">
        <v>53</v>
      </c>
      <c r="K99" s="16">
        <v>53</v>
      </c>
      <c r="L99" s="16">
        <v>48</v>
      </c>
      <c r="M99" s="16">
        <v>60</v>
      </c>
      <c r="N99" s="16">
        <v>40</v>
      </c>
      <c r="O99" s="16">
        <v>16</v>
      </c>
      <c r="P99" s="16">
        <v>40</v>
      </c>
      <c r="Q99" s="16">
        <v>1400</v>
      </c>
      <c r="R99" s="17">
        <v>23.1</v>
      </c>
      <c r="S99" s="17">
        <v>3.76623376623377</v>
      </c>
      <c r="T99" s="17" t="s">
        <v>422</v>
      </c>
      <c r="U99" s="16" t="s">
        <v>222</v>
      </c>
      <c r="V99" s="17"/>
      <c r="W99" s="22" t="s">
        <v>433</v>
      </c>
    </row>
    <row r="100" customHeight="1" spans="1:23">
      <c r="A100" s="6" t="str">
        <f>_xlfn.DISPIMG("ID_7FAC34BE7C2B471BACB1E78FDEF48CE7",1)</f>
        <v>=DISPIMG("ID_7FAC34BE7C2B471BACB1E78FDEF48CE7",1)</v>
      </c>
      <c r="B100" s="7" t="s">
        <v>434</v>
      </c>
      <c r="C100" s="7" t="s">
        <v>435</v>
      </c>
      <c r="D100" s="7" t="s">
        <v>436</v>
      </c>
      <c r="E100" s="7" t="s">
        <v>220</v>
      </c>
      <c r="F100" s="7">
        <v>14</v>
      </c>
      <c r="G100" s="8">
        <v>13.7</v>
      </c>
      <c r="H100" s="8">
        <v>17.1</v>
      </c>
      <c r="I100" s="8">
        <v>13.4</v>
      </c>
      <c r="J100" s="7">
        <v>6</v>
      </c>
      <c r="K100" s="7">
        <v>8</v>
      </c>
      <c r="L100" s="7">
        <v>6</v>
      </c>
      <c r="M100" s="7">
        <v>8</v>
      </c>
      <c r="N100" s="7">
        <v>6</v>
      </c>
      <c r="O100" s="7">
        <v>0</v>
      </c>
      <c r="P100" s="7">
        <v>6</v>
      </c>
      <c r="Q100" s="7">
        <v>450</v>
      </c>
      <c r="R100" s="8">
        <v>4.2</v>
      </c>
      <c r="S100" s="8">
        <v>3.19047619047619</v>
      </c>
      <c r="T100" s="8" t="s">
        <v>437</v>
      </c>
      <c r="U100" s="7" t="s">
        <v>222</v>
      </c>
      <c r="V100" s="8"/>
      <c r="W100" s="18"/>
    </row>
    <row r="101" customHeight="1" spans="1:23">
      <c r="A101" s="3" t="str">
        <f>_xlfn.DISPIMG("ID_651016134F3747E89B4589C3073A5300",1)</f>
        <v>=DISPIMG("ID_651016134F3747E89B4589C3073A5300",1)</v>
      </c>
      <c r="B101" s="9" t="s">
        <v>438</v>
      </c>
      <c r="C101" s="9" t="s">
        <v>439</v>
      </c>
      <c r="D101" s="9" t="s">
        <v>440</v>
      </c>
      <c r="E101" s="9" t="s">
        <v>226</v>
      </c>
      <c r="F101" s="9">
        <v>37</v>
      </c>
      <c r="G101" s="10">
        <v>36.3</v>
      </c>
      <c r="H101" s="10">
        <v>45.1</v>
      </c>
      <c r="I101" s="10">
        <v>35.5</v>
      </c>
      <c r="J101" s="9">
        <v>15</v>
      </c>
      <c r="K101" s="9">
        <v>18</v>
      </c>
      <c r="L101" s="9">
        <v>15</v>
      </c>
      <c r="M101" s="9">
        <v>20</v>
      </c>
      <c r="N101" s="9">
        <v>16</v>
      </c>
      <c r="O101" s="9">
        <v>0</v>
      </c>
      <c r="P101" s="9">
        <v>16</v>
      </c>
      <c r="Q101" s="9">
        <v>450</v>
      </c>
      <c r="R101" s="10">
        <v>10.9</v>
      </c>
      <c r="S101" s="10">
        <v>3.25688073394495</v>
      </c>
      <c r="T101" s="10" t="s">
        <v>437</v>
      </c>
      <c r="U101" s="9" t="s">
        <v>222</v>
      </c>
      <c r="V101" s="10"/>
      <c r="W101" s="19"/>
    </row>
    <row r="102" customHeight="1" spans="1:23">
      <c r="A102" s="6" t="str">
        <f>_xlfn.DISPIMG("ID_E4169841B805434296944569F69F7C3F",1)</f>
        <v>=DISPIMG("ID_E4169841B805434296944569F69F7C3F",1)</v>
      </c>
      <c r="B102" s="11" t="s">
        <v>441</v>
      </c>
      <c r="C102" s="11" t="s">
        <v>442</v>
      </c>
      <c r="D102" s="11" t="s">
        <v>443</v>
      </c>
      <c r="E102" s="11" t="s">
        <v>230</v>
      </c>
      <c r="F102" s="11">
        <v>17</v>
      </c>
      <c r="G102" s="12">
        <v>16.7</v>
      </c>
      <c r="H102" s="12">
        <v>20.7</v>
      </c>
      <c r="I102" s="12">
        <v>16.3</v>
      </c>
      <c r="J102" s="11">
        <v>7</v>
      </c>
      <c r="K102" s="11">
        <v>8</v>
      </c>
      <c r="L102" s="11">
        <v>5</v>
      </c>
      <c r="M102" s="11">
        <v>6</v>
      </c>
      <c r="N102" s="11">
        <v>5</v>
      </c>
      <c r="O102" s="11">
        <v>0</v>
      </c>
      <c r="P102" s="11">
        <v>5</v>
      </c>
      <c r="Q102" s="11">
        <v>450</v>
      </c>
      <c r="R102" s="12">
        <v>3.5</v>
      </c>
      <c r="S102" s="12">
        <v>4.65714285714286</v>
      </c>
      <c r="T102" s="12" t="s">
        <v>437</v>
      </c>
      <c r="U102" s="11" t="s">
        <v>222</v>
      </c>
      <c r="V102" s="12"/>
      <c r="W102" s="20"/>
    </row>
    <row r="103" customHeight="1" spans="1:23">
      <c r="A103" s="6" t="str">
        <f>_xlfn.DISPIMG("ID_F6885940B7CD4BF4B99A158D6CC38B74",1)</f>
        <v>=DISPIMG("ID_F6885940B7CD4BF4B99A158D6CC38B74",1)</v>
      </c>
      <c r="B103" s="13" t="s">
        <v>444</v>
      </c>
      <c r="C103" s="13" t="s">
        <v>445</v>
      </c>
      <c r="D103" s="13" t="s">
        <v>446</v>
      </c>
      <c r="E103" s="13" t="s">
        <v>237</v>
      </c>
      <c r="F103" s="13">
        <v>22</v>
      </c>
      <c r="G103" s="14">
        <v>21.6</v>
      </c>
      <c r="H103" s="14">
        <v>26.8</v>
      </c>
      <c r="I103" s="14">
        <v>21.1</v>
      </c>
      <c r="J103" s="13">
        <v>10</v>
      </c>
      <c r="K103" s="13">
        <v>12</v>
      </c>
      <c r="L103" s="13">
        <v>9</v>
      </c>
      <c r="M103" s="13">
        <v>12</v>
      </c>
      <c r="N103" s="13">
        <v>9</v>
      </c>
      <c r="O103" s="13">
        <v>0</v>
      </c>
      <c r="P103" s="13">
        <v>9</v>
      </c>
      <c r="Q103" s="13">
        <v>450</v>
      </c>
      <c r="R103" s="14">
        <v>6.4</v>
      </c>
      <c r="S103" s="14">
        <v>3.296875</v>
      </c>
      <c r="T103" s="14" t="s">
        <v>437</v>
      </c>
      <c r="U103" s="13" t="s">
        <v>222</v>
      </c>
      <c r="V103" s="14"/>
      <c r="W103" s="21"/>
    </row>
    <row r="104" s="2" customFormat="1" ht="116.25" spans="1:23">
      <c r="A104" s="15" t="str">
        <f>_xlfn.DISPIMG("ID_6FEA53DC24564C639E18C1D0B6010CE6",1)</f>
        <v>=DISPIMG("ID_6FEA53DC24564C639E18C1D0B6010CE6",1)</v>
      </c>
      <c r="B104" s="16" t="s">
        <v>447</v>
      </c>
      <c r="C104" s="16"/>
      <c r="D104" s="16"/>
      <c r="E104" s="16" t="s">
        <v>215</v>
      </c>
      <c r="F104" s="16">
        <v>90</v>
      </c>
      <c r="G104" s="17">
        <v>88.3</v>
      </c>
      <c r="H104" s="17">
        <v>109.7</v>
      </c>
      <c r="I104" s="17">
        <v>86.3</v>
      </c>
      <c r="J104" s="16">
        <v>38</v>
      </c>
      <c r="K104" s="16">
        <v>46</v>
      </c>
      <c r="L104" s="16">
        <v>35</v>
      </c>
      <c r="M104" s="16">
        <v>46</v>
      </c>
      <c r="N104" s="16">
        <v>36</v>
      </c>
      <c r="O104" s="16">
        <v>0</v>
      </c>
      <c r="P104" s="16">
        <v>36</v>
      </c>
      <c r="Q104" s="16">
        <v>1800</v>
      </c>
      <c r="R104" s="17">
        <v>25</v>
      </c>
      <c r="S104" s="17">
        <v>3.6</v>
      </c>
      <c r="T104" s="17" t="s">
        <v>437</v>
      </c>
      <c r="U104" s="16" t="s">
        <v>222</v>
      </c>
      <c r="V104" s="17"/>
      <c r="W104" s="22" t="s">
        <v>448</v>
      </c>
    </row>
    <row r="105" customHeight="1" spans="1:23">
      <c r="A105" s="6" t="str">
        <f>_xlfn.DISPIMG("ID_3BE582B742754E5DAF473BC8C08DFE34",1)</f>
        <v>=DISPIMG("ID_3BE582B742754E5DAF473BC8C08DFE34",1)</v>
      </c>
      <c r="B105" s="7" t="s">
        <v>449</v>
      </c>
      <c r="C105" s="7" t="s">
        <v>450</v>
      </c>
      <c r="D105" s="7" t="s">
        <v>451</v>
      </c>
      <c r="E105" s="7" t="s">
        <v>220</v>
      </c>
      <c r="F105" s="7">
        <v>16</v>
      </c>
      <c r="G105" s="8">
        <v>15</v>
      </c>
      <c r="H105" s="8">
        <v>18.4</v>
      </c>
      <c r="I105" s="8">
        <v>16</v>
      </c>
      <c r="J105" s="7">
        <v>8</v>
      </c>
      <c r="K105" s="7">
        <v>8</v>
      </c>
      <c r="L105" s="7">
        <v>5</v>
      </c>
      <c r="M105" s="7">
        <v>9</v>
      </c>
      <c r="N105" s="7">
        <v>6</v>
      </c>
      <c r="O105" s="7">
        <v>0</v>
      </c>
      <c r="P105" s="7">
        <v>9</v>
      </c>
      <c r="Q105" s="7">
        <v>500</v>
      </c>
      <c r="R105" s="8">
        <v>5.4</v>
      </c>
      <c r="S105" s="8">
        <v>2.96296296296296</v>
      </c>
      <c r="T105" s="8" t="s">
        <v>452</v>
      </c>
      <c r="U105" s="7" t="s">
        <v>222</v>
      </c>
      <c r="V105" s="8"/>
      <c r="W105" s="18"/>
    </row>
    <row r="106" customHeight="1" spans="1:23">
      <c r="A106" s="23" t="str">
        <f>_xlfn.DISPIMG("ID_8382DB2EB7144B58A8A1182BD19421D9",1)</f>
        <v>=DISPIMG("ID_8382DB2EB7144B58A8A1182BD19421D9",1)</v>
      </c>
      <c r="B106" s="9" t="s">
        <v>453</v>
      </c>
      <c r="C106" s="9" t="s">
        <v>454</v>
      </c>
      <c r="D106" s="9" t="s">
        <v>455</v>
      </c>
      <c r="E106" s="9" t="s">
        <v>226</v>
      </c>
      <c r="F106" s="9">
        <v>42</v>
      </c>
      <c r="G106" s="10">
        <v>39.5</v>
      </c>
      <c r="H106" s="10">
        <v>48.3</v>
      </c>
      <c r="I106" s="10">
        <v>42</v>
      </c>
      <c r="J106" s="9">
        <v>22</v>
      </c>
      <c r="K106" s="9">
        <v>21</v>
      </c>
      <c r="L106" s="9">
        <v>13</v>
      </c>
      <c r="M106" s="9">
        <v>23</v>
      </c>
      <c r="N106" s="9">
        <v>16</v>
      </c>
      <c r="O106" s="9">
        <v>0</v>
      </c>
      <c r="P106" s="9">
        <v>23</v>
      </c>
      <c r="Q106" s="9">
        <v>500</v>
      </c>
      <c r="R106" s="10">
        <v>14</v>
      </c>
      <c r="S106" s="10">
        <v>3</v>
      </c>
      <c r="T106" s="10" t="s">
        <v>452</v>
      </c>
      <c r="U106" s="9" t="s">
        <v>222</v>
      </c>
      <c r="V106" s="10"/>
      <c r="W106" s="24"/>
    </row>
    <row r="107" customHeight="1" spans="1:23">
      <c r="A107" s="6" t="str">
        <f>_xlfn.DISPIMG("ID_5521E7B0CEF34E1CA60FE5325501C84F",1)</f>
        <v>=DISPIMG("ID_5521E7B0CEF34E1CA60FE5325501C84F",1)</v>
      </c>
      <c r="B107" s="11" t="s">
        <v>456</v>
      </c>
      <c r="C107" s="11" t="s">
        <v>457</v>
      </c>
      <c r="D107" s="11" t="s">
        <v>458</v>
      </c>
      <c r="E107" s="11" t="s">
        <v>230</v>
      </c>
      <c r="F107" s="11">
        <v>25</v>
      </c>
      <c r="G107" s="12">
        <v>23.5</v>
      </c>
      <c r="H107" s="12">
        <v>28.8</v>
      </c>
      <c r="I107" s="12">
        <v>25</v>
      </c>
      <c r="J107" s="11">
        <v>13</v>
      </c>
      <c r="K107" s="11">
        <v>12</v>
      </c>
      <c r="L107" s="11">
        <v>8</v>
      </c>
      <c r="M107" s="11">
        <v>14</v>
      </c>
      <c r="N107" s="11">
        <v>9</v>
      </c>
      <c r="O107" s="11">
        <v>0</v>
      </c>
      <c r="P107" s="11">
        <v>14</v>
      </c>
      <c r="Q107" s="11">
        <v>500</v>
      </c>
      <c r="R107" s="12">
        <v>8.3</v>
      </c>
      <c r="S107" s="12">
        <v>3.01204819277108</v>
      </c>
      <c r="T107" s="12" t="s">
        <v>452</v>
      </c>
      <c r="U107" s="11" t="s">
        <v>222</v>
      </c>
      <c r="V107" s="12"/>
      <c r="W107" s="20"/>
    </row>
    <row r="108" customHeight="1" spans="1:23">
      <c r="A108" s="6" t="str">
        <f>_xlfn.DISPIMG("ID_63FE195B7D404F639EF6F1DFE23DCA91",1)</f>
        <v>=DISPIMG("ID_63FE195B7D404F639EF6F1DFE23DCA91",1)</v>
      </c>
      <c r="B108" s="13" t="s">
        <v>459</v>
      </c>
      <c r="C108" s="13" t="s">
        <v>460</v>
      </c>
      <c r="D108" s="13" t="s">
        <v>461</v>
      </c>
      <c r="E108" s="13" t="s">
        <v>237</v>
      </c>
      <c r="F108" s="13">
        <v>25</v>
      </c>
      <c r="G108" s="14">
        <v>23.5</v>
      </c>
      <c r="H108" s="14">
        <v>28.8</v>
      </c>
      <c r="I108" s="14">
        <v>25</v>
      </c>
      <c r="J108" s="13">
        <v>13</v>
      </c>
      <c r="K108" s="13">
        <v>12</v>
      </c>
      <c r="L108" s="13">
        <v>8</v>
      </c>
      <c r="M108" s="13">
        <v>14</v>
      </c>
      <c r="N108" s="13">
        <v>9</v>
      </c>
      <c r="O108" s="13">
        <v>0</v>
      </c>
      <c r="P108" s="13">
        <v>14</v>
      </c>
      <c r="Q108" s="13">
        <v>500</v>
      </c>
      <c r="R108" s="14">
        <v>8.3</v>
      </c>
      <c r="S108" s="14">
        <v>3.01204819277108</v>
      </c>
      <c r="T108" s="14" t="s">
        <v>452</v>
      </c>
      <c r="U108" s="13" t="s">
        <v>222</v>
      </c>
      <c r="V108" s="14"/>
      <c r="W108" s="21"/>
    </row>
    <row r="109" s="2" customFormat="1" ht="116.25" spans="1:23">
      <c r="A109" s="15" t="str">
        <f>_xlfn.DISPIMG("ID_5B1A3A6726F948AAB13A5296507C02E5",1)</f>
        <v>=DISPIMG("ID_5B1A3A6726F948AAB13A5296507C02E5",1)</v>
      </c>
      <c r="B109" s="16" t="s">
        <v>462</v>
      </c>
      <c r="C109" s="16"/>
      <c r="D109" s="16"/>
      <c r="E109" s="16" t="s">
        <v>215</v>
      </c>
      <c r="F109" s="16">
        <v>108</v>
      </c>
      <c r="G109" s="17">
        <v>101.5</v>
      </c>
      <c r="H109" s="17">
        <v>124.3</v>
      </c>
      <c r="I109" s="17">
        <v>108</v>
      </c>
      <c r="J109" s="16">
        <v>56</v>
      </c>
      <c r="K109" s="16">
        <v>53</v>
      </c>
      <c r="L109" s="16">
        <v>34</v>
      </c>
      <c r="M109" s="16">
        <v>60</v>
      </c>
      <c r="N109" s="16">
        <v>40</v>
      </c>
      <c r="O109" s="16">
        <v>0</v>
      </c>
      <c r="P109" s="16">
        <v>60</v>
      </c>
      <c r="Q109" s="16">
        <v>2000</v>
      </c>
      <c r="R109" s="17">
        <v>36</v>
      </c>
      <c r="S109" s="17">
        <v>3</v>
      </c>
      <c r="T109" s="17" t="s">
        <v>452</v>
      </c>
      <c r="U109" s="16" t="s">
        <v>222</v>
      </c>
      <c r="V109" s="17"/>
      <c r="W109" s="22" t="s">
        <v>463</v>
      </c>
    </row>
    <row r="110" customHeight="1" spans="1:23">
      <c r="A110" s="6" t="str">
        <f>_xlfn.DISPIMG("ID_8E4341C267E94829932AB855D01A78AD",1)</f>
        <v>=DISPIMG("ID_8E4341C267E94829932AB855D01A78AD",1)</v>
      </c>
      <c r="B110" s="7" t="s">
        <v>464</v>
      </c>
      <c r="C110" s="7" t="s">
        <v>465</v>
      </c>
      <c r="D110" s="7" t="s">
        <v>466</v>
      </c>
      <c r="E110" s="7" t="s">
        <v>220</v>
      </c>
      <c r="F110" s="7">
        <v>7</v>
      </c>
      <c r="G110" s="8">
        <v>8.2</v>
      </c>
      <c r="H110" s="8">
        <v>7</v>
      </c>
      <c r="I110" s="8">
        <v>7</v>
      </c>
      <c r="J110" s="7">
        <v>8</v>
      </c>
      <c r="K110" s="7">
        <v>5</v>
      </c>
      <c r="L110" s="7">
        <v>6</v>
      </c>
      <c r="M110" s="7">
        <v>9</v>
      </c>
      <c r="N110" s="7">
        <v>7</v>
      </c>
      <c r="O110" s="7">
        <v>3</v>
      </c>
      <c r="P110" s="7">
        <v>0</v>
      </c>
      <c r="Q110" s="7">
        <v>150</v>
      </c>
      <c r="R110" s="8">
        <v>0.8</v>
      </c>
      <c r="S110" s="8">
        <v>8.75</v>
      </c>
      <c r="T110" s="8" t="s">
        <v>467</v>
      </c>
      <c r="U110" s="7" t="s">
        <v>222</v>
      </c>
      <c r="V110" s="8"/>
      <c r="W110" s="18"/>
    </row>
    <row r="111" s="1" customFormat="1" customHeight="1" spans="1:23">
      <c r="A111" s="3" t="str">
        <f>_xlfn.DISPIMG("ID_3E96763C5CDD435F9B2D1E67BD2D6442",1)</f>
        <v>=DISPIMG("ID_3E96763C5CDD435F9B2D1E67BD2D6442",1)</v>
      </c>
      <c r="B111" s="9" t="s">
        <v>468</v>
      </c>
      <c r="C111" s="9" t="s">
        <v>469</v>
      </c>
      <c r="D111" s="9" t="s">
        <v>470</v>
      </c>
      <c r="E111" s="9" t="s">
        <v>226</v>
      </c>
      <c r="F111" s="9">
        <v>19</v>
      </c>
      <c r="G111" s="10">
        <v>22.2</v>
      </c>
      <c r="H111" s="10">
        <v>19</v>
      </c>
      <c r="I111" s="10">
        <v>19</v>
      </c>
      <c r="J111" s="9">
        <v>22</v>
      </c>
      <c r="K111" s="9">
        <v>13</v>
      </c>
      <c r="L111" s="9">
        <v>17</v>
      </c>
      <c r="M111" s="9">
        <v>23</v>
      </c>
      <c r="N111" s="9">
        <v>18</v>
      </c>
      <c r="O111" s="9">
        <v>8</v>
      </c>
      <c r="P111" s="9">
        <v>0</v>
      </c>
      <c r="Q111" s="9">
        <v>150</v>
      </c>
      <c r="R111" s="10">
        <v>2</v>
      </c>
      <c r="S111" s="10">
        <v>9.5</v>
      </c>
      <c r="T111" s="10" t="s">
        <v>467</v>
      </c>
      <c r="U111" s="9" t="s">
        <v>222</v>
      </c>
      <c r="V111" s="10"/>
      <c r="W111" s="24"/>
    </row>
    <row r="112" customHeight="1" spans="1:23">
      <c r="A112" s="6" t="str">
        <f>_xlfn.DISPIMG("ID_C27843DE879A4ACFBDE3195FA49A779A",1)</f>
        <v>=DISPIMG("ID_C27843DE879A4ACFBDE3195FA49A779A",1)</v>
      </c>
      <c r="B112" s="11" t="s">
        <v>471</v>
      </c>
      <c r="C112" s="11" t="s">
        <v>472</v>
      </c>
      <c r="D112" s="11" t="s">
        <v>473</v>
      </c>
      <c r="E112" s="11" t="s">
        <v>230</v>
      </c>
      <c r="F112" s="11">
        <v>11</v>
      </c>
      <c r="G112" s="12">
        <v>12.9</v>
      </c>
      <c r="H112" s="12">
        <v>11</v>
      </c>
      <c r="I112" s="12">
        <v>11</v>
      </c>
      <c r="J112" s="11">
        <v>13</v>
      </c>
      <c r="K112" s="11">
        <v>8</v>
      </c>
      <c r="L112" s="11">
        <v>10</v>
      </c>
      <c r="M112" s="11">
        <v>14</v>
      </c>
      <c r="N112" s="11">
        <v>10</v>
      </c>
      <c r="O112" s="11">
        <v>5</v>
      </c>
      <c r="P112" s="11">
        <v>0</v>
      </c>
      <c r="Q112" s="11">
        <v>150</v>
      </c>
      <c r="R112" s="12">
        <v>1.2</v>
      </c>
      <c r="S112" s="12">
        <v>9.16666666666667</v>
      </c>
      <c r="T112" s="12" t="s">
        <v>467</v>
      </c>
      <c r="U112" s="11" t="s">
        <v>222</v>
      </c>
      <c r="V112" s="12"/>
      <c r="W112" s="20"/>
    </row>
    <row r="113" customHeight="1" spans="1:23">
      <c r="A113" s="6" t="str">
        <f>_xlfn.DISPIMG("ID_5CC3342C0C2F41B69015BC7C2128D8E3",1)</f>
        <v>=DISPIMG("ID_5CC3342C0C2F41B69015BC7C2128D8E3",1)</v>
      </c>
      <c r="B113" s="13" t="s">
        <v>474</v>
      </c>
      <c r="C113" s="13" t="s">
        <v>475</v>
      </c>
      <c r="D113" s="13" t="s">
        <v>476</v>
      </c>
      <c r="E113" s="13" t="s">
        <v>237</v>
      </c>
      <c r="F113" s="13">
        <v>14</v>
      </c>
      <c r="G113" s="14">
        <v>16.4</v>
      </c>
      <c r="H113" s="14">
        <v>14</v>
      </c>
      <c r="I113" s="14">
        <v>14</v>
      </c>
      <c r="J113" s="13">
        <v>27</v>
      </c>
      <c r="K113" s="13">
        <v>16</v>
      </c>
      <c r="L113" s="13">
        <v>21</v>
      </c>
      <c r="M113" s="13">
        <v>29</v>
      </c>
      <c r="N113" s="13">
        <v>22</v>
      </c>
      <c r="O113" s="13">
        <v>10</v>
      </c>
      <c r="P113" s="13">
        <v>0</v>
      </c>
      <c r="Q113" s="13">
        <v>150</v>
      </c>
      <c r="R113" s="14">
        <v>2.5</v>
      </c>
      <c r="S113" s="14">
        <v>5.6</v>
      </c>
      <c r="T113" s="14" t="s">
        <v>467</v>
      </c>
      <c r="U113" s="13" t="s">
        <v>222</v>
      </c>
      <c r="V113" s="14"/>
      <c r="W113" s="21"/>
    </row>
    <row r="114" s="2" customFormat="1" ht="116" customHeight="1" spans="1:23">
      <c r="A114" s="15"/>
      <c r="B114" s="16" t="s">
        <v>477</v>
      </c>
      <c r="C114" s="16"/>
      <c r="D114" s="16"/>
      <c r="E114" s="16" t="s">
        <v>215</v>
      </c>
      <c r="F114" s="16">
        <v>51</v>
      </c>
      <c r="G114" s="17">
        <v>59.7</v>
      </c>
      <c r="H114" s="17">
        <v>51</v>
      </c>
      <c r="I114" s="17">
        <v>51</v>
      </c>
      <c r="J114" s="16">
        <v>70</v>
      </c>
      <c r="K114" s="16">
        <v>42</v>
      </c>
      <c r="L114" s="16">
        <v>54</v>
      </c>
      <c r="M114" s="16">
        <v>75</v>
      </c>
      <c r="N114" s="16">
        <v>57</v>
      </c>
      <c r="O114" s="16">
        <v>26</v>
      </c>
      <c r="P114" s="16">
        <v>0</v>
      </c>
      <c r="Q114" s="16">
        <v>600</v>
      </c>
      <c r="R114" s="17">
        <v>6.5</v>
      </c>
      <c r="S114" s="17">
        <v>7.84615384615385</v>
      </c>
      <c r="T114" s="17" t="s">
        <v>467</v>
      </c>
      <c r="U114" s="16" t="s">
        <v>222</v>
      </c>
      <c r="V114" s="17"/>
      <c r="W114" s="22" t="s">
        <v>478</v>
      </c>
    </row>
    <row r="115" customHeight="1" spans="1:23">
      <c r="A115" s="6" t="str">
        <f>_xlfn.DISPIMG("ID_73C59513F8114607A61225F54811205C",1)</f>
        <v>=DISPIMG("ID_73C59513F8114607A61225F54811205C",1)</v>
      </c>
      <c r="B115" s="7" t="s">
        <v>479</v>
      </c>
      <c r="C115" s="7" t="s">
        <v>480</v>
      </c>
      <c r="D115" s="7" t="s">
        <v>481</v>
      </c>
      <c r="E115" s="7" t="s">
        <v>220</v>
      </c>
      <c r="F115" s="7">
        <v>6</v>
      </c>
      <c r="G115" s="8">
        <v>7.5</v>
      </c>
      <c r="H115" s="8">
        <v>6</v>
      </c>
      <c r="I115" s="8">
        <v>6</v>
      </c>
      <c r="J115" s="7">
        <v>8</v>
      </c>
      <c r="K115" s="7">
        <v>5</v>
      </c>
      <c r="L115" s="7">
        <v>6</v>
      </c>
      <c r="M115" s="7">
        <v>9</v>
      </c>
      <c r="N115" s="7">
        <v>7</v>
      </c>
      <c r="O115" s="7">
        <v>9</v>
      </c>
      <c r="P115" s="7">
        <v>0</v>
      </c>
      <c r="Q115" s="7">
        <v>150</v>
      </c>
      <c r="R115" s="8">
        <v>0.8</v>
      </c>
      <c r="S115" s="8">
        <v>7.5</v>
      </c>
      <c r="T115" s="8" t="s">
        <v>482</v>
      </c>
      <c r="U115" s="7" t="s">
        <v>222</v>
      </c>
      <c r="V115" s="8"/>
      <c r="W115" s="18"/>
    </row>
    <row r="116" s="1" customFormat="1" customHeight="1" spans="1:23">
      <c r="A116" s="3" t="str">
        <f>_xlfn.DISPIMG("ID_CAEEDAB924CB40118055061FFC0E9826",1)</f>
        <v>=DISPIMG("ID_CAEEDAB924CB40118055061FFC0E9826",1)</v>
      </c>
      <c r="B116" s="9" t="s">
        <v>483</v>
      </c>
      <c r="C116" s="9" t="s">
        <v>484</v>
      </c>
      <c r="D116" s="9" t="s">
        <v>485</v>
      </c>
      <c r="E116" s="9" t="s">
        <v>226</v>
      </c>
      <c r="F116" s="9">
        <v>23</v>
      </c>
      <c r="G116" s="10">
        <v>28.8</v>
      </c>
      <c r="H116" s="10">
        <v>23</v>
      </c>
      <c r="I116" s="10">
        <v>23</v>
      </c>
      <c r="J116" s="9">
        <v>33</v>
      </c>
      <c r="K116" s="9">
        <v>19</v>
      </c>
      <c r="L116" s="9">
        <v>25</v>
      </c>
      <c r="M116" s="9">
        <v>35</v>
      </c>
      <c r="N116" s="9">
        <v>26</v>
      </c>
      <c r="O116" s="9">
        <v>35</v>
      </c>
      <c r="P116" s="9">
        <v>0</v>
      </c>
      <c r="Q116" s="9">
        <v>150</v>
      </c>
      <c r="R116" s="10">
        <v>3</v>
      </c>
      <c r="S116" s="10">
        <v>7.66666666666667</v>
      </c>
      <c r="T116" s="10" t="s">
        <v>482</v>
      </c>
      <c r="U116" s="9" t="s">
        <v>222</v>
      </c>
      <c r="V116" s="10"/>
      <c r="W116" s="24"/>
    </row>
    <row r="117" customHeight="1" spans="1:23">
      <c r="A117" s="6" t="str">
        <f>_xlfn.DISPIMG("ID_729134AAD7B5471BA56BFC4DD07658BD",1)</f>
        <v>=DISPIMG("ID_729134AAD7B5471BA56BFC4DD07658BD",1)</v>
      </c>
      <c r="B117" s="11" t="s">
        <v>486</v>
      </c>
      <c r="C117" s="11" t="s">
        <v>487</v>
      </c>
      <c r="D117" s="11" t="s">
        <v>488</v>
      </c>
      <c r="E117" s="11" t="s">
        <v>230</v>
      </c>
      <c r="F117" s="11">
        <v>9</v>
      </c>
      <c r="G117" s="12">
        <v>11.3</v>
      </c>
      <c r="H117" s="12">
        <v>9</v>
      </c>
      <c r="I117" s="12">
        <v>9</v>
      </c>
      <c r="J117" s="11">
        <v>13</v>
      </c>
      <c r="K117" s="11">
        <v>8</v>
      </c>
      <c r="L117" s="11">
        <v>10</v>
      </c>
      <c r="M117" s="11">
        <v>14</v>
      </c>
      <c r="N117" s="11">
        <v>10</v>
      </c>
      <c r="O117" s="11">
        <v>14</v>
      </c>
      <c r="P117" s="11">
        <v>0</v>
      </c>
      <c r="Q117" s="11">
        <v>150</v>
      </c>
      <c r="R117" s="12">
        <v>1.2</v>
      </c>
      <c r="S117" s="12">
        <v>7.5</v>
      </c>
      <c r="T117" s="12" t="s">
        <v>482</v>
      </c>
      <c r="U117" s="11" t="s">
        <v>222</v>
      </c>
      <c r="V117" s="12"/>
      <c r="W117" s="20"/>
    </row>
    <row r="118" customHeight="1" spans="1:23">
      <c r="A118" s="6" t="str">
        <f>_xlfn.DISPIMG("ID_410F359E1C4A47EFB9FFD8D27B3C94BD",1)</f>
        <v>=DISPIMG("ID_410F359E1C4A47EFB9FFD8D27B3C94BD",1)</v>
      </c>
      <c r="B118" s="13" t="s">
        <v>489</v>
      </c>
      <c r="C118" s="13" t="s">
        <v>490</v>
      </c>
      <c r="D118" s="13" t="s">
        <v>491</v>
      </c>
      <c r="E118" s="13" t="s">
        <v>237</v>
      </c>
      <c r="F118" s="13">
        <v>13</v>
      </c>
      <c r="G118" s="14">
        <v>16.3</v>
      </c>
      <c r="H118" s="14">
        <v>13</v>
      </c>
      <c r="I118" s="14">
        <v>13</v>
      </c>
      <c r="J118" s="13">
        <v>27</v>
      </c>
      <c r="K118" s="13">
        <v>16</v>
      </c>
      <c r="L118" s="13">
        <v>21</v>
      </c>
      <c r="M118" s="13">
        <v>29</v>
      </c>
      <c r="N118" s="13">
        <v>22</v>
      </c>
      <c r="O118" s="13">
        <v>29</v>
      </c>
      <c r="P118" s="13">
        <v>0</v>
      </c>
      <c r="Q118" s="13">
        <v>150</v>
      </c>
      <c r="R118" s="14">
        <v>2.5</v>
      </c>
      <c r="S118" s="14">
        <v>5.2</v>
      </c>
      <c r="T118" s="14" t="s">
        <v>482</v>
      </c>
      <c r="U118" s="13" t="s">
        <v>222</v>
      </c>
      <c r="V118" s="14"/>
      <c r="W118" s="21"/>
    </row>
    <row r="119" s="2" customFormat="1" ht="116.25" spans="1:23">
      <c r="A119" s="15" t="str">
        <f>_xlfn.DISPIMG("ID_354324C38F944567931E51CFB45EC5EF",1)</f>
        <v>=DISPIMG("ID_354324C38F944567931E51CFB45EC5EF",1)</v>
      </c>
      <c r="B119" s="16" t="s">
        <v>492</v>
      </c>
      <c r="C119" s="16"/>
      <c r="D119" s="16"/>
      <c r="E119" s="16" t="s">
        <v>215</v>
      </c>
      <c r="F119" s="16">
        <v>51</v>
      </c>
      <c r="G119" s="17">
        <v>63.9</v>
      </c>
      <c r="H119" s="17">
        <v>51</v>
      </c>
      <c r="I119" s="17">
        <v>51</v>
      </c>
      <c r="J119" s="16">
        <v>81</v>
      </c>
      <c r="K119" s="16">
        <v>48</v>
      </c>
      <c r="L119" s="16">
        <v>62</v>
      </c>
      <c r="M119" s="16">
        <v>87</v>
      </c>
      <c r="N119" s="16">
        <v>65</v>
      </c>
      <c r="O119" s="16">
        <v>87</v>
      </c>
      <c r="P119" s="16">
        <v>0</v>
      </c>
      <c r="Q119" s="16">
        <v>600</v>
      </c>
      <c r="R119" s="17">
        <v>7.5</v>
      </c>
      <c r="S119" s="17">
        <v>6.8</v>
      </c>
      <c r="T119" s="17" t="s">
        <v>482</v>
      </c>
      <c r="U119" s="16" t="s">
        <v>222</v>
      </c>
      <c r="V119" s="17"/>
      <c r="W119" s="22" t="s">
        <v>493</v>
      </c>
    </row>
    <row r="120" customHeight="1" spans="1:23">
      <c r="A120" s="6" t="str">
        <f>_xlfn.DISPIMG("ID_B243B2D560054AE0B0E0EF166305BF09",1)</f>
        <v>=DISPIMG("ID_B243B2D560054AE0B0E0EF166305BF09",1)</v>
      </c>
      <c r="B120" s="7" t="s">
        <v>494</v>
      </c>
      <c r="C120" s="7" t="s">
        <v>495</v>
      </c>
      <c r="D120" s="7" t="s">
        <v>496</v>
      </c>
      <c r="E120" s="7" t="s">
        <v>220</v>
      </c>
      <c r="F120" s="7">
        <v>14</v>
      </c>
      <c r="G120" s="8">
        <v>15.4</v>
      </c>
      <c r="H120" s="8">
        <v>15.4</v>
      </c>
      <c r="I120" s="8">
        <v>12.6</v>
      </c>
      <c r="J120" s="7">
        <v>43</v>
      </c>
      <c r="K120" s="7">
        <v>7</v>
      </c>
      <c r="L120" s="7">
        <v>17</v>
      </c>
      <c r="M120" s="7">
        <v>13</v>
      </c>
      <c r="N120" s="7">
        <v>13</v>
      </c>
      <c r="O120" s="7">
        <v>0</v>
      </c>
      <c r="P120" s="7">
        <v>0</v>
      </c>
      <c r="Q120" s="7">
        <v>250</v>
      </c>
      <c r="R120" s="8">
        <v>3</v>
      </c>
      <c r="S120" s="8">
        <v>4.2</v>
      </c>
      <c r="T120" s="8" t="s">
        <v>497</v>
      </c>
      <c r="U120" s="7" t="s">
        <v>498</v>
      </c>
      <c r="V120" s="8"/>
      <c r="W120" s="18" t="s">
        <v>499</v>
      </c>
    </row>
    <row r="121" customHeight="1" spans="1:23">
      <c r="A121" s="23" t="str">
        <f>_xlfn.DISPIMG("ID_6BE3392B8373408B827C90FA6AF959D1",1)</f>
        <v>=DISPIMG("ID_6BE3392B8373408B827C90FA6AF959D1",1)</v>
      </c>
      <c r="B121" s="9" t="s">
        <v>500</v>
      </c>
      <c r="C121" s="9" t="s">
        <v>501</v>
      </c>
      <c r="D121" s="9" t="s">
        <v>502</v>
      </c>
      <c r="E121" s="9" t="s">
        <v>226</v>
      </c>
      <c r="F121" s="9">
        <v>41</v>
      </c>
      <c r="G121" s="10">
        <v>44.3</v>
      </c>
      <c r="H121" s="10">
        <v>42.6</v>
      </c>
      <c r="I121" s="10">
        <v>41</v>
      </c>
      <c r="J121" s="9">
        <v>28</v>
      </c>
      <c r="K121" s="9">
        <v>29</v>
      </c>
      <c r="L121" s="9">
        <v>35</v>
      </c>
      <c r="M121" s="9">
        <v>49</v>
      </c>
      <c r="N121" s="9">
        <v>49</v>
      </c>
      <c r="O121" s="9">
        <v>0</v>
      </c>
      <c r="P121" s="9">
        <v>0</v>
      </c>
      <c r="Q121" s="9">
        <v>250</v>
      </c>
      <c r="R121" s="10">
        <v>4</v>
      </c>
      <c r="S121" s="10">
        <v>10.25</v>
      </c>
      <c r="T121" s="10" t="s">
        <v>497</v>
      </c>
      <c r="U121" s="9" t="s">
        <v>498</v>
      </c>
      <c r="V121" s="10"/>
      <c r="W121" s="24"/>
    </row>
    <row r="122" customHeight="1" spans="1:23">
      <c r="A122" s="6" t="str">
        <f>_xlfn.DISPIMG("ID_A557E214BE274311A297AD628D2A7CE4",1)</f>
        <v>=DISPIMG("ID_A557E214BE274311A297AD628D2A7CE4",1)</v>
      </c>
      <c r="B122" s="11" t="s">
        <v>503</v>
      </c>
      <c r="C122" s="11" t="s">
        <v>504</v>
      </c>
      <c r="D122" s="11" t="s">
        <v>382</v>
      </c>
      <c r="E122" s="11" t="s">
        <v>230</v>
      </c>
      <c r="F122" s="11">
        <v>12</v>
      </c>
      <c r="G122" s="12">
        <v>13</v>
      </c>
      <c r="H122" s="12">
        <v>12.5</v>
      </c>
      <c r="I122" s="12">
        <v>12</v>
      </c>
      <c r="J122" s="11">
        <v>16</v>
      </c>
      <c r="K122" s="11">
        <v>8</v>
      </c>
      <c r="L122" s="11">
        <v>10</v>
      </c>
      <c r="M122" s="11">
        <v>14</v>
      </c>
      <c r="N122" s="11">
        <v>14</v>
      </c>
      <c r="O122" s="11">
        <v>0</v>
      </c>
      <c r="P122" s="11">
        <v>0</v>
      </c>
      <c r="Q122" s="11">
        <v>250</v>
      </c>
      <c r="R122" s="12">
        <v>1.6</v>
      </c>
      <c r="S122" s="12">
        <v>7.5</v>
      </c>
      <c r="T122" s="12" t="s">
        <v>497</v>
      </c>
      <c r="U122" s="11" t="s">
        <v>222</v>
      </c>
      <c r="V122" s="12"/>
      <c r="W122" s="20"/>
    </row>
    <row r="123" customHeight="1" spans="1:23">
      <c r="A123" s="6" t="str">
        <f>_xlfn.DISPIMG("ID_511B9931536B49CFACE93891FE11E8C0",1)</f>
        <v>=DISPIMG("ID_511B9931536B49CFACE93891FE11E8C0",1)</v>
      </c>
      <c r="B123" s="13" t="s">
        <v>505</v>
      </c>
      <c r="C123" s="13" t="s">
        <v>506</v>
      </c>
      <c r="D123" s="13" t="s">
        <v>507</v>
      </c>
      <c r="E123" s="13" t="s">
        <v>237</v>
      </c>
      <c r="F123" s="13">
        <v>12</v>
      </c>
      <c r="G123" s="14">
        <v>13</v>
      </c>
      <c r="H123" s="14">
        <v>12.5</v>
      </c>
      <c r="I123" s="14">
        <v>12</v>
      </c>
      <c r="J123" s="13">
        <v>16</v>
      </c>
      <c r="K123" s="13">
        <v>8</v>
      </c>
      <c r="L123" s="13">
        <v>10</v>
      </c>
      <c r="M123" s="13">
        <v>14</v>
      </c>
      <c r="N123" s="13">
        <v>14</v>
      </c>
      <c r="O123" s="13">
        <v>0</v>
      </c>
      <c r="P123" s="13">
        <v>0</v>
      </c>
      <c r="Q123" s="13">
        <v>250</v>
      </c>
      <c r="R123" s="14">
        <v>1.6</v>
      </c>
      <c r="S123" s="14">
        <v>7.5</v>
      </c>
      <c r="T123" s="14" t="s">
        <v>497</v>
      </c>
      <c r="U123" s="13" t="s">
        <v>222</v>
      </c>
      <c r="V123" s="14"/>
      <c r="W123" s="21"/>
    </row>
    <row r="124" s="2" customFormat="1" ht="118.25" spans="1:23">
      <c r="A124" s="15" t="str">
        <f>_xlfn.DISPIMG("ID_BB73AE56C1184CFD8EDDCDAA33767AA1",1)</f>
        <v>=DISPIMG("ID_BB73AE56C1184CFD8EDDCDAA33767AA1",1)</v>
      </c>
      <c r="B124" s="16" t="s">
        <v>508</v>
      </c>
      <c r="C124" s="16"/>
      <c r="D124" s="16"/>
      <c r="E124" s="16" t="s">
        <v>215</v>
      </c>
      <c r="F124" s="16">
        <v>79</v>
      </c>
      <c r="G124" s="17">
        <v>85.7</v>
      </c>
      <c r="H124" s="17">
        <v>83</v>
      </c>
      <c r="I124" s="17">
        <v>77.6</v>
      </c>
      <c r="J124" s="16">
        <v>103</v>
      </c>
      <c r="K124" s="16">
        <v>52</v>
      </c>
      <c r="L124" s="16">
        <v>72</v>
      </c>
      <c r="M124" s="16">
        <v>90</v>
      </c>
      <c r="N124" s="16">
        <v>90</v>
      </c>
      <c r="O124" s="16">
        <v>0</v>
      </c>
      <c r="P124" s="16">
        <v>0</v>
      </c>
      <c r="Q124" s="16">
        <v>1000</v>
      </c>
      <c r="R124" s="17">
        <v>10.2</v>
      </c>
      <c r="S124" s="17">
        <v>7.74509803921569</v>
      </c>
      <c r="T124" s="17" t="s">
        <v>497</v>
      </c>
      <c r="U124" s="16" t="s">
        <v>222</v>
      </c>
      <c r="V124" s="17"/>
      <c r="W124" s="22" t="s">
        <v>509</v>
      </c>
    </row>
    <row r="125" customHeight="1" spans="1:23">
      <c r="A125" s="6" t="str">
        <f>_xlfn.DISPIMG("ID_1E186DD88C854AC487DFE40D9882A532",1)</f>
        <v>=DISPIMG("ID_1E186DD88C854AC487DFE40D9882A532",1)</v>
      </c>
      <c r="B125" s="7" t="s">
        <v>510</v>
      </c>
      <c r="C125" s="7" t="s">
        <v>511</v>
      </c>
      <c r="D125" s="7" t="s">
        <v>512</v>
      </c>
      <c r="E125" s="7" t="s">
        <v>220</v>
      </c>
      <c r="F125" s="7">
        <v>27</v>
      </c>
      <c r="G125" s="8">
        <v>25.7</v>
      </c>
      <c r="H125" s="8">
        <v>31.1</v>
      </c>
      <c r="I125" s="8">
        <v>27</v>
      </c>
      <c r="J125" s="7">
        <v>11</v>
      </c>
      <c r="K125" s="7">
        <v>19</v>
      </c>
      <c r="L125" s="7">
        <v>8</v>
      </c>
      <c r="M125" s="7">
        <v>17</v>
      </c>
      <c r="N125" s="7">
        <v>10</v>
      </c>
      <c r="O125" s="7">
        <v>5</v>
      </c>
      <c r="P125" s="7">
        <v>12</v>
      </c>
      <c r="Q125" s="7">
        <v>600</v>
      </c>
      <c r="R125" s="8">
        <v>6</v>
      </c>
      <c r="S125" s="8">
        <v>4.5</v>
      </c>
      <c r="T125" s="8" t="s">
        <v>513</v>
      </c>
      <c r="U125" s="7" t="s">
        <v>498</v>
      </c>
      <c r="V125" s="8"/>
      <c r="W125" s="18"/>
    </row>
    <row r="126" customHeight="1" spans="1:23">
      <c r="A126" s="3" t="str">
        <f>_xlfn.DISPIMG("ID_E61C8BCDAE3E4FD392656C70E1F758FF",1)</f>
        <v>=DISPIMG("ID_E61C8BCDAE3E4FD392656C70E1F758FF",1)</v>
      </c>
      <c r="B126" s="9" t="s">
        <v>514</v>
      </c>
      <c r="C126" s="9" t="s">
        <v>515</v>
      </c>
      <c r="D126" s="9" t="s">
        <v>516</v>
      </c>
      <c r="E126" s="9" t="s">
        <v>226</v>
      </c>
      <c r="F126" s="9">
        <v>68</v>
      </c>
      <c r="G126" s="10">
        <v>64.6</v>
      </c>
      <c r="H126" s="10">
        <v>78.2</v>
      </c>
      <c r="I126" s="10">
        <v>68</v>
      </c>
      <c r="J126" s="9">
        <v>30</v>
      </c>
      <c r="K126" s="9">
        <v>51</v>
      </c>
      <c r="L126" s="9">
        <v>21</v>
      </c>
      <c r="M126" s="9">
        <v>43</v>
      </c>
      <c r="N126" s="9">
        <v>25</v>
      </c>
      <c r="O126" s="9">
        <v>13</v>
      </c>
      <c r="P126" s="9">
        <v>31</v>
      </c>
      <c r="Q126" s="9">
        <v>600</v>
      </c>
      <c r="R126" s="10">
        <v>15.6</v>
      </c>
      <c r="S126" s="10">
        <v>4.35897435897436</v>
      </c>
      <c r="T126" s="10" t="s">
        <v>513</v>
      </c>
      <c r="U126" s="9" t="s">
        <v>498</v>
      </c>
      <c r="V126" s="10"/>
      <c r="W126" s="19"/>
    </row>
    <row r="127" customHeight="1" spans="1:23">
      <c r="A127" s="6" t="str">
        <f>_xlfn.DISPIMG("ID_3A98D2DC6B7C4234B9723876F51F39D0",1)</f>
        <v>=DISPIMG("ID_3A98D2DC6B7C4234B9723876F51F39D0",1)</v>
      </c>
      <c r="B127" s="11" t="s">
        <v>517</v>
      </c>
      <c r="C127" s="11" t="s">
        <v>518</v>
      </c>
      <c r="D127" s="11" t="s">
        <v>519</v>
      </c>
      <c r="E127" s="11" t="s">
        <v>230</v>
      </c>
      <c r="F127" s="11">
        <v>40</v>
      </c>
      <c r="G127" s="12">
        <v>38</v>
      </c>
      <c r="H127" s="12">
        <v>46</v>
      </c>
      <c r="I127" s="12">
        <v>40</v>
      </c>
      <c r="J127" s="11">
        <v>17</v>
      </c>
      <c r="K127" s="11">
        <v>30</v>
      </c>
      <c r="L127" s="11">
        <v>13</v>
      </c>
      <c r="M127" s="11">
        <v>25</v>
      </c>
      <c r="N127" s="11">
        <v>14</v>
      </c>
      <c r="O127" s="11">
        <v>8</v>
      </c>
      <c r="P127" s="11">
        <v>18</v>
      </c>
      <c r="Q127" s="11">
        <v>600</v>
      </c>
      <c r="R127" s="12">
        <v>9.2</v>
      </c>
      <c r="S127" s="12">
        <v>4.34782608695652</v>
      </c>
      <c r="T127" s="12" t="s">
        <v>513</v>
      </c>
      <c r="U127" s="11" t="s">
        <v>498</v>
      </c>
      <c r="V127" s="12"/>
      <c r="W127" s="20"/>
    </row>
    <row r="128" customHeight="1" spans="1:23">
      <c r="A128" s="6" t="str">
        <f>_xlfn.DISPIMG("ID_75A8A701B67A419DB4232AC67DA80DE5",1)</f>
        <v>=DISPIMG("ID_75A8A701B67A419DB4232AC67DA80DE5",1)</v>
      </c>
      <c r="B128" s="13" t="s">
        <v>520</v>
      </c>
      <c r="C128" s="13" t="s">
        <v>521</v>
      </c>
      <c r="D128" s="13" t="s">
        <v>522</v>
      </c>
      <c r="E128" s="13" t="s">
        <v>237</v>
      </c>
      <c r="F128" s="13">
        <v>40</v>
      </c>
      <c r="G128" s="14">
        <v>38</v>
      </c>
      <c r="H128" s="14">
        <v>46</v>
      </c>
      <c r="I128" s="14">
        <v>40</v>
      </c>
      <c r="J128" s="13">
        <v>17</v>
      </c>
      <c r="K128" s="13">
        <v>30</v>
      </c>
      <c r="L128" s="13">
        <v>13</v>
      </c>
      <c r="M128" s="13">
        <v>25</v>
      </c>
      <c r="N128" s="13">
        <v>14</v>
      </c>
      <c r="O128" s="13">
        <v>8</v>
      </c>
      <c r="P128" s="13">
        <v>18</v>
      </c>
      <c r="Q128" s="13">
        <v>600</v>
      </c>
      <c r="R128" s="14">
        <v>9.2</v>
      </c>
      <c r="S128" s="14">
        <v>4.34782608695652</v>
      </c>
      <c r="T128" s="14" t="s">
        <v>513</v>
      </c>
      <c r="U128" s="13" t="s">
        <v>498</v>
      </c>
      <c r="V128" s="14"/>
      <c r="W128" s="21"/>
    </row>
    <row r="129" s="2" customFormat="1" ht="118.25" spans="1:23">
      <c r="A129" s="15" t="str">
        <f>_xlfn.DISPIMG("ID_53BE345B2D304630907E4B21126D01BF",1)</f>
        <v>=DISPIMG("ID_53BE345B2D304630907E4B21126D01BF",1)</v>
      </c>
      <c r="B129" s="16" t="s">
        <v>523</v>
      </c>
      <c r="C129" s="16"/>
      <c r="D129" s="16"/>
      <c r="E129" s="16" t="s">
        <v>215</v>
      </c>
      <c r="F129" s="16">
        <v>175</v>
      </c>
      <c r="G129" s="17">
        <v>166.3</v>
      </c>
      <c r="H129" s="17">
        <v>201.3</v>
      </c>
      <c r="I129" s="17">
        <v>175</v>
      </c>
      <c r="J129" s="16">
        <v>75</v>
      </c>
      <c r="K129" s="16">
        <v>130</v>
      </c>
      <c r="L129" s="16">
        <v>55</v>
      </c>
      <c r="M129" s="16">
        <v>110</v>
      </c>
      <c r="N129" s="16">
        <v>63</v>
      </c>
      <c r="O129" s="16">
        <v>34</v>
      </c>
      <c r="P129" s="16">
        <v>79</v>
      </c>
      <c r="Q129" s="16">
        <v>2400</v>
      </c>
      <c r="R129" s="17">
        <v>40</v>
      </c>
      <c r="S129" s="17">
        <v>4.375</v>
      </c>
      <c r="T129" s="17" t="s">
        <v>513</v>
      </c>
      <c r="U129" s="16" t="s">
        <v>498</v>
      </c>
      <c r="V129" s="17"/>
      <c r="W129" s="22" t="s">
        <v>524</v>
      </c>
    </row>
    <row r="130" customHeight="1" spans="1:23">
      <c r="A130" s="6" t="str">
        <f>_xlfn.DISPIMG("ID_49C3AB6F89854F0CAFDA29B747244A87",1)</f>
        <v>=DISPIMG("ID_49C3AB6F89854F0CAFDA29B747244A87",1)</v>
      </c>
      <c r="B130" s="7" t="s">
        <v>525</v>
      </c>
      <c r="C130" s="7" t="s">
        <v>526</v>
      </c>
      <c r="D130" s="7" t="s">
        <v>527</v>
      </c>
      <c r="E130" s="7" t="s">
        <v>220</v>
      </c>
      <c r="F130" s="7">
        <v>22</v>
      </c>
      <c r="G130" s="8">
        <v>21.8</v>
      </c>
      <c r="H130" s="8">
        <v>25.3</v>
      </c>
      <c r="I130" s="8">
        <v>22</v>
      </c>
      <c r="J130" s="7">
        <v>12</v>
      </c>
      <c r="K130" s="7">
        <v>13</v>
      </c>
      <c r="L130" s="7">
        <v>7</v>
      </c>
      <c r="M130" s="7">
        <v>13</v>
      </c>
      <c r="N130" s="7">
        <v>9</v>
      </c>
      <c r="O130" s="7">
        <v>0</v>
      </c>
      <c r="P130" s="7">
        <v>8</v>
      </c>
      <c r="Q130" s="7">
        <v>400</v>
      </c>
      <c r="R130" s="8">
        <v>4.5</v>
      </c>
      <c r="S130" s="8">
        <v>4.88888888888889</v>
      </c>
      <c r="T130" s="8" t="s">
        <v>528</v>
      </c>
      <c r="U130" s="7" t="s">
        <v>498</v>
      </c>
      <c r="V130" s="8"/>
      <c r="W130" s="18"/>
    </row>
    <row r="131" customHeight="1" spans="1:23">
      <c r="A131" s="3" t="str">
        <f>_xlfn.DISPIMG("ID_4FD21F65FAB14BC0ADB904BB867C77BB",1)</f>
        <v>=DISPIMG("ID_4FD21F65FAB14BC0ADB904BB867C77BB",1)</v>
      </c>
      <c r="B131" s="9" t="s">
        <v>529</v>
      </c>
      <c r="C131" s="9" t="s">
        <v>530</v>
      </c>
      <c r="D131" s="9" t="s">
        <v>531</v>
      </c>
      <c r="E131" s="9" t="s">
        <v>226</v>
      </c>
      <c r="F131" s="9">
        <v>57</v>
      </c>
      <c r="G131" s="10">
        <v>56.4</v>
      </c>
      <c r="H131" s="10">
        <v>65.5</v>
      </c>
      <c r="I131" s="10">
        <v>57</v>
      </c>
      <c r="J131" s="9">
        <v>31</v>
      </c>
      <c r="K131" s="9">
        <v>37</v>
      </c>
      <c r="L131" s="9">
        <v>19</v>
      </c>
      <c r="M131" s="9">
        <v>34</v>
      </c>
      <c r="N131" s="9">
        <v>24</v>
      </c>
      <c r="O131" s="9">
        <v>0</v>
      </c>
      <c r="P131" s="9">
        <v>21</v>
      </c>
      <c r="Q131" s="9">
        <v>400</v>
      </c>
      <c r="R131" s="10">
        <v>11.7</v>
      </c>
      <c r="S131" s="10">
        <v>4.87179487179487</v>
      </c>
      <c r="T131" s="10" t="s">
        <v>528</v>
      </c>
      <c r="U131" s="9" t="s">
        <v>498</v>
      </c>
      <c r="V131" s="10"/>
      <c r="W131" s="19"/>
    </row>
    <row r="132" customHeight="1" spans="1:23">
      <c r="A132" s="6" t="str">
        <f>_xlfn.DISPIMG("ID_A785C126B3AF427C85533C9778284070",1)</f>
        <v>=DISPIMG("ID_A785C126B3AF427C85533C9778284070",1)</v>
      </c>
      <c r="B132" s="11" t="s">
        <v>532</v>
      </c>
      <c r="C132" s="11" t="s">
        <v>533</v>
      </c>
      <c r="D132" s="11" t="s">
        <v>534</v>
      </c>
      <c r="E132" s="11" t="s">
        <v>230</v>
      </c>
      <c r="F132" s="11">
        <v>34</v>
      </c>
      <c r="G132" s="12">
        <v>33.7</v>
      </c>
      <c r="H132" s="12">
        <v>39.1</v>
      </c>
      <c r="I132" s="12">
        <v>34</v>
      </c>
      <c r="J132" s="11">
        <v>18</v>
      </c>
      <c r="K132" s="11">
        <v>21</v>
      </c>
      <c r="L132" s="11">
        <v>12</v>
      </c>
      <c r="M132" s="11">
        <v>21</v>
      </c>
      <c r="N132" s="11">
        <v>13</v>
      </c>
      <c r="O132" s="11">
        <v>0</v>
      </c>
      <c r="P132" s="11">
        <v>13</v>
      </c>
      <c r="Q132" s="11">
        <v>400</v>
      </c>
      <c r="R132" s="12">
        <v>6.9</v>
      </c>
      <c r="S132" s="12">
        <v>4.92753623188406</v>
      </c>
      <c r="T132" s="12" t="s">
        <v>528</v>
      </c>
      <c r="U132" s="11" t="s">
        <v>498</v>
      </c>
      <c r="V132" s="12"/>
      <c r="W132" s="20"/>
    </row>
    <row r="133" customHeight="1" spans="1:23">
      <c r="A133" s="6" t="str">
        <f>_xlfn.DISPIMG("ID_58C193C7BF1847EEA61DDEF893BE8018",1)</f>
        <v>=DISPIMG("ID_58C193C7BF1847EEA61DDEF893BE8018",1)</v>
      </c>
      <c r="B133" s="13" t="s">
        <v>535</v>
      </c>
      <c r="C133" s="13" t="s">
        <v>536</v>
      </c>
      <c r="D133" s="13" t="s">
        <v>537</v>
      </c>
      <c r="E133" s="13" t="s">
        <v>237</v>
      </c>
      <c r="F133" s="13">
        <v>34</v>
      </c>
      <c r="G133" s="14">
        <v>33.7</v>
      </c>
      <c r="H133" s="14">
        <v>39.1</v>
      </c>
      <c r="I133" s="14">
        <v>34</v>
      </c>
      <c r="J133" s="13">
        <v>18</v>
      </c>
      <c r="K133" s="13">
        <v>21</v>
      </c>
      <c r="L133" s="13">
        <v>12</v>
      </c>
      <c r="M133" s="13">
        <v>21</v>
      </c>
      <c r="N133" s="13">
        <v>13</v>
      </c>
      <c r="O133" s="13">
        <v>0</v>
      </c>
      <c r="P133" s="13">
        <v>13</v>
      </c>
      <c r="Q133" s="13">
        <v>400</v>
      </c>
      <c r="R133" s="14">
        <v>6.9</v>
      </c>
      <c r="S133" s="14">
        <v>4.92753623188406</v>
      </c>
      <c r="T133" s="14" t="s">
        <v>528</v>
      </c>
      <c r="U133" s="13" t="s">
        <v>498</v>
      </c>
      <c r="V133" s="14"/>
      <c r="W133" s="21"/>
    </row>
    <row r="134" s="2" customFormat="1" ht="118.25" spans="1:23">
      <c r="A134" s="15" t="str">
        <f>_xlfn.DISPIMG("ID_8E4DD799E0C04C4B827474444E21C8DD",1)</f>
        <v>=DISPIMG("ID_8E4DD799E0C04C4B827474444E21C8DD",1)</v>
      </c>
      <c r="B134" s="16" t="s">
        <v>538</v>
      </c>
      <c r="C134" s="16"/>
      <c r="D134" s="16"/>
      <c r="E134" s="16" t="s">
        <v>215</v>
      </c>
      <c r="F134" s="16">
        <v>147</v>
      </c>
      <c r="G134" s="17">
        <v>145.6</v>
      </c>
      <c r="H134" s="17">
        <v>169</v>
      </c>
      <c r="I134" s="17">
        <v>147</v>
      </c>
      <c r="J134" s="16">
        <v>79</v>
      </c>
      <c r="K134" s="16">
        <v>92</v>
      </c>
      <c r="L134" s="16">
        <v>50</v>
      </c>
      <c r="M134" s="16">
        <v>89</v>
      </c>
      <c r="N134" s="16">
        <v>59</v>
      </c>
      <c r="O134" s="16">
        <v>0</v>
      </c>
      <c r="P134" s="16">
        <v>55</v>
      </c>
      <c r="Q134" s="16">
        <v>1600</v>
      </c>
      <c r="R134" s="17">
        <v>30</v>
      </c>
      <c r="S134" s="17">
        <v>4.9</v>
      </c>
      <c r="T134" s="17" t="s">
        <v>528</v>
      </c>
      <c r="U134" s="16" t="s">
        <v>498</v>
      </c>
      <c r="V134" s="17"/>
      <c r="W134" s="22" t="s">
        <v>539</v>
      </c>
    </row>
    <row r="135" customHeight="1" spans="1:23">
      <c r="A135" s="6" t="str">
        <f>_xlfn.DISPIMG("ID_DE6960E35B9C46D480C44A109DC60242",1)</f>
        <v>=DISPIMG("ID_DE6960E35B9C46D480C44A109DC60242",1)</v>
      </c>
      <c r="B135" s="7" t="s">
        <v>540</v>
      </c>
      <c r="C135" s="7" t="s">
        <v>541</v>
      </c>
      <c r="D135" s="7" t="s">
        <v>542</v>
      </c>
      <c r="E135" s="7" t="s">
        <v>220</v>
      </c>
      <c r="F135" s="7">
        <v>12</v>
      </c>
      <c r="G135" s="8">
        <v>13.2</v>
      </c>
      <c r="H135" s="8">
        <v>12</v>
      </c>
      <c r="I135" s="8">
        <v>12</v>
      </c>
      <c r="J135" s="7">
        <v>12</v>
      </c>
      <c r="K135" s="7">
        <v>7</v>
      </c>
      <c r="L135" s="7">
        <v>9</v>
      </c>
      <c r="M135" s="7">
        <v>8</v>
      </c>
      <c r="N135" s="7">
        <v>8</v>
      </c>
      <c r="O135" s="7">
        <v>8</v>
      </c>
      <c r="P135" s="7">
        <v>0</v>
      </c>
      <c r="Q135" s="7">
        <v>400</v>
      </c>
      <c r="R135" s="8">
        <v>1.5</v>
      </c>
      <c r="S135" s="8">
        <v>8</v>
      </c>
      <c r="T135" s="8" t="s">
        <v>543</v>
      </c>
      <c r="U135" s="7" t="s">
        <v>498</v>
      </c>
      <c r="V135" s="8"/>
      <c r="W135" s="18"/>
    </row>
    <row r="136" s="1" customFormat="1" customHeight="1" spans="1:23">
      <c r="A136" s="23" t="str">
        <f>_xlfn.DISPIMG("ID_09615646BB4C4A4CB2009B7037B4DE22",1)</f>
        <v>=DISPIMG("ID_09615646BB4C4A4CB2009B7037B4DE22",1)</v>
      </c>
      <c r="B136" s="9" t="s">
        <v>544</v>
      </c>
      <c r="C136" s="9" t="s">
        <v>545</v>
      </c>
      <c r="D136" s="9" t="s">
        <v>546</v>
      </c>
      <c r="E136" s="9" t="s">
        <v>226</v>
      </c>
      <c r="F136" s="9">
        <v>32</v>
      </c>
      <c r="G136" s="10">
        <v>35.2</v>
      </c>
      <c r="H136" s="10">
        <v>32</v>
      </c>
      <c r="I136" s="10">
        <v>32</v>
      </c>
      <c r="J136" s="9">
        <v>33</v>
      </c>
      <c r="K136" s="9">
        <v>19</v>
      </c>
      <c r="L136" s="9">
        <v>24</v>
      </c>
      <c r="M136" s="9">
        <v>21</v>
      </c>
      <c r="N136" s="9">
        <v>21</v>
      </c>
      <c r="O136" s="9">
        <v>21</v>
      </c>
      <c r="P136" s="9">
        <v>0</v>
      </c>
      <c r="Q136" s="9">
        <v>400</v>
      </c>
      <c r="R136" s="10">
        <v>3.9</v>
      </c>
      <c r="S136" s="10">
        <v>8.20512820512821</v>
      </c>
      <c r="T136" s="10" t="s">
        <v>543</v>
      </c>
      <c r="U136" s="9" t="s">
        <v>498</v>
      </c>
      <c r="V136" s="10"/>
      <c r="W136" s="19"/>
    </row>
    <row r="137" customHeight="1" spans="1:23">
      <c r="A137" s="6" t="str">
        <f>_xlfn.DISPIMG("ID_143A96183D54467FA152E83D39B19B79",1)</f>
        <v>=DISPIMG("ID_143A96183D54467FA152E83D39B19B79",1)</v>
      </c>
      <c r="B137" s="11" t="s">
        <v>547</v>
      </c>
      <c r="C137" s="11" t="s">
        <v>548</v>
      </c>
      <c r="D137" s="11" t="s">
        <v>549</v>
      </c>
      <c r="E137" s="11" t="s">
        <v>230</v>
      </c>
      <c r="F137" s="11">
        <v>7</v>
      </c>
      <c r="G137" s="12">
        <v>7.7</v>
      </c>
      <c r="H137" s="12">
        <v>7</v>
      </c>
      <c r="I137" s="12">
        <v>7</v>
      </c>
      <c r="J137" s="11">
        <v>7</v>
      </c>
      <c r="K137" s="11">
        <v>4</v>
      </c>
      <c r="L137" s="11">
        <v>5</v>
      </c>
      <c r="M137" s="11">
        <v>4</v>
      </c>
      <c r="N137" s="11">
        <v>4</v>
      </c>
      <c r="O137" s="11">
        <v>4</v>
      </c>
      <c r="P137" s="11">
        <v>0</v>
      </c>
      <c r="Q137" s="11">
        <v>400</v>
      </c>
      <c r="R137" s="12">
        <v>0.8</v>
      </c>
      <c r="S137" s="12">
        <v>8.75</v>
      </c>
      <c r="T137" s="12" t="s">
        <v>543</v>
      </c>
      <c r="U137" s="11" t="s">
        <v>498</v>
      </c>
      <c r="V137" s="12"/>
      <c r="W137" s="20"/>
    </row>
    <row r="138" customHeight="1" spans="1:23">
      <c r="A138" s="6" t="str">
        <f>_xlfn.DISPIMG("ID_2654D4A952D447D2BD8F0BCD80012851",1)</f>
        <v>=DISPIMG("ID_2654D4A952D447D2BD8F0BCD80012851",1)</v>
      </c>
      <c r="B138" s="13" t="s">
        <v>550</v>
      </c>
      <c r="C138" s="13" t="s">
        <v>551</v>
      </c>
      <c r="D138" s="13" t="s">
        <v>552</v>
      </c>
      <c r="E138" s="13" t="s">
        <v>237</v>
      </c>
      <c r="F138" s="13">
        <v>29</v>
      </c>
      <c r="G138" s="14">
        <v>31.9</v>
      </c>
      <c r="H138" s="14">
        <v>29</v>
      </c>
      <c r="I138" s="14">
        <v>29</v>
      </c>
      <c r="J138" s="13">
        <v>29</v>
      </c>
      <c r="K138" s="13">
        <v>17</v>
      </c>
      <c r="L138" s="13">
        <v>21</v>
      </c>
      <c r="M138" s="13">
        <v>19</v>
      </c>
      <c r="N138" s="13">
        <v>19</v>
      </c>
      <c r="O138" s="13">
        <v>19</v>
      </c>
      <c r="P138" s="13">
        <v>0</v>
      </c>
      <c r="Q138" s="13">
        <v>400</v>
      </c>
      <c r="R138" s="14">
        <v>3.5</v>
      </c>
      <c r="S138" s="14">
        <v>8.28571428571429</v>
      </c>
      <c r="T138" s="14" t="s">
        <v>543</v>
      </c>
      <c r="U138" s="13" t="s">
        <v>498</v>
      </c>
      <c r="V138" s="14"/>
      <c r="W138" s="21"/>
    </row>
    <row r="139" s="2" customFormat="1" ht="118.25" spans="1:23">
      <c r="A139" s="15" t="str">
        <f>_xlfn.DISPIMG("ID_4740CCD9621F4C4EB6F1E18AD04B9A71",1)</f>
        <v>=DISPIMG("ID_4740CCD9621F4C4EB6F1E18AD04B9A71",1)</v>
      </c>
      <c r="B139" s="16" t="s">
        <v>553</v>
      </c>
      <c r="C139" s="16"/>
      <c r="D139" s="16"/>
      <c r="E139" s="16" t="s">
        <v>215</v>
      </c>
      <c r="F139" s="16">
        <v>80</v>
      </c>
      <c r="G139" s="17">
        <v>88</v>
      </c>
      <c r="H139" s="17">
        <v>80</v>
      </c>
      <c r="I139" s="17">
        <v>80</v>
      </c>
      <c r="J139" s="16">
        <v>81</v>
      </c>
      <c r="K139" s="16">
        <v>47</v>
      </c>
      <c r="L139" s="16">
        <v>59</v>
      </c>
      <c r="M139" s="16">
        <v>52</v>
      </c>
      <c r="N139" s="16">
        <v>52</v>
      </c>
      <c r="O139" s="16">
        <v>52</v>
      </c>
      <c r="P139" s="16">
        <v>0</v>
      </c>
      <c r="Q139" s="16">
        <v>1600</v>
      </c>
      <c r="R139" s="17">
        <v>9.7</v>
      </c>
      <c r="S139" s="17">
        <v>8.24742268041237</v>
      </c>
      <c r="T139" s="17" t="s">
        <v>543</v>
      </c>
      <c r="U139" s="16" t="s">
        <v>498</v>
      </c>
      <c r="V139" s="17"/>
      <c r="W139" s="22" t="s">
        <v>554</v>
      </c>
    </row>
    <row r="140" customHeight="1" spans="1:23">
      <c r="A140" s="6" t="str">
        <f>_xlfn.DISPIMG("ID_ABD559CF22F54EF8B14B32D654AA6A19",1)</f>
        <v>=DISPIMG("ID_ABD559CF22F54EF8B14B32D654AA6A19",1)</v>
      </c>
      <c r="B140" s="7" t="s">
        <v>555</v>
      </c>
      <c r="C140" s="7" t="s">
        <v>556</v>
      </c>
      <c r="D140" s="7" t="s">
        <v>557</v>
      </c>
      <c r="E140" s="7" t="s">
        <v>220</v>
      </c>
      <c r="F140" s="7">
        <v>9</v>
      </c>
      <c r="G140" s="8">
        <v>10</v>
      </c>
      <c r="H140" s="8">
        <v>9</v>
      </c>
      <c r="I140" s="8">
        <v>9</v>
      </c>
      <c r="J140" s="7">
        <v>12</v>
      </c>
      <c r="K140" s="7">
        <v>6</v>
      </c>
      <c r="L140" s="7">
        <v>7</v>
      </c>
      <c r="M140" s="7">
        <v>10</v>
      </c>
      <c r="N140" s="7">
        <v>10</v>
      </c>
      <c r="O140" s="7">
        <v>11</v>
      </c>
      <c r="P140" s="7">
        <v>0</v>
      </c>
      <c r="Q140" s="7">
        <v>250</v>
      </c>
      <c r="R140" s="8">
        <v>1.1</v>
      </c>
      <c r="S140" s="8">
        <v>8.18181818181818</v>
      </c>
      <c r="T140" s="8" t="s">
        <v>558</v>
      </c>
      <c r="U140" s="7" t="s">
        <v>498</v>
      </c>
      <c r="V140" s="8"/>
      <c r="W140" s="18"/>
    </row>
    <row r="141" s="1" customFormat="1" customHeight="1" spans="1:23">
      <c r="A141" s="23" t="str">
        <f>_xlfn.DISPIMG("ID_BCF993CBC92E44F4AE67DB0E63637BE3",1)</f>
        <v>=DISPIMG("ID_BCF993CBC92E44F4AE67DB0E63637BE3",1)</v>
      </c>
      <c r="B141" s="9" t="s">
        <v>559</v>
      </c>
      <c r="C141" s="9" t="s">
        <v>560</v>
      </c>
      <c r="D141" s="9" t="s">
        <v>561</v>
      </c>
      <c r="E141" s="9" t="s">
        <v>226</v>
      </c>
      <c r="F141" s="9">
        <v>33</v>
      </c>
      <c r="G141" s="10">
        <v>36.6</v>
      </c>
      <c r="H141" s="10">
        <v>33</v>
      </c>
      <c r="I141" s="10">
        <v>33</v>
      </c>
      <c r="J141" s="9">
        <v>43</v>
      </c>
      <c r="K141" s="9">
        <v>20</v>
      </c>
      <c r="L141" s="9">
        <v>26</v>
      </c>
      <c r="M141" s="9">
        <v>36</v>
      </c>
      <c r="N141" s="9">
        <v>36</v>
      </c>
      <c r="O141" s="9">
        <v>12</v>
      </c>
      <c r="P141" s="9">
        <v>0</v>
      </c>
      <c r="Q141" s="9">
        <v>250</v>
      </c>
      <c r="R141" s="10">
        <v>4</v>
      </c>
      <c r="S141" s="10">
        <v>8.25</v>
      </c>
      <c r="T141" s="10" t="s">
        <v>558</v>
      </c>
      <c r="U141" s="9" t="s">
        <v>498</v>
      </c>
      <c r="V141" s="10"/>
      <c r="W141" s="24"/>
    </row>
    <row r="142" customHeight="1" spans="1:23">
      <c r="A142" s="6" t="str">
        <f>_xlfn.DISPIMG("ID_A767690E8BB54983B503AC93EC3BEE76",1)</f>
        <v>=DISPIMG("ID_A767690E8BB54983B503AC93EC3BEE76",1)</v>
      </c>
      <c r="B142" s="11" t="s">
        <v>562</v>
      </c>
      <c r="C142" s="11" t="s">
        <v>563</v>
      </c>
      <c r="D142" s="11" t="s">
        <v>564</v>
      </c>
      <c r="E142" s="11" t="s">
        <v>230</v>
      </c>
      <c r="F142" s="11">
        <v>14</v>
      </c>
      <c r="G142" s="12">
        <v>15.5</v>
      </c>
      <c r="H142" s="12">
        <v>14</v>
      </c>
      <c r="I142" s="12">
        <v>14</v>
      </c>
      <c r="J142" s="11">
        <v>18</v>
      </c>
      <c r="K142" s="11">
        <v>9</v>
      </c>
      <c r="L142" s="11">
        <v>11</v>
      </c>
      <c r="M142" s="11">
        <v>16</v>
      </c>
      <c r="N142" s="11">
        <v>16</v>
      </c>
      <c r="O142" s="11">
        <v>6</v>
      </c>
      <c r="P142" s="11">
        <v>0</v>
      </c>
      <c r="Q142" s="11">
        <v>250</v>
      </c>
      <c r="R142" s="12">
        <v>1.7</v>
      </c>
      <c r="S142" s="12">
        <v>8.23529411764706</v>
      </c>
      <c r="T142" s="12" t="s">
        <v>558</v>
      </c>
      <c r="U142" s="11" t="s">
        <v>498</v>
      </c>
      <c r="V142" s="12"/>
      <c r="W142" s="20"/>
    </row>
    <row r="143" customHeight="1" spans="1:23">
      <c r="A143" s="6" t="str">
        <f>_xlfn.DISPIMG("ID_9E252838687F472D81251ACF6FA2BBB0",1)</f>
        <v>=DISPIMG("ID_9E252838687F472D81251ACF6FA2BBB0",1)</v>
      </c>
      <c r="B143" s="13" t="s">
        <v>565</v>
      </c>
      <c r="C143" s="13" t="s">
        <v>566</v>
      </c>
      <c r="D143" s="13" t="s">
        <v>567</v>
      </c>
      <c r="E143" s="13" t="s">
        <v>237</v>
      </c>
      <c r="F143" s="13">
        <v>17</v>
      </c>
      <c r="G143" s="14">
        <v>18.9</v>
      </c>
      <c r="H143" s="14">
        <v>17</v>
      </c>
      <c r="I143" s="14">
        <v>17</v>
      </c>
      <c r="J143" s="13">
        <v>27</v>
      </c>
      <c r="K143" s="13">
        <v>12</v>
      </c>
      <c r="L143" s="13">
        <v>17</v>
      </c>
      <c r="M143" s="13">
        <v>23</v>
      </c>
      <c r="N143" s="13">
        <v>28</v>
      </c>
      <c r="O143" s="13">
        <v>8</v>
      </c>
      <c r="P143" s="13">
        <v>0</v>
      </c>
      <c r="Q143" s="13">
        <v>250</v>
      </c>
      <c r="R143" s="14">
        <v>2.5</v>
      </c>
      <c r="S143" s="14">
        <v>6.8</v>
      </c>
      <c r="T143" s="14" t="s">
        <v>558</v>
      </c>
      <c r="U143" s="13" t="s">
        <v>498</v>
      </c>
      <c r="V143" s="14"/>
      <c r="W143" s="21"/>
    </row>
    <row r="144" s="2" customFormat="1" ht="103.55" spans="1:23">
      <c r="A144" s="15" t="str">
        <f>_xlfn.DISPIMG("ID_E34D45D8BB264DB7AAD57EA1BE452BC7",1)</f>
        <v>=DISPIMG("ID_E34D45D8BB264DB7AAD57EA1BE452BC7",1)</v>
      </c>
      <c r="B144" s="16" t="s">
        <v>568</v>
      </c>
      <c r="C144" s="16"/>
      <c r="D144" s="16"/>
      <c r="E144" s="16" t="s">
        <v>215</v>
      </c>
      <c r="F144" s="16">
        <v>73</v>
      </c>
      <c r="G144" s="17">
        <v>81</v>
      </c>
      <c r="H144" s="17">
        <v>73</v>
      </c>
      <c r="I144" s="17">
        <v>73</v>
      </c>
      <c r="J144" s="16">
        <v>100</v>
      </c>
      <c r="K144" s="16">
        <v>47</v>
      </c>
      <c r="L144" s="16">
        <v>61</v>
      </c>
      <c r="M144" s="16">
        <v>85</v>
      </c>
      <c r="N144" s="16">
        <v>90</v>
      </c>
      <c r="O144" s="16">
        <v>37</v>
      </c>
      <c r="P144" s="16">
        <v>0</v>
      </c>
      <c r="Q144" s="16">
        <v>1000</v>
      </c>
      <c r="R144" s="17">
        <v>9.3</v>
      </c>
      <c r="S144" s="17">
        <v>7.8494623655914</v>
      </c>
      <c r="T144" s="17" t="s">
        <v>558</v>
      </c>
      <c r="U144" s="16" t="s">
        <v>498</v>
      </c>
      <c r="V144" s="17"/>
      <c r="W144" s="22" t="s">
        <v>569</v>
      </c>
    </row>
    <row r="145" customHeight="1" spans="1:23">
      <c r="A145" s="6" t="str">
        <f>_xlfn.DISPIMG("ID_3A20DCAABE664C2285F48CFC78F4786D",1)</f>
        <v>=DISPIMG("ID_3A20DCAABE664C2285F48CFC78F4786D",1)</v>
      </c>
      <c r="B145" s="7" t="s">
        <v>570</v>
      </c>
      <c r="C145" s="7" t="s">
        <v>571</v>
      </c>
      <c r="D145" s="7" t="s">
        <v>572</v>
      </c>
      <c r="E145" s="7" t="s">
        <v>220</v>
      </c>
      <c r="F145" s="7">
        <v>12</v>
      </c>
      <c r="G145" s="8">
        <v>13.1</v>
      </c>
      <c r="H145" s="8">
        <v>12</v>
      </c>
      <c r="I145" s="8">
        <v>12</v>
      </c>
      <c r="J145" s="7">
        <v>12</v>
      </c>
      <c r="K145" s="7">
        <v>10</v>
      </c>
      <c r="L145" s="7">
        <v>7</v>
      </c>
      <c r="M145" s="7">
        <v>9</v>
      </c>
      <c r="N145" s="7">
        <v>9</v>
      </c>
      <c r="O145" s="7">
        <v>20</v>
      </c>
      <c r="P145" s="7">
        <v>0</v>
      </c>
      <c r="Q145" s="7">
        <v>400</v>
      </c>
      <c r="R145" s="8">
        <v>2.5</v>
      </c>
      <c r="S145" s="8">
        <v>4.8</v>
      </c>
      <c r="T145" s="8" t="s">
        <v>573</v>
      </c>
      <c r="U145" s="7" t="s">
        <v>498</v>
      </c>
      <c r="V145" s="8"/>
      <c r="W145" s="18"/>
    </row>
    <row r="146" s="1" customFormat="1" customHeight="1" spans="1:23">
      <c r="A146" s="23" t="str">
        <f>_xlfn.DISPIMG("ID_19E1FD26F8B24761A30436C008405838",1)</f>
        <v>=DISPIMG("ID_19E1FD26F8B24761A30436C008405838",1)</v>
      </c>
      <c r="B146" s="9" t="s">
        <v>574</v>
      </c>
      <c r="C146" s="9" t="s">
        <v>575</v>
      </c>
      <c r="D146" s="9" t="s">
        <v>576</v>
      </c>
      <c r="E146" s="9" t="s">
        <v>226</v>
      </c>
      <c r="F146" s="9">
        <v>23</v>
      </c>
      <c r="G146" s="10">
        <v>25.1</v>
      </c>
      <c r="H146" s="10">
        <v>23</v>
      </c>
      <c r="I146" s="10">
        <v>23</v>
      </c>
      <c r="J146" s="9">
        <v>29</v>
      </c>
      <c r="K146" s="9">
        <v>25</v>
      </c>
      <c r="L146" s="9">
        <v>19</v>
      </c>
      <c r="M146" s="9">
        <v>22</v>
      </c>
      <c r="N146" s="9">
        <v>22</v>
      </c>
      <c r="O146" s="9">
        <v>13</v>
      </c>
      <c r="P146" s="9">
        <v>0</v>
      </c>
      <c r="Q146" s="9">
        <v>400</v>
      </c>
      <c r="R146" s="10">
        <v>3.9</v>
      </c>
      <c r="S146" s="10">
        <v>5.8974358974359</v>
      </c>
      <c r="T146" s="10" t="s">
        <v>573</v>
      </c>
      <c r="U146" s="9" t="s">
        <v>498</v>
      </c>
      <c r="V146" s="10"/>
      <c r="W146" s="24"/>
    </row>
    <row r="147" customHeight="1" spans="1:23">
      <c r="A147" s="6" t="str">
        <f>_xlfn.DISPIMG("ID_7F3301D401A14C288C9D2031A3346501",1)</f>
        <v>=DISPIMG("ID_7F3301D401A14C288C9D2031A3346501",1)</v>
      </c>
      <c r="B147" s="11" t="s">
        <v>577</v>
      </c>
      <c r="C147" s="11" t="s">
        <v>578</v>
      </c>
      <c r="D147" s="11" t="s">
        <v>579</v>
      </c>
      <c r="E147" s="11" t="s">
        <v>230</v>
      </c>
      <c r="F147" s="11">
        <v>11</v>
      </c>
      <c r="G147" s="12">
        <v>12</v>
      </c>
      <c r="H147" s="12">
        <v>11</v>
      </c>
      <c r="I147" s="12">
        <v>11</v>
      </c>
      <c r="J147" s="11">
        <v>14</v>
      </c>
      <c r="K147" s="11">
        <v>11</v>
      </c>
      <c r="L147" s="11">
        <v>9</v>
      </c>
      <c r="M147" s="11">
        <v>10</v>
      </c>
      <c r="N147" s="11">
        <v>10</v>
      </c>
      <c r="O147" s="11">
        <v>5</v>
      </c>
      <c r="P147" s="11">
        <v>0</v>
      </c>
      <c r="Q147" s="11">
        <v>400</v>
      </c>
      <c r="R147" s="12">
        <v>1.8</v>
      </c>
      <c r="S147" s="12">
        <v>6.11111111111111</v>
      </c>
      <c r="T147" s="12" t="s">
        <v>573</v>
      </c>
      <c r="U147" s="11" t="s">
        <v>498</v>
      </c>
      <c r="V147" s="12"/>
      <c r="W147" s="20"/>
    </row>
    <row r="148" s="1" customFormat="1" customHeight="1" spans="1:23">
      <c r="A148" s="6" t="str">
        <f>_xlfn.DISPIMG("ID_14C8A3E6D86A482CBCF4A92118BB158E",1)</f>
        <v>=DISPIMG("ID_14C8A3E6D86A482CBCF4A92118BB158E",1)</v>
      </c>
      <c r="B148" s="13" t="s">
        <v>580</v>
      </c>
      <c r="C148" s="13" t="s">
        <v>581</v>
      </c>
      <c r="D148" s="13" t="s">
        <v>582</v>
      </c>
      <c r="E148" s="13" t="s">
        <v>237</v>
      </c>
      <c r="F148" s="13">
        <v>16</v>
      </c>
      <c r="G148" s="14">
        <v>17.4</v>
      </c>
      <c r="H148" s="14">
        <v>16</v>
      </c>
      <c r="I148" s="14">
        <v>16</v>
      </c>
      <c r="J148" s="13">
        <v>22</v>
      </c>
      <c r="K148" s="13">
        <v>17</v>
      </c>
      <c r="L148" s="13">
        <v>13</v>
      </c>
      <c r="M148" s="13">
        <v>15</v>
      </c>
      <c r="N148" s="13">
        <v>15</v>
      </c>
      <c r="O148" s="13">
        <v>9</v>
      </c>
      <c r="P148" s="13">
        <v>0</v>
      </c>
      <c r="Q148" s="13">
        <v>400</v>
      </c>
      <c r="R148" s="14">
        <v>2.8</v>
      </c>
      <c r="S148" s="14">
        <v>5.71428571428571</v>
      </c>
      <c r="T148" s="14" t="s">
        <v>573</v>
      </c>
      <c r="U148" s="13" t="s">
        <v>498</v>
      </c>
      <c r="V148" s="14"/>
      <c r="W148" s="21"/>
    </row>
    <row r="149" s="2" customFormat="1" ht="108.55" spans="1:23">
      <c r="A149" s="15" t="str">
        <f>_xlfn.DISPIMG("ID_9793C0779DE04492B6D53A22D5AC2D79",1)</f>
        <v>=DISPIMG("ID_9793C0779DE04492B6D53A22D5AC2D79",1)</v>
      </c>
      <c r="B149" s="16" t="s">
        <v>583</v>
      </c>
      <c r="C149" s="16"/>
      <c r="D149" s="16"/>
      <c r="E149" s="16" t="s">
        <v>215</v>
      </c>
      <c r="F149" s="16">
        <v>62</v>
      </c>
      <c r="G149" s="17">
        <v>67.6</v>
      </c>
      <c r="H149" s="17">
        <v>62</v>
      </c>
      <c r="I149" s="17">
        <v>62</v>
      </c>
      <c r="J149" s="16">
        <v>77</v>
      </c>
      <c r="K149" s="16">
        <v>63</v>
      </c>
      <c r="L149" s="16">
        <v>48</v>
      </c>
      <c r="M149" s="16">
        <v>56</v>
      </c>
      <c r="N149" s="16">
        <v>56</v>
      </c>
      <c r="O149" s="16">
        <v>47</v>
      </c>
      <c r="P149" s="16">
        <v>0</v>
      </c>
      <c r="Q149" s="16">
        <v>1600</v>
      </c>
      <c r="R149" s="17">
        <v>11</v>
      </c>
      <c r="S149" s="17">
        <v>5.63636363636364</v>
      </c>
      <c r="T149" s="17" t="s">
        <v>573</v>
      </c>
      <c r="U149" s="16" t="s">
        <v>498</v>
      </c>
      <c r="V149" s="17"/>
      <c r="W149" s="22" t="s">
        <v>584</v>
      </c>
    </row>
    <row r="150" s="1" customFormat="1" customHeight="1" spans="1:23">
      <c r="A150" s="6" t="str">
        <f>_xlfn.DISPIMG("ID_DC95E7B665974B3FAED5E5B5125AAE6A",1)</f>
        <v>=DISPIMG("ID_DC95E7B665974B3FAED5E5B5125AAE6A",1)</v>
      </c>
      <c r="B150" s="7" t="s">
        <v>585</v>
      </c>
      <c r="C150" s="7" t="s">
        <v>586</v>
      </c>
      <c r="D150" s="7" t="s">
        <v>587</v>
      </c>
      <c r="E150" s="7" t="s">
        <v>220</v>
      </c>
      <c r="F150" s="7">
        <v>17</v>
      </c>
      <c r="G150" s="8">
        <v>16.2</v>
      </c>
      <c r="H150" s="8">
        <v>21.1</v>
      </c>
      <c r="I150" s="8">
        <v>16.5</v>
      </c>
      <c r="J150" s="7">
        <v>6</v>
      </c>
      <c r="K150" s="7">
        <v>12</v>
      </c>
      <c r="L150" s="7">
        <v>7</v>
      </c>
      <c r="M150" s="7">
        <v>15</v>
      </c>
      <c r="N150" s="7">
        <v>11</v>
      </c>
      <c r="O150" s="7">
        <v>0</v>
      </c>
      <c r="P150" s="7">
        <v>8</v>
      </c>
      <c r="Q150" s="7">
        <v>450</v>
      </c>
      <c r="R150" s="8">
        <v>4.7</v>
      </c>
      <c r="S150" s="8">
        <v>3.51063829787234</v>
      </c>
      <c r="T150" s="8" t="s">
        <v>588</v>
      </c>
      <c r="U150" s="7" t="s">
        <v>498</v>
      </c>
      <c r="V150" s="8"/>
      <c r="W150" s="18"/>
    </row>
    <row r="151" customHeight="1" spans="1:23">
      <c r="A151" s="3" t="str">
        <f>_xlfn.DISPIMG("ID_13DA06BB08CD46A6A839992263C36380",1)</f>
        <v>=DISPIMG("ID_13DA06BB08CD46A6A839992263C36380",1)</v>
      </c>
      <c r="B151" s="9" t="s">
        <v>589</v>
      </c>
      <c r="C151" s="9" t="s">
        <v>590</v>
      </c>
      <c r="D151" s="9" t="s">
        <v>591</v>
      </c>
      <c r="E151" s="9" t="s">
        <v>226</v>
      </c>
      <c r="F151" s="9">
        <v>45</v>
      </c>
      <c r="G151" s="10">
        <v>42.8</v>
      </c>
      <c r="H151" s="10">
        <v>55.8</v>
      </c>
      <c r="I151" s="10">
        <v>43.6</v>
      </c>
      <c r="J151" s="9">
        <v>15</v>
      </c>
      <c r="K151" s="9">
        <v>33</v>
      </c>
      <c r="L151" s="9">
        <v>18</v>
      </c>
      <c r="M151" s="9">
        <v>38</v>
      </c>
      <c r="N151" s="9">
        <v>28</v>
      </c>
      <c r="O151" s="9">
        <v>0</v>
      </c>
      <c r="P151" s="9">
        <v>20</v>
      </c>
      <c r="Q151" s="9">
        <v>450</v>
      </c>
      <c r="R151" s="10">
        <v>12.3</v>
      </c>
      <c r="S151" s="10">
        <v>3.54471544715447</v>
      </c>
      <c r="T151" s="10" t="s">
        <v>588</v>
      </c>
      <c r="U151" s="9" t="s">
        <v>498</v>
      </c>
      <c r="V151" s="10"/>
      <c r="W151" s="19"/>
    </row>
    <row r="152" customHeight="1" spans="1:23">
      <c r="A152" s="6" t="str">
        <f>_xlfn.DISPIMG("ID_2A859551382F4020B69D7F9900386F1C",1)</f>
        <v>=DISPIMG("ID_2A859551382F4020B69D7F9900386F1C",1)</v>
      </c>
      <c r="B152" s="11" t="s">
        <v>592</v>
      </c>
      <c r="C152" s="11" t="s">
        <v>593</v>
      </c>
      <c r="D152" s="11" t="s">
        <v>594</v>
      </c>
      <c r="E152" s="11" t="s">
        <v>230</v>
      </c>
      <c r="F152" s="11">
        <v>6</v>
      </c>
      <c r="G152" s="12">
        <v>5.7</v>
      </c>
      <c r="H152" s="12">
        <v>7.4</v>
      </c>
      <c r="I152" s="12">
        <v>5.8</v>
      </c>
      <c r="J152" s="11">
        <v>1</v>
      </c>
      <c r="K152" s="11">
        <v>4</v>
      </c>
      <c r="L152" s="11">
        <v>2</v>
      </c>
      <c r="M152" s="11">
        <v>5</v>
      </c>
      <c r="N152" s="11">
        <v>4</v>
      </c>
      <c r="O152" s="11">
        <v>0</v>
      </c>
      <c r="P152" s="11">
        <v>2</v>
      </c>
      <c r="Q152" s="11">
        <v>450</v>
      </c>
      <c r="R152" s="12">
        <v>1.5</v>
      </c>
      <c r="S152" s="12">
        <v>3.86666666666667</v>
      </c>
      <c r="T152" s="12" t="s">
        <v>588</v>
      </c>
      <c r="U152" s="11" t="s">
        <v>498</v>
      </c>
      <c r="V152" s="12"/>
      <c r="W152" s="20"/>
    </row>
    <row r="153" customHeight="1" spans="1:23">
      <c r="A153" s="6" t="str">
        <f>_xlfn.DISPIMG("ID_C77D9F9C525E4346B7C51B273C2F6399",1)</f>
        <v>=DISPIMG("ID_C77D9F9C525E4346B7C51B273C2F6399",1)</v>
      </c>
      <c r="B153" s="13" t="s">
        <v>595</v>
      </c>
      <c r="C153" s="13" t="s">
        <v>596</v>
      </c>
      <c r="D153" s="13" t="s">
        <v>597</v>
      </c>
      <c r="E153" s="13" t="s">
        <v>237</v>
      </c>
      <c r="F153" s="13">
        <v>15</v>
      </c>
      <c r="G153" s="14">
        <v>14.3</v>
      </c>
      <c r="H153" s="14">
        <v>18.6</v>
      </c>
      <c r="I153" s="14">
        <v>14.6</v>
      </c>
      <c r="J153" s="13">
        <v>5</v>
      </c>
      <c r="K153" s="13">
        <v>11</v>
      </c>
      <c r="L153" s="13">
        <v>6</v>
      </c>
      <c r="M153" s="13">
        <v>12</v>
      </c>
      <c r="N153" s="13">
        <v>10</v>
      </c>
      <c r="O153" s="13">
        <v>0</v>
      </c>
      <c r="P153" s="13">
        <v>6</v>
      </c>
      <c r="Q153" s="13">
        <v>450</v>
      </c>
      <c r="R153" s="14">
        <v>4</v>
      </c>
      <c r="S153" s="14">
        <v>3.65</v>
      </c>
      <c r="T153" s="14" t="s">
        <v>588</v>
      </c>
      <c r="U153" s="13" t="s">
        <v>498</v>
      </c>
      <c r="V153" s="14"/>
      <c r="W153" s="21"/>
    </row>
    <row r="154" s="2" customFormat="1" ht="116.25" spans="1:23">
      <c r="A154" s="15" t="str">
        <f>_xlfn.DISPIMG("ID_A65BBF1E0BA8404D900F9BCD55EC5499",1)</f>
        <v>=DISPIMG("ID_A65BBF1E0BA8404D900F9BCD55EC5499",1)</v>
      </c>
      <c r="B154" s="16" t="s">
        <v>598</v>
      </c>
      <c r="C154" s="16"/>
      <c r="D154" s="16"/>
      <c r="E154" s="16" t="s">
        <v>215</v>
      </c>
      <c r="F154" s="16">
        <v>83</v>
      </c>
      <c r="G154" s="17">
        <v>79</v>
      </c>
      <c r="H154" s="17">
        <v>102.9</v>
      </c>
      <c r="I154" s="17">
        <v>80.5</v>
      </c>
      <c r="J154" s="16">
        <v>27</v>
      </c>
      <c r="K154" s="16">
        <v>60</v>
      </c>
      <c r="L154" s="16">
        <v>33</v>
      </c>
      <c r="M154" s="16">
        <v>70</v>
      </c>
      <c r="N154" s="16">
        <v>53</v>
      </c>
      <c r="O154" s="16">
        <v>0</v>
      </c>
      <c r="P154" s="16">
        <v>36</v>
      </c>
      <c r="Q154" s="16">
        <v>1800</v>
      </c>
      <c r="R154" s="17">
        <v>22.5</v>
      </c>
      <c r="S154" s="17">
        <v>3.68888888888889</v>
      </c>
      <c r="T154" s="17" t="s">
        <v>588</v>
      </c>
      <c r="U154" s="16" t="s">
        <v>498</v>
      </c>
      <c r="V154" s="17"/>
      <c r="W154" s="22" t="s">
        <v>599</v>
      </c>
    </row>
    <row r="155" customHeight="1" spans="1:23">
      <c r="A155" s="6" t="str">
        <f>_xlfn.DISPIMG("ID_1234BAF310D140A289E9B776AE05C70D",1)</f>
        <v>=DISPIMG("ID_1234BAF310D140A289E9B776AE05C70D",1)</v>
      </c>
      <c r="B155" s="7" t="s">
        <v>600</v>
      </c>
      <c r="C155" s="7" t="s">
        <v>601</v>
      </c>
      <c r="D155" s="7" t="s">
        <v>602</v>
      </c>
      <c r="E155" s="7" t="s">
        <v>220</v>
      </c>
      <c r="F155" s="7">
        <v>9</v>
      </c>
      <c r="G155" s="8">
        <v>9.9</v>
      </c>
      <c r="H155" s="8">
        <v>9</v>
      </c>
      <c r="I155" s="8">
        <v>9</v>
      </c>
      <c r="J155" s="7">
        <v>5</v>
      </c>
      <c r="K155" s="7">
        <v>6</v>
      </c>
      <c r="L155" s="7">
        <v>6</v>
      </c>
      <c r="M155" s="7">
        <v>15</v>
      </c>
      <c r="N155" s="7">
        <v>18</v>
      </c>
      <c r="O155" s="7">
        <v>0</v>
      </c>
      <c r="P155" s="7">
        <v>0</v>
      </c>
      <c r="Q155" s="7">
        <v>200</v>
      </c>
      <c r="R155" s="8">
        <v>0.9</v>
      </c>
      <c r="S155" s="8">
        <v>10</v>
      </c>
      <c r="T155" s="8" t="s">
        <v>603</v>
      </c>
      <c r="U155" s="7" t="s">
        <v>498</v>
      </c>
      <c r="V155" s="8"/>
      <c r="W155" s="18"/>
    </row>
    <row r="156" s="1" customFormat="1" customHeight="1" spans="1:23">
      <c r="A156" s="3" t="str">
        <f>_xlfn.DISPIMG("ID_1644E4A3895F4FB0BD0838357942E03F",1)</f>
        <v>=DISPIMG("ID_1644E4A3895F4FB0BD0838357942E03F",1)</v>
      </c>
      <c r="B156" s="9" t="s">
        <v>604</v>
      </c>
      <c r="C156" s="9" t="s">
        <v>605</v>
      </c>
      <c r="D156" s="9" t="s">
        <v>606</v>
      </c>
      <c r="E156" s="9" t="s">
        <v>226</v>
      </c>
      <c r="F156" s="9">
        <v>23</v>
      </c>
      <c r="G156" s="10">
        <v>25.3</v>
      </c>
      <c r="H156" s="10">
        <v>23</v>
      </c>
      <c r="I156" s="10">
        <v>23</v>
      </c>
      <c r="J156" s="9">
        <v>12</v>
      </c>
      <c r="K156" s="9">
        <v>16</v>
      </c>
      <c r="L156" s="9">
        <v>17</v>
      </c>
      <c r="M156" s="9">
        <v>39</v>
      </c>
      <c r="N156" s="9">
        <v>47</v>
      </c>
      <c r="O156" s="9">
        <v>0</v>
      </c>
      <c r="P156" s="9">
        <v>0</v>
      </c>
      <c r="Q156" s="9">
        <v>200</v>
      </c>
      <c r="R156" s="10">
        <v>2.3</v>
      </c>
      <c r="S156" s="10">
        <v>10</v>
      </c>
      <c r="T156" s="10" t="s">
        <v>603</v>
      </c>
      <c r="U156" s="9" t="s">
        <v>498</v>
      </c>
      <c r="V156" s="10"/>
      <c r="W156" s="19"/>
    </row>
    <row r="157" customHeight="1" spans="1:23">
      <c r="A157" s="6" t="str">
        <f>_xlfn.DISPIMG("ID_EFE4C0F9B0CC48C599569052FEA34C35",1)</f>
        <v>=DISPIMG("ID_EFE4C0F9B0CC48C599569052FEA34C35",1)</v>
      </c>
      <c r="B157" s="11" t="s">
        <v>607</v>
      </c>
      <c r="C157" s="11" t="s">
        <v>608</v>
      </c>
      <c r="D157" s="11" t="s">
        <v>609</v>
      </c>
      <c r="E157" s="11" t="s">
        <v>230</v>
      </c>
      <c r="F157" s="11">
        <v>13</v>
      </c>
      <c r="G157" s="12">
        <v>14.3</v>
      </c>
      <c r="H157" s="12">
        <v>13</v>
      </c>
      <c r="I157" s="12">
        <v>13</v>
      </c>
      <c r="J157" s="11">
        <v>7</v>
      </c>
      <c r="K157" s="11">
        <v>9</v>
      </c>
      <c r="L157" s="11">
        <v>10</v>
      </c>
      <c r="M157" s="11">
        <v>23</v>
      </c>
      <c r="N157" s="11">
        <v>28</v>
      </c>
      <c r="O157" s="11">
        <v>0</v>
      </c>
      <c r="P157" s="11">
        <v>0</v>
      </c>
      <c r="Q157" s="11">
        <v>200</v>
      </c>
      <c r="R157" s="12">
        <v>1.4</v>
      </c>
      <c r="S157" s="12">
        <v>9.28571428571429</v>
      </c>
      <c r="T157" s="12" t="s">
        <v>603</v>
      </c>
      <c r="U157" s="11" t="s">
        <v>498</v>
      </c>
      <c r="V157" s="12"/>
      <c r="W157" s="20"/>
    </row>
    <row r="158" customHeight="1" spans="1:23">
      <c r="A158" s="6" t="str">
        <f>_xlfn.DISPIMG("ID_0730B9E6BE054D45865F720AE9E3F0A4",1)</f>
        <v>=DISPIMG("ID_0730B9E6BE054D45865F720AE9E3F0A4",1)</v>
      </c>
      <c r="B158" s="13" t="s">
        <v>610</v>
      </c>
      <c r="C158" s="13" t="s">
        <v>611</v>
      </c>
      <c r="D158" s="13" t="s">
        <v>612</v>
      </c>
      <c r="E158" s="13" t="s">
        <v>237</v>
      </c>
      <c r="F158" s="13">
        <v>13</v>
      </c>
      <c r="G158" s="14">
        <v>14.3</v>
      </c>
      <c r="H158" s="14">
        <v>13</v>
      </c>
      <c r="I158" s="14">
        <v>13</v>
      </c>
      <c r="J158" s="13">
        <v>7</v>
      </c>
      <c r="K158" s="13">
        <v>9</v>
      </c>
      <c r="L158" s="13">
        <v>10</v>
      </c>
      <c r="M158" s="13">
        <v>23</v>
      </c>
      <c r="N158" s="13">
        <v>28</v>
      </c>
      <c r="O158" s="13">
        <v>0</v>
      </c>
      <c r="P158" s="13">
        <v>0</v>
      </c>
      <c r="Q158" s="13">
        <v>200</v>
      </c>
      <c r="R158" s="14">
        <v>1.4</v>
      </c>
      <c r="S158" s="14">
        <v>9.28571428571429</v>
      </c>
      <c r="T158" s="14" t="s">
        <v>603</v>
      </c>
      <c r="U158" s="13" t="s">
        <v>498</v>
      </c>
      <c r="V158" s="14"/>
      <c r="W158" s="21"/>
    </row>
    <row r="159" s="2" customFormat="1" ht="116.25" spans="1:23">
      <c r="A159" s="15" t="str">
        <f>_xlfn.DISPIMG("ID_B2115A130B234A58810C8FF61DEA0C34",1)</f>
        <v>=DISPIMG("ID_B2115A130B234A58810C8FF61DEA0C34",1)</v>
      </c>
      <c r="B159" s="16" t="s">
        <v>613</v>
      </c>
      <c r="C159" s="16"/>
      <c r="D159" s="16"/>
      <c r="E159" s="16" t="s">
        <v>215</v>
      </c>
      <c r="F159" s="16">
        <v>58</v>
      </c>
      <c r="G159" s="17">
        <v>63.8</v>
      </c>
      <c r="H159" s="17">
        <v>58</v>
      </c>
      <c r="I159" s="17">
        <v>58</v>
      </c>
      <c r="J159" s="16">
        <v>31</v>
      </c>
      <c r="K159" s="16">
        <v>40</v>
      </c>
      <c r="L159" s="16">
        <v>43</v>
      </c>
      <c r="M159" s="16">
        <v>100</v>
      </c>
      <c r="N159" s="16">
        <v>121</v>
      </c>
      <c r="O159" s="16">
        <v>0</v>
      </c>
      <c r="P159" s="16">
        <v>0</v>
      </c>
      <c r="Q159" s="16">
        <v>800</v>
      </c>
      <c r="R159" s="17">
        <v>6</v>
      </c>
      <c r="S159" s="17">
        <v>9.66666666666667</v>
      </c>
      <c r="T159" s="17" t="s">
        <v>603</v>
      </c>
      <c r="U159" s="16" t="s">
        <v>498</v>
      </c>
      <c r="V159" s="17"/>
      <c r="W159" s="22" t="s">
        <v>614</v>
      </c>
    </row>
    <row r="160" customHeight="1" spans="1:23">
      <c r="A160" s="6" t="str">
        <f>_xlfn.DISPIMG("ID_B6FDF3C188654704A46A25138B188995",1)</f>
        <v>=DISPIMG("ID_B6FDF3C188654704A46A25138B188995",1)</v>
      </c>
      <c r="B160" s="7" t="s">
        <v>615</v>
      </c>
      <c r="C160" s="7" t="s">
        <v>616</v>
      </c>
      <c r="D160" s="7" t="s">
        <v>617</v>
      </c>
      <c r="E160" s="7" t="s">
        <v>220</v>
      </c>
      <c r="F160" s="7">
        <v>21</v>
      </c>
      <c r="G160" s="8">
        <v>19.7</v>
      </c>
      <c r="H160" s="8">
        <v>24.2</v>
      </c>
      <c r="I160" s="8">
        <v>20.6</v>
      </c>
      <c r="J160" s="7">
        <v>10</v>
      </c>
      <c r="K160" s="7">
        <v>11</v>
      </c>
      <c r="L160" s="7">
        <v>14</v>
      </c>
      <c r="M160" s="7">
        <v>9</v>
      </c>
      <c r="N160" s="7">
        <v>5</v>
      </c>
      <c r="O160" s="7">
        <v>1</v>
      </c>
      <c r="P160" s="7">
        <v>8</v>
      </c>
      <c r="Q160" s="7">
        <v>600</v>
      </c>
      <c r="R160" s="8">
        <v>4.8</v>
      </c>
      <c r="S160" s="8">
        <v>4.29166666666667</v>
      </c>
      <c r="T160" s="8" t="s">
        <v>618</v>
      </c>
      <c r="U160" s="7" t="s">
        <v>498</v>
      </c>
      <c r="V160" s="8"/>
      <c r="W160" s="18"/>
    </row>
    <row r="161" customHeight="1" spans="1:23">
      <c r="A161" s="23" t="str">
        <f>_xlfn.DISPIMG("ID_8196F441D3AB458BAFFC2F1F77DF5388",1)</f>
        <v>=DISPIMG("ID_8196F441D3AB458BAFFC2F1F77DF5388",1)</v>
      </c>
      <c r="B161" s="9" t="s">
        <v>619</v>
      </c>
      <c r="C161" s="9" t="s">
        <v>620</v>
      </c>
      <c r="D161" s="9" t="s">
        <v>621</v>
      </c>
      <c r="E161" s="9" t="s">
        <v>226</v>
      </c>
      <c r="F161" s="9">
        <v>52</v>
      </c>
      <c r="G161" s="10">
        <v>48.9</v>
      </c>
      <c r="H161" s="10">
        <v>59.8</v>
      </c>
      <c r="I161" s="10">
        <v>51</v>
      </c>
      <c r="J161" s="9">
        <v>26</v>
      </c>
      <c r="K161" s="9">
        <v>29</v>
      </c>
      <c r="L161" s="9">
        <v>34</v>
      </c>
      <c r="M161" s="9">
        <v>24</v>
      </c>
      <c r="N161" s="9">
        <v>12</v>
      </c>
      <c r="O161" s="9">
        <v>2</v>
      </c>
      <c r="P161" s="9">
        <v>19</v>
      </c>
      <c r="Q161" s="9">
        <v>600</v>
      </c>
      <c r="R161" s="10">
        <v>12</v>
      </c>
      <c r="S161" s="10">
        <v>4.25</v>
      </c>
      <c r="T161" s="10" t="s">
        <v>618</v>
      </c>
      <c r="U161" s="9" t="s">
        <v>498</v>
      </c>
      <c r="V161" s="10"/>
      <c r="W161" s="24"/>
    </row>
    <row r="162" customHeight="1" spans="1:23">
      <c r="A162" s="6" t="str">
        <f>_xlfn.DISPIMG("ID_E3CE7CC0CC1E457B9DC84652B9CB2129",1)</f>
        <v>=DISPIMG("ID_E3CE7CC0CC1E457B9DC84652B9CB2129",1)</v>
      </c>
      <c r="B162" s="11" t="s">
        <v>622</v>
      </c>
      <c r="C162" s="11" t="s">
        <v>623</v>
      </c>
      <c r="D162" s="11" t="s">
        <v>624</v>
      </c>
      <c r="E162" s="11" t="s">
        <v>230</v>
      </c>
      <c r="F162" s="11">
        <v>25</v>
      </c>
      <c r="G162" s="12">
        <v>23.5</v>
      </c>
      <c r="H162" s="12">
        <v>28.8</v>
      </c>
      <c r="I162" s="12">
        <v>24.5</v>
      </c>
      <c r="J162" s="11">
        <v>12</v>
      </c>
      <c r="K162" s="11">
        <v>14</v>
      </c>
      <c r="L162" s="11">
        <v>16</v>
      </c>
      <c r="M162" s="11">
        <v>11</v>
      </c>
      <c r="N162" s="11">
        <v>6</v>
      </c>
      <c r="O162" s="11">
        <v>1</v>
      </c>
      <c r="P162" s="11">
        <v>9</v>
      </c>
      <c r="Q162" s="11">
        <v>600</v>
      </c>
      <c r="R162" s="12">
        <v>5.5</v>
      </c>
      <c r="S162" s="12">
        <v>4.45454545454545</v>
      </c>
      <c r="T162" s="12" t="s">
        <v>618</v>
      </c>
      <c r="U162" s="11" t="s">
        <v>498</v>
      </c>
      <c r="V162" s="12"/>
      <c r="W162" s="20"/>
    </row>
    <row r="163" customHeight="1" spans="1:23">
      <c r="A163" s="6" t="str">
        <f>_xlfn.DISPIMG("ID_6419807BDC384BF291D43CEF2C8821F8",1)</f>
        <v>=DISPIMG("ID_6419807BDC384BF291D43CEF2C8821F8",1)</v>
      </c>
      <c r="B163" s="13" t="s">
        <v>625</v>
      </c>
      <c r="C163" s="13" t="s">
        <v>626</v>
      </c>
      <c r="D163" s="13" t="s">
        <v>627</v>
      </c>
      <c r="E163" s="13" t="s">
        <v>237</v>
      </c>
      <c r="F163" s="13">
        <v>28</v>
      </c>
      <c r="G163" s="14">
        <v>26.3</v>
      </c>
      <c r="H163" s="14">
        <v>32.2</v>
      </c>
      <c r="I163" s="14">
        <v>27.4</v>
      </c>
      <c r="J163" s="13">
        <v>15</v>
      </c>
      <c r="K163" s="13">
        <v>16</v>
      </c>
      <c r="L163" s="13">
        <v>19</v>
      </c>
      <c r="M163" s="13">
        <v>14</v>
      </c>
      <c r="N163" s="13">
        <v>7</v>
      </c>
      <c r="O163" s="13">
        <v>1</v>
      </c>
      <c r="P163" s="13">
        <v>11</v>
      </c>
      <c r="Q163" s="13">
        <v>600</v>
      </c>
      <c r="R163" s="14">
        <v>6.5</v>
      </c>
      <c r="S163" s="14">
        <v>4.21538461538462</v>
      </c>
      <c r="T163" s="14" t="s">
        <v>618</v>
      </c>
      <c r="U163" s="13" t="s">
        <v>498</v>
      </c>
      <c r="V163" s="14"/>
      <c r="W163" s="21"/>
    </row>
    <row r="164" s="2" customFormat="1" ht="116.25" spans="1:23">
      <c r="A164" s="15" t="str">
        <f>_xlfn.DISPIMG("ID_703421C676894802BBA84A40A3634C07",1)</f>
        <v>=DISPIMG("ID_703421C676894802BBA84A40A3634C07",1)</v>
      </c>
      <c r="B164" s="16" t="s">
        <v>628</v>
      </c>
      <c r="C164" s="16"/>
      <c r="D164" s="16"/>
      <c r="E164" s="16" t="s">
        <v>215</v>
      </c>
      <c r="F164" s="16">
        <v>126</v>
      </c>
      <c r="G164" s="17">
        <v>118.4</v>
      </c>
      <c r="H164" s="17">
        <v>145</v>
      </c>
      <c r="I164" s="17">
        <v>123.5</v>
      </c>
      <c r="J164" s="16">
        <v>63</v>
      </c>
      <c r="K164" s="16">
        <v>70</v>
      </c>
      <c r="L164" s="16">
        <v>83</v>
      </c>
      <c r="M164" s="16">
        <v>58</v>
      </c>
      <c r="N164" s="16">
        <v>30</v>
      </c>
      <c r="O164" s="16">
        <v>5</v>
      </c>
      <c r="P164" s="16">
        <v>47</v>
      </c>
      <c r="Q164" s="16">
        <v>2400</v>
      </c>
      <c r="R164" s="17">
        <v>28.8</v>
      </c>
      <c r="S164" s="17">
        <v>4.375</v>
      </c>
      <c r="T164" s="17" t="s">
        <v>618</v>
      </c>
      <c r="U164" s="16" t="s">
        <v>498</v>
      </c>
      <c r="V164" s="17"/>
      <c r="W164" s="22" t="s">
        <v>629</v>
      </c>
    </row>
    <row r="165" customHeight="1" spans="1:23">
      <c r="A165" s="6" t="str">
        <f>_xlfn.DISPIMG("ID_0A9B50800930414E928B806F3076EBE4",1)</f>
        <v>=DISPIMG("ID_0A9B50800930414E928B806F3076EBE4",1)</v>
      </c>
      <c r="B165" s="7" t="s">
        <v>630</v>
      </c>
      <c r="C165" s="7" t="s">
        <v>631</v>
      </c>
      <c r="D165" s="7" t="s">
        <v>632</v>
      </c>
      <c r="E165" s="7" t="s">
        <v>220</v>
      </c>
      <c r="F165" s="7">
        <v>21</v>
      </c>
      <c r="G165" s="8">
        <v>19.9</v>
      </c>
      <c r="H165" s="8">
        <v>23.7</v>
      </c>
      <c r="I165" s="8">
        <v>20.6</v>
      </c>
      <c r="J165" s="7">
        <v>11</v>
      </c>
      <c r="K165" s="7">
        <v>18</v>
      </c>
      <c r="L165" s="7">
        <v>6</v>
      </c>
      <c r="M165" s="7">
        <v>12</v>
      </c>
      <c r="N165" s="7">
        <v>6</v>
      </c>
      <c r="O165" s="7">
        <v>0</v>
      </c>
      <c r="P165" s="7">
        <v>8</v>
      </c>
      <c r="Q165" s="7">
        <v>550</v>
      </c>
      <c r="R165" s="8">
        <v>5</v>
      </c>
      <c r="S165" s="8">
        <v>4.12</v>
      </c>
      <c r="T165" s="8" t="s">
        <v>633</v>
      </c>
      <c r="U165" s="7" t="s">
        <v>498</v>
      </c>
      <c r="V165" s="8"/>
      <c r="W165" s="18"/>
    </row>
    <row r="166" customHeight="1" spans="1:23">
      <c r="A166" s="23" t="str">
        <f>_xlfn.DISPIMG("ID_94C11B3CFB5941E7AB1537F9B92DA262",1)</f>
        <v>=DISPIMG("ID_94C11B3CFB5941E7AB1537F9B92DA262",1)</v>
      </c>
      <c r="B166" s="9" t="s">
        <v>634</v>
      </c>
      <c r="C166" s="9" t="s">
        <v>635</v>
      </c>
      <c r="D166" s="9" t="s">
        <v>636</v>
      </c>
      <c r="E166" s="9" t="s">
        <v>226</v>
      </c>
      <c r="F166" s="9">
        <v>57</v>
      </c>
      <c r="G166" s="10">
        <v>54.2</v>
      </c>
      <c r="H166" s="10">
        <v>64.4</v>
      </c>
      <c r="I166" s="10">
        <v>55.9</v>
      </c>
      <c r="J166" s="9">
        <v>29</v>
      </c>
      <c r="K166" s="9">
        <v>48</v>
      </c>
      <c r="L166" s="9">
        <v>17</v>
      </c>
      <c r="M166" s="9">
        <v>32</v>
      </c>
      <c r="N166" s="9">
        <v>15</v>
      </c>
      <c r="O166" s="9">
        <v>0</v>
      </c>
      <c r="P166" s="9">
        <v>21</v>
      </c>
      <c r="Q166" s="9">
        <v>550</v>
      </c>
      <c r="R166" s="10">
        <v>13</v>
      </c>
      <c r="S166" s="10">
        <v>4.3</v>
      </c>
      <c r="T166" s="10" t="s">
        <v>633</v>
      </c>
      <c r="U166" s="9" t="s">
        <v>498</v>
      </c>
      <c r="V166" s="10"/>
      <c r="W166" s="24"/>
    </row>
    <row r="167" customHeight="1" spans="1:23">
      <c r="A167" s="6" t="str">
        <f>_xlfn.DISPIMG("ID_0B65AF98544F452999B60C40917331ED",1)</f>
        <v>=DISPIMG("ID_0B65AF98544F452999B60C40917331ED",1)</v>
      </c>
      <c r="B167" s="11" t="s">
        <v>637</v>
      </c>
      <c r="C167" s="11" t="s">
        <v>638</v>
      </c>
      <c r="D167" s="11" t="s">
        <v>639</v>
      </c>
      <c r="E167" s="11" t="s">
        <v>230</v>
      </c>
      <c r="F167" s="11">
        <v>26</v>
      </c>
      <c r="G167" s="12">
        <v>24.7</v>
      </c>
      <c r="H167" s="12">
        <v>29.4</v>
      </c>
      <c r="I167" s="12">
        <v>25.5</v>
      </c>
      <c r="J167" s="11">
        <v>14</v>
      </c>
      <c r="K167" s="11">
        <v>23</v>
      </c>
      <c r="L167" s="11">
        <v>8</v>
      </c>
      <c r="M167" s="11">
        <v>15</v>
      </c>
      <c r="N167" s="11">
        <v>8</v>
      </c>
      <c r="O167" s="11">
        <v>0</v>
      </c>
      <c r="P167" s="11">
        <v>10</v>
      </c>
      <c r="Q167" s="11">
        <v>550</v>
      </c>
      <c r="R167" s="12">
        <v>6</v>
      </c>
      <c r="S167" s="12">
        <v>4.25</v>
      </c>
      <c r="T167" s="12" t="s">
        <v>633</v>
      </c>
      <c r="U167" s="11" t="s">
        <v>498</v>
      </c>
      <c r="V167" s="12"/>
      <c r="W167" s="20"/>
    </row>
    <row r="168" customHeight="1" spans="1:23">
      <c r="A168" s="6" t="str">
        <f>_xlfn.DISPIMG("ID_2703F9407576465CB3BC50B573394D87",1)</f>
        <v>=DISPIMG("ID_2703F9407576465CB3BC50B573394D87",1)</v>
      </c>
      <c r="B168" s="13" t="s">
        <v>640</v>
      </c>
      <c r="C168" s="13" t="s">
        <v>641</v>
      </c>
      <c r="D168" s="13" t="s">
        <v>642</v>
      </c>
      <c r="E168" s="13" t="s">
        <v>237</v>
      </c>
      <c r="F168" s="13">
        <v>30</v>
      </c>
      <c r="G168" s="14">
        <v>28.5</v>
      </c>
      <c r="H168" s="14">
        <v>33.9</v>
      </c>
      <c r="I168" s="14">
        <v>29.4</v>
      </c>
      <c r="J168" s="13">
        <v>15</v>
      </c>
      <c r="K168" s="13">
        <v>26</v>
      </c>
      <c r="L168" s="13">
        <v>9</v>
      </c>
      <c r="M168" s="13">
        <v>17</v>
      </c>
      <c r="N168" s="13">
        <v>9</v>
      </c>
      <c r="O168" s="13">
        <v>0</v>
      </c>
      <c r="P168" s="13">
        <v>11</v>
      </c>
      <c r="Q168" s="13">
        <v>550</v>
      </c>
      <c r="R168" s="14">
        <v>7</v>
      </c>
      <c r="S168" s="14">
        <v>4.2</v>
      </c>
      <c r="T168" s="14" t="s">
        <v>633</v>
      </c>
      <c r="U168" s="13" t="s">
        <v>498</v>
      </c>
      <c r="V168" s="14"/>
      <c r="W168" s="21"/>
    </row>
    <row r="169" s="2" customFormat="1" ht="116.25" spans="1:23">
      <c r="A169" s="15" t="str">
        <f>_xlfn.DISPIMG("ID_12C143A4824F48B79F23CB816114A959",1)</f>
        <v>=DISPIMG("ID_12C143A4824F48B79F23CB816114A959",1)</v>
      </c>
      <c r="B169" s="16" t="s">
        <v>643</v>
      </c>
      <c r="C169" s="16"/>
      <c r="D169" s="16"/>
      <c r="E169" s="16" t="s">
        <v>215</v>
      </c>
      <c r="F169" s="16">
        <v>134</v>
      </c>
      <c r="G169" s="17">
        <v>127.3</v>
      </c>
      <c r="H169" s="17">
        <v>151.4</v>
      </c>
      <c r="I169" s="17">
        <v>131.4</v>
      </c>
      <c r="J169" s="16">
        <v>69</v>
      </c>
      <c r="K169" s="16">
        <v>115</v>
      </c>
      <c r="L169" s="16">
        <v>40</v>
      </c>
      <c r="M169" s="16">
        <v>76</v>
      </c>
      <c r="N169" s="16">
        <v>38</v>
      </c>
      <c r="O169" s="16">
        <v>0</v>
      </c>
      <c r="P169" s="16">
        <v>50</v>
      </c>
      <c r="Q169" s="16">
        <v>2200</v>
      </c>
      <c r="R169" s="17">
        <v>31</v>
      </c>
      <c r="S169" s="17">
        <v>4.32258064516129</v>
      </c>
      <c r="T169" s="17" t="s">
        <v>633</v>
      </c>
      <c r="U169" s="16" t="s">
        <v>498</v>
      </c>
      <c r="V169" s="17"/>
      <c r="W169" s="22" t="s">
        <v>644</v>
      </c>
    </row>
    <row r="170" customHeight="1" spans="1:23">
      <c r="A170" s="6" t="str">
        <f>_xlfn.DISPIMG("ID_50D73472CB674527B49649218015E95D",1)</f>
        <v>=DISPIMG("ID_50D73472CB674527B49649218015E95D",1)</v>
      </c>
      <c r="B170" s="7" t="s">
        <v>645</v>
      </c>
      <c r="C170" s="7" t="s">
        <v>646</v>
      </c>
      <c r="D170" s="7" t="s">
        <v>647</v>
      </c>
      <c r="E170" s="7" t="s">
        <v>220</v>
      </c>
      <c r="F170" s="7">
        <v>27</v>
      </c>
      <c r="G170" s="8">
        <v>24.8</v>
      </c>
      <c r="H170" s="8">
        <v>30.5</v>
      </c>
      <c r="I170" s="8">
        <v>27</v>
      </c>
      <c r="J170" s="7">
        <v>13</v>
      </c>
      <c r="K170" s="7">
        <v>19</v>
      </c>
      <c r="L170" s="7">
        <v>13</v>
      </c>
      <c r="M170" s="7">
        <v>13</v>
      </c>
      <c r="N170" s="7">
        <v>8</v>
      </c>
      <c r="O170" s="7">
        <v>0</v>
      </c>
      <c r="P170" s="7">
        <v>14</v>
      </c>
      <c r="Q170" s="7">
        <v>600</v>
      </c>
      <c r="R170" s="8">
        <v>6.3</v>
      </c>
      <c r="S170" s="8">
        <v>4.28571428571429</v>
      </c>
      <c r="T170" s="8" t="s">
        <v>648</v>
      </c>
      <c r="U170" s="7" t="s">
        <v>498</v>
      </c>
      <c r="V170" s="8"/>
      <c r="W170" s="18"/>
    </row>
    <row r="171" customHeight="1" spans="1:23">
      <c r="A171" s="3" t="str">
        <f>_xlfn.DISPIMG("ID_CFCC79885FDD42F3838685729A9A3FF3",1)</f>
        <v>=DISPIMG("ID_CFCC79885FDD42F3838685729A9A3FF3",1)</v>
      </c>
      <c r="B171" s="9" t="s">
        <v>649</v>
      </c>
      <c r="C171" s="9" t="s">
        <v>650</v>
      </c>
      <c r="D171" s="9" t="s">
        <v>651</v>
      </c>
      <c r="E171" s="9" t="s">
        <v>226</v>
      </c>
      <c r="F171" s="9">
        <v>72</v>
      </c>
      <c r="G171" s="10">
        <v>66.2</v>
      </c>
      <c r="H171" s="10">
        <v>81.4</v>
      </c>
      <c r="I171" s="10">
        <v>72</v>
      </c>
      <c r="J171" s="9">
        <v>32</v>
      </c>
      <c r="K171" s="9">
        <v>48</v>
      </c>
      <c r="L171" s="9">
        <v>33</v>
      </c>
      <c r="M171" s="9">
        <v>32</v>
      </c>
      <c r="N171" s="9">
        <v>19</v>
      </c>
      <c r="O171" s="9">
        <v>0</v>
      </c>
      <c r="P171" s="9">
        <v>35</v>
      </c>
      <c r="Q171" s="9">
        <v>600</v>
      </c>
      <c r="R171" s="10">
        <v>16.4</v>
      </c>
      <c r="S171" s="10">
        <v>4.39024390243902</v>
      </c>
      <c r="T171" s="10" t="s">
        <v>648</v>
      </c>
      <c r="U171" s="9" t="s">
        <v>498</v>
      </c>
      <c r="V171" s="10"/>
      <c r="W171" s="19"/>
    </row>
    <row r="172" customHeight="1" spans="1:23">
      <c r="A172" s="6" t="str">
        <f>_xlfn.DISPIMG("ID_2BEA88E7ACA24DDEA2B0B7D923467B23",1)</f>
        <v>=DISPIMG("ID_2BEA88E7ACA24DDEA2B0B7D923467B23",1)</v>
      </c>
      <c r="B172" s="11" t="s">
        <v>652</v>
      </c>
      <c r="C172" s="11" t="s">
        <v>653</v>
      </c>
      <c r="D172" s="11" t="s">
        <v>654</v>
      </c>
      <c r="E172" s="11" t="s">
        <v>230</v>
      </c>
      <c r="F172" s="11">
        <v>41</v>
      </c>
      <c r="G172" s="12">
        <v>37.7</v>
      </c>
      <c r="H172" s="12">
        <v>46.3</v>
      </c>
      <c r="I172" s="12">
        <v>41</v>
      </c>
      <c r="J172" s="11">
        <v>19</v>
      </c>
      <c r="K172" s="11">
        <v>29</v>
      </c>
      <c r="L172" s="11">
        <v>19</v>
      </c>
      <c r="M172" s="11">
        <v>19</v>
      </c>
      <c r="N172" s="11">
        <v>11</v>
      </c>
      <c r="O172" s="11">
        <v>0</v>
      </c>
      <c r="P172" s="11">
        <v>21</v>
      </c>
      <c r="Q172" s="11">
        <v>600</v>
      </c>
      <c r="R172" s="12">
        <v>9.7</v>
      </c>
      <c r="S172" s="12">
        <v>4.22680412371134</v>
      </c>
      <c r="T172" s="12" t="s">
        <v>648</v>
      </c>
      <c r="U172" s="11" t="s">
        <v>498</v>
      </c>
      <c r="V172" s="12"/>
      <c r="W172" s="20"/>
    </row>
    <row r="173" customHeight="1" spans="1:23">
      <c r="A173" s="6" t="str">
        <f>_xlfn.DISPIMG("ID_0051C9B50FEE4EC58EB57CBC8098A17E",1)</f>
        <v>=DISPIMG("ID_0051C9B50FEE4EC58EB57CBC8098A17E",1)</v>
      </c>
      <c r="B173" s="13" t="s">
        <v>655</v>
      </c>
      <c r="C173" s="13" t="s">
        <v>656</v>
      </c>
      <c r="D173" s="13" t="s">
        <v>657</v>
      </c>
      <c r="E173" s="13" t="s">
        <v>237</v>
      </c>
      <c r="F173" s="13">
        <v>41</v>
      </c>
      <c r="G173" s="14">
        <v>37.7</v>
      </c>
      <c r="H173" s="14">
        <v>46.3</v>
      </c>
      <c r="I173" s="14">
        <v>41</v>
      </c>
      <c r="J173" s="13">
        <v>19</v>
      </c>
      <c r="K173" s="13">
        <v>29</v>
      </c>
      <c r="L173" s="13">
        <v>19</v>
      </c>
      <c r="M173" s="13">
        <v>19</v>
      </c>
      <c r="N173" s="13">
        <v>11</v>
      </c>
      <c r="O173" s="13">
        <v>0</v>
      </c>
      <c r="P173" s="13">
        <v>21</v>
      </c>
      <c r="Q173" s="13">
        <v>600</v>
      </c>
      <c r="R173" s="14">
        <v>9.7</v>
      </c>
      <c r="S173" s="14">
        <v>4.22680412371134</v>
      </c>
      <c r="T173" s="14" t="s">
        <v>648</v>
      </c>
      <c r="U173" s="13" t="s">
        <v>498</v>
      </c>
      <c r="V173" s="14"/>
      <c r="W173" s="21"/>
    </row>
    <row r="174" s="2" customFormat="1" ht="116.25" spans="1:23">
      <c r="A174" s="15" t="str">
        <f>_xlfn.DISPIMG("ID_4BE39FE465CD4999911078435E4FB639",1)</f>
        <v>=DISPIMG("ID_4BE39FE465CD4999911078435E4FB639",1)</v>
      </c>
      <c r="B174" s="16" t="s">
        <v>658</v>
      </c>
      <c r="C174" s="16"/>
      <c r="D174" s="16"/>
      <c r="E174" s="16" t="s">
        <v>215</v>
      </c>
      <c r="F174" s="16">
        <v>181</v>
      </c>
      <c r="G174" s="17">
        <v>166.4</v>
      </c>
      <c r="H174" s="17">
        <v>204.5</v>
      </c>
      <c r="I174" s="17">
        <v>181</v>
      </c>
      <c r="J174" s="16">
        <v>83</v>
      </c>
      <c r="K174" s="16">
        <v>125</v>
      </c>
      <c r="L174" s="16">
        <v>84</v>
      </c>
      <c r="M174" s="16">
        <v>83</v>
      </c>
      <c r="N174" s="16">
        <v>49</v>
      </c>
      <c r="O174" s="16">
        <v>0</v>
      </c>
      <c r="P174" s="16">
        <v>91</v>
      </c>
      <c r="Q174" s="16">
        <v>2400</v>
      </c>
      <c r="R174" s="17">
        <v>42.1</v>
      </c>
      <c r="S174" s="17">
        <v>4.29928741092637</v>
      </c>
      <c r="T174" s="17" t="s">
        <v>648</v>
      </c>
      <c r="U174" s="16" t="s">
        <v>498</v>
      </c>
      <c r="V174" s="17"/>
      <c r="W174" s="22" t="s">
        <v>659</v>
      </c>
    </row>
    <row r="175" customHeight="1" spans="1:23">
      <c r="A175" s="6" t="str">
        <f>_xlfn.DISPIMG("ID_3834408EDA034A5495DADBAD771E67D6",1)</f>
        <v>=DISPIMG("ID_3834408EDA034A5495DADBAD771E67D6",1)</v>
      </c>
      <c r="B175" s="7" t="s">
        <v>660</v>
      </c>
      <c r="C175" s="7" t="s">
        <v>661</v>
      </c>
      <c r="D175" s="7" t="s">
        <v>662</v>
      </c>
      <c r="E175" s="7" t="s">
        <v>220</v>
      </c>
      <c r="F175" s="7">
        <v>3</v>
      </c>
      <c r="G175" s="8">
        <v>3.6</v>
      </c>
      <c r="H175" s="8">
        <v>3</v>
      </c>
      <c r="I175" s="8">
        <v>3</v>
      </c>
      <c r="J175" s="7">
        <v>31</v>
      </c>
      <c r="K175" s="7">
        <v>11</v>
      </c>
      <c r="L175" s="7">
        <v>8</v>
      </c>
      <c r="M175" s="7">
        <v>12</v>
      </c>
      <c r="N175" s="7">
        <v>30</v>
      </c>
      <c r="O175" s="7">
        <v>6</v>
      </c>
      <c r="P175" s="7">
        <v>0</v>
      </c>
      <c r="Q175" s="7">
        <v>150</v>
      </c>
      <c r="R175" s="8">
        <v>0.6</v>
      </c>
      <c r="S175" s="8">
        <v>5</v>
      </c>
      <c r="T175" s="8" t="s">
        <v>663</v>
      </c>
      <c r="U175" s="7" t="s">
        <v>498</v>
      </c>
      <c r="V175" s="8"/>
      <c r="W175" s="18"/>
    </row>
    <row r="176" customHeight="1" spans="1:23">
      <c r="A176" s="3" t="str">
        <f>_xlfn.DISPIMG("ID_C1665A5A714C461B98FB7225525473CA",1)</f>
        <v>=DISPIMG("ID_C1665A5A714C461B98FB7225525473CA",1)</v>
      </c>
      <c r="B176" s="9" t="s">
        <v>664</v>
      </c>
      <c r="C176" s="9" t="s">
        <v>665</v>
      </c>
      <c r="D176" s="9" t="s">
        <v>666</v>
      </c>
      <c r="E176" s="9" t="s">
        <v>226</v>
      </c>
      <c r="F176" s="9">
        <v>9</v>
      </c>
      <c r="G176" s="10">
        <v>10.8</v>
      </c>
      <c r="H176" s="10">
        <v>9</v>
      </c>
      <c r="I176" s="10">
        <v>9</v>
      </c>
      <c r="J176" s="9">
        <v>34</v>
      </c>
      <c r="K176" s="9">
        <v>29</v>
      </c>
      <c r="L176" s="9">
        <v>21</v>
      </c>
      <c r="M176" s="9">
        <v>32</v>
      </c>
      <c r="N176" s="9">
        <v>78</v>
      </c>
      <c r="O176" s="9">
        <v>16</v>
      </c>
      <c r="P176" s="9">
        <v>0</v>
      </c>
      <c r="Q176" s="9">
        <v>150</v>
      </c>
      <c r="R176" s="10">
        <v>1.6</v>
      </c>
      <c r="S176" s="10">
        <v>5.625</v>
      </c>
      <c r="T176" s="10" t="s">
        <v>663</v>
      </c>
      <c r="U176" s="9" t="s">
        <v>498</v>
      </c>
      <c r="V176" s="10"/>
      <c r="W176" s="24"/>
    </row>
    <row r="177" customHeight="1" spans="1:23">
      <c r="A177" s="6" t="str">
        <f>_xlfn.DISPIMG("ID_26367100EBBC4049BCB351B9E7E288FE",1)</f>
        <v>=DISPIMG("ID_26367100EBBC4049BCB351B9E7E288FE",1)</v>
      </c>
      <c r="B177" s="11" t="s">
        <v>667</v>
      </c>
      <c r="C177" s="11" t="s">
        <v>668</v>
      </c>
      <c r="D177" s="11" t="s">
        <v>669</v>
      </c>
      <c r="E177" s="11" t="s">
        <v>230</v>
      </c>
      <c r="F177" s="11">
        <v>6</v>
      </c>
      <c r="G177" s="12">
        <v>7.2</v>
      </c>
      <c r="H177" s="12">
        <v>6</v>
      </c>
      <c r="I177" s="12">
        <v>6</v>
      </c>
      <c r="J177" s="11">
        <v>22</v>
      </c>
      <c r="K177" s="11">
        <v>17</v>
      </c>
      <c r="L177" s="11">
        <v>12</v>
      </c>
      <c r="M177" s="11">
        <v>18</v>
      </c>
      <c r="N177" s="11">
        <v>46</v>
      </c>
      <c r="O177" s="11">
        <v>10</v>
      </c>
      <c r="P177" s="11">
        <v>0</v>
      </c>
      <c r="Q177" s="11">
        <v>150</v>
      </c>
      <c r="R177" s="12">
        <v>0.9</v>
      </c>
      <c r="S177" s="12">
        <v>6.66666666666667</v>
      </c>
      <c r="T177" s="12" t="s">
        <v>663</v>
      </c>
      <c r="U177" s="11" t="s">
        <v>498</v>
      </c>
      <c r="V177" s="12"/>
      <c r="W177" s="20"/>
    </row>
    <row r="178" customHeight="1" spans="1:23">
      <c r="A178" s="6" t="str">
        <f>_xlfn.DISPIMG("ID_7E52C7A49F0442728B55B9E1722D0723",1)</f>
        <v>=DISPIMG("ID_7E52C7A49F0442728B55B9E1722D0723",1)</v>
      </c>
      <c r="B178" s="13" t="s">
        <v>670</v>
      </c>
      <c r="C178" s="13" t="s">
        <v>671</v>
      </c>
      <c r="D178" s="13" t="s">
        <v>672</v>
      </c>
      <c r="E178" s="13" t="s">
        <v>237</v>
      </c>
      <c r="F178" s="13">
        <v>22</v>
      </c>
      <c r="G178" s="14">
        <v>26.4</v>
      </c>
      <c r="H178" s="14">
        <v>22</v>
      </c>
      <c r="I178" s="14">
        <v>22</v>
      </c>
      <c r="J178" s="13">
        <v>30</v>
      </c>
      <c r="K178" s="13">
        <v>22</v>
      </c>
      <c r="L178" s="13">
        <v>21</v>
      </c>
      <c r="M178" s="13">
        <v>21</v>
      </c>
      <c r="N178" s="13">
        <v>51</v>
      </c>
      <c r="O178" s="13">
        <v>10</v>
      </c>
      <c r="P178" s="13">
        <v>0</v>
      </c>
      <c r="Q178" s="13">
        <v>150</v>
      </c>
      <c r="R178" s="14">
        <v>4</v>
      </c>
      <c r="S178" s="14">
        <v>5.5</v>
      </c>
      <c r="T178" s="14" t="s">
        <v>663</v>
      </c>
      <c r="U178" s="13" t="s">
        <v>498</v>
      </c>
      <c r="V178" s="14"/>
      <c r="W178" s="21"/>
    </row>
    <row r="179" s="2" customFormat="1" ht="116.25" spans="1:23">
      <c r="A179" s="15" t="str">
        <f>_xlfn.DISPIMG("ID_5B8E867E3098416E84E99F87C0F67F39",1)</f>
        <v>=DISPIMG("ID_5B8E867E3098416E84E99F87C0F67F39",1)</v>
      </c>
      <c r="B179" s="16" t="s">
        <v>673</v>
      </c>
      <c r="C179" s="16"/>
      <c r="D179" s="16"/>
      <c r="E179" s="16" t="s">
        <v>215</v>
      </c>
      <c r="F179" s="16">
        <v>40</v>
      </c>
      <c r="G179" s="17">
        <v>48</v>
      </c>
      <c r="H179" s="17">
        <v>40</v>
      </c>
      <c r="I179" s="17">
        <v>40</v>
      </c>
      <c r="J179" s="16">
        <v>117</v>
      </c>
      <c r="K179" s="16">
        <v>79</v>
      </c>
      <c r="L179" s="16">
        <v>62</v>
      </c>
      <c r="M179" s="16">
        <v>83</v>
      </c>
      <c r="N179" s="16">
        <v>205</v>
      </c>
      <c r="O179" s="16">
        <v>42</v>
      </c>
      <c r="P179" s="16">
        <v>0</v>
      </c>
      <c r="Q179" s="16">
        <v>600</v>
      </c>
      <c r="R179" s="17">
        <v>7.1</v>
      </c>
      <c r="S179" s="17">
        <v>5.63380281690141</v>
      </c>
      <c r="T179" s="17" t="s">
        <v>663</v>
      </c>
      <c r="U179" s="16" t="s">
        <v>498</v>
      </c>
      <c r="V179" s="17"/>
      <c r="W179" s="22" t="s">
        <v>674</v>
      </c>
    </row>
    <row r="180" customHeight="1" spans="1:23">
      <c r="A180" s="6" t="str">
        <f>_xlfn.DISPIMG("ID_2CCE39DAB2EE42BB9D3D381C0C29801E",1)</f>
        <v>=DISPIMG("ID_2CCE39DAB2EE42BB9D3D381C0C29801E",1)</v>
      </c>
      <c r="B180" s="7" t="s">
        <v>675</v>
      </c>
      <c r="C180" s="7" t="s">
        <v>676</v>
      </c>
      <c r="D180" s="7" t="s">
        <v>677</v>
      </c>
      <c r="E180" s="7" t="s">
        <v>220</v>
      </c>
      <c r="F180" s="7">
        <v>18</v>
      </c>
      <c r="G180" s="8">
        <v>18</v>
      </c>
      <c r="H180" s="8">
        <v>19.8</v>
      </c>
      <c r="I180" s="8">
        <v>16.9</v>
      </c>
      <c r="J180" s="7">
        <v>12</v>
      </c>
      <c r="K180" s="7">
        <v>12</v>
      </c>
      <c r="L180" s="7">
        <v>10</v>
      </c>
      <c r="M180" s="7">
        <v>12</v>
      </c>
      <c r="N180" s="7">
        <v>8</v>
      </c>
      <c r="O180" s="7">
        <v>0</v>
      </c>
      <c r="P180" s="7">
        <v>6</v>
      </c>
      <c r="Q180" s="7">
        <v>300</v>
      </c>
      <c r="R180" s="8">
        <v>3.8</v>
      </c>
      <c r="S180" s="8">
        <v>4.44736842105263</v>
      </c>
      <c r="T180" s="8" t="s">
        <v>678</v>
      </c>
      <c r="U180" s="7" t="s">
        <v>498</v>
      </c>
      <c r="V180" s="8"/>
      <c r="W180" s="18"/>
    </row>
    <row r="181" customHeight="1" spans="1:23">
      <c r="A181" s="23" t="str">
        <f>_xlfn.DISPIMG("ID_3F08FFD40BDE4B9BB578238F199D930C",1)</f>
        <v>=DISPIMG("ID_3F08FFD40BDE4B9BB578238F199D930C",1)</v>
      </c>
      <c r="B181" s="9" t="s">
        <v>679</v>
      </c>
      <c r="C181" s="9" t="s">
        <v>680</v>
      </c>
      <c r="D181" s="9" t="s">
        <v>681</v>
      </c>
      <c r="E181" s="9" t="s">
        <v>226</v>
      </c>
      <c r="F181" s="9">
        <v>45</v>
      </c>
      <c r="G181" s="10">
        <v>45</v>
      </c>
      <c r="H181" s="10">
        <v>49.5</v>
      </c>
      <c r="I181" s="10">
        <v>42.3</v>
      </c>
      <c r="J181" s="9">
        <v>30</v>
      </c>
      <c r="K181" s="9">
        <v>31</v>
      </c>
      <c r="L181" s="9">
        <v>27</v>
      </c>
      <c r="M181" s="9">
        <v>30</v>
      </c>
      <c r="N181" s="9">
        <v>21</v>
      </c>
      <c r="O181" s="9">
        <v>0</v>
      </c>
      <c r="P181" s="9">
        <v>16</v>
      </c>
      <c r="Q181" s="9">
        <v>300</v>
      </c>
      <c r="R181" s="10">
        <v>9.8</v>
      </c>
      <c r="S181" s="10">
        <v>4.31632653061224</v>
      </c>
      <c r="T181" s="10" t="s">
        <v>678</v>
      </c>
      <c r="U181" s="9" t="s">
        <v>498</v>
      </c>
      <c r="V181" s="10"/>
      <c r="W181" s="24"/>
    </row>
    <row r="182" customHeight="1" spans="1:23">
      <c r="A182" s="6" t="str">
        <f>_xlfn.DISPIMG("ID_5F536C7CD5EA481FA6B0728B1CD9863F",1)</f>
        <v>=DISPIMG("ID_5F536C7CD5EA481FA6B0728B1CD9863F",1)</v>
      </c>
      <c r="B182" s="11" t="s">
        <v>682</v>
      </c>
      <c r="C182" s="11" t="s">
        <v>683</v>
      </c>
      <c r="D182" s="11" t="s">
        <v>684</v>
      </c>
      <c r="E182" s="11" t="s">
        <v>230</v>
      </c>
      <c r="F182" s="11">
        <v>27</v>
      </c>
      <c r="G182" s="12">
        <v>27</v>
      </c>
      <c r="H182" s="12">
        <v>29.7</v>
      </c>
      <c r="I182" s="12">
        <v>25.4</v>
      </c>
      <c r="J182" s="11">
        <v>18</v>
      </c>
      <c r="K182" s="11">
        <v>18</v>
      </c>
      <c r="L182" s="11">
        <v>15</v>
      </c>
      <c r="M182" s="11">
        <v>18</v>
      </c>
      <c r="N182" s="11">
        <v>12</v>
      </c>
      <c r="O182" s="11">
        <v>0</v>
      </c>
      <c r="P182" s="11">
        <v>9</v>
      </c>
      <c r="Q182" s="11">
        <v>300</v>
      </c>
      <c r="R182" s="12">
        <v>5.8</v>
      </c>
      <c r="S182" s="12">
        <v>4.37931034482759</v>
      </c>
      <c r="T182" s="12" t="s">
        <v>678</v>
      </c>
      <c r="U182" s="11" t="s">
        <v>498</v>
      </c>
      <c r="V182" s="12"/>
      <c r="W182" s="20"/>
    </row>
    <row r="183" customHeight="1" spans="1:23">
      <c r="A183" s="6" t="str">
        <f>_xlfn.DISPIMG("ID_CACB1B4C4C404FA5A10BFBB945BBA386",1)</f>
        <v>=DISPIMG("ID_CACB1B4C4C404FA5A10BFBB945BBA386",1)</v>
      </c>
      <c r="B183" s="13" t="s">
        <v>685</v>
      </c>
      <c r="C183" s="13" t="s">
        <v>686</v>
      </c>
      <c r="D183" s="13" t="s">
        <v>687</v>
      </c>
      <c r="E183" s="13" t="s">
        <v>237</v>
      </c>
      <c r="F183" s="13">
        <v>27</v>
      </c>
      <c r="G183" s="14">
        <v>27</v>
      </c>
      <c r="H183" s="14">
        <v>29.7</v>
      </c>
      <c r="I183" s="14">
        <v>25.4</v>
      </c>
      <c r="J183" s="13">
        <v>18</v>
      </c>
      <c r="K183" s="13">
        <v>18</v>
      </c>
      <c r="L183" s="13">
        <v>15</v>
      </c>
      <c r="M183" s="13">
        <v>18</v>
      </c>
      <c r="N183" s="13">
        <v>12</v>
      </c>
      <c r="O183" s="13">
        <v>0</v>
      </c>
      <c r="P183" s="13">
        <v>9</v>
      </c>
      <c r="Q183" s="13">
        <v>300</v>
      </c>
      <c r="R183" s="14">
        <v>5.8</v>
      </c>
      <c r="S183" s="14">
        <v>4.37931034482759</v>
      </c>
      <c r="T183" s="14" t="s">
        <v>678</v>
      </c>
      <c r="U183" s="13" t="s">
        <v>498</v>
      </c>
      <c r="V183" s="14"/>
      <c r="W183" s="21"/>
    </row>
    <row r="184" s="2" customFormat="1" ht="116.25" spans="1:23">
      <c r="A184" s="15" t="str">
        <f>_xlfn.DISPIMG("ID_4A498B2462D248D2925A4DB04CD322DE",1)</f>
        <v>=DISPIMG("ID_4A498B2462D248D2925A4DB04CD322DE",1)</v>
      </c>
      <c r="B184" s="16" t="s">
        <v>688</v>
      </c>
      <c r="C184" s="16"/>
      <c r="D184" s="16"/>
      <c r="E184" s="16" t="s">
        <v>215</v>
      </c>
      <c r="F184" s="16">
        <v>117</v>
      </c>
      <c r="G184" s="17">
        <v>117</v>
      </c>
      <c r="H184" s="17">
        <v>128.7</v>
      </c>
      <c r="I184" s="17">
        <v>110</v>
      </c>
      <c r="J184" s="16">
        <v>78</v>
      </c>
      <c r="K184" s="16">
        <v>79</v>
      </c>
      <c r="L184" s="16">
        <v>67</v>
      </c>
      <c r="M184" s="16">
        <v>78</v>
      </c>
      <c r="N184" s="16">
        <v>53</v>
      </c>
      <c r="O184" s="16">
        <v>0</v>
      </c>
      <c r="P184" s="16">
        <v>40</v>
      </c>
      <c r="Q184" s="16">
        <v>1200</v>
      </c>
      <c r="R184" s="17">
        <v>25.2</v>
      </c>
      <c r="S184" s="17">
        <v>4.64285714285714</v>
      </c>
      <c r="T184" s="17" t="s">
        <v>678</v>
      </c>
      <c r="U184" s="16" t="s">
        <v>498</v>
      </c>
      <c r="V184" s="17"/>
      <c r="W184" s="22" t="s">
        <v>689</v>
      </c>
    </row>
    <row r="185" customHeight="1" spans="1:23">
      <c r="A185" s="6" t="str">
        <f>_xlfn.DISPIMG("ID_CBF4751CBBD641E3AC040A34E78DF872",1)</f>
        <v>=DISPIMG("ID_CBF4751CBBD641E3AC040A34E78DF872",1)</v>
      </c>
      <c r="B185" s="7" t="s">
        <v>690</v>
      </c>
      <c r="C185" s="7" t="s">
        <v>691</v>
      </c>
      <c r="D185" s="7" t="s">
        <v>692</v>
      </c>
      <c r="E185" s="7" t="s">
        <v>220</v>
      </c>
      <c r="F185" s="7">
        <v>17</v>
      </c>
      <c r="G185" s="8">
        <v>16.2</v>
      </c>
      <c r="H185" s="8">
        <v>18.5</v>
      </c>
      <c r="I185" s="8">
        <v>17</v>
      </c>
      <c r="J185" s="7">
        <v>10</v>
      </c>
      <c r="K185" s="7">
        <v>12</v>
      </c>
      <c r="L185" s="7">
        <v>8</v>
      </c>
      <c r="M185" s="7">
        <v>10</v>
      </c>
      <c r="N185" s="7">
        <v>7</v>
      </c>
      <c r="O185" s="7">
        <v>0</v>
      </c>
      <c r="P185" s="7">
        <v>6</v>
      </c>
      <c r="Q185" s="7">
        <v>250</v>
      </c>
      <c r="R185" s="8">
        <v>4.1</v>
      </c>
      <c r="S185" s="8">
        <v>4.14634146341463</v>
      </c>
      <c r="T185" s="8" t="s">
        <v>693</v>
      </c>
      <c r="U185" s="7" t="s">
        <v>498</v>
      </c>
      <c r="V185" s="8"/>
      <c r="W185" s="18"/>
    </row>
    <row r="186" customHeight="1" spans="1:23">
      <c r="A186" s="3" t="str">
        <f>_xlfn.DISPIMG("ID_1B4FFA26D81A4BC0BAF33EA2622600EA",1)</f>
        <v>=DISPIMG("ID_1B4FFA26D81A4BC0BAF33EA2622600EA",1)</v>
      </c>
      <c r="B186" s="9" t="s">
        <v>694</v>
      </c>
      <c r="C186" s="9" t="s">
        <v>695</v>
      </c>
      <c r="D186" s="9" t="s">
        <v>696</v>
      </c>
      <c r="E186" s="9" t="s">
        <v>226</v>
      </c>
      <c r="F186" s="9">
        <v>45</v>
      </c>
      <c r="G186" s="10">
        <v>42.8</v>
      </c>
      <c r="H186" s="10">
        <v>49.1</v>
      </c>
      <c r="I186" s="10">
        <v>45</v>
      </c>
      <c r="J186" s="9">
        <v>28</v>
      </c>
      <c r="K186" s="9">
        <v>33</v>
      </c>
      <c r="L186" s="9">
        <v>20</v>
      </c>
      <c r="M186" s="9">
        <v>26</v>
      </c>
      <c r="N186" s="9">
        <v>18</v>
      </c>
      <c r="O186" s="9">
        <v>0</v>
      </c>
      <c r="P186" s="9">
        <v>16</v>
      </c>
      <c r="Q186" s="9">
        <v>250</v>
      </c>
      <c r="R186" s="10">
        <v>10.5</v>
      </c>
      <c r="S186" s="10">
        <v>4.28571428571429</v>
      </c>
      <c r="T186" s="10" t="s">
        <v>693</v>
      </c>
      <c r="U186" s="9" t="s">
        <v>498</v>
      </c>
      <c r="V186" s="10"/>
      <c r="W186" s="24"/>
    </row>
    <row r="187" customHeight="1" spans="1:23">
      <c r="A187" s="6" t="str">
        <f>_xlfn.DISPIMG("ID_98267032B80248D29158D945B34025C3",1)</f>
        <v>=DISPIMG("ID_98267032B80248D29158D945B34025C3",1)</v>
      </c>
      <c r="B187" s="11" t="s">
        <v>697</v>
      </c>
      <c r="C187" s="11" t="s">
        <v>698</v>
      </c>
      <c r="D187" s="11" t="s">
        <v>699</v>
      </c>
      <c r="E187" s="11" t="s">
        <v>230</v>
      </c>
      <c r="F187" s="11">
        <v>26</v>
      </c>
      <c r="G187" s="12">
        <v>24.7</v>
      </c>
      <c r="H187" s="12">
        <v>28.3</v>
      </c>
      <c r="I187" s="12">
        <v>26</v>
      </c>
      <c r="J187" s="11">
        <v>16</v>
      </c>
      <c r="K187" s="11">
        <v>18</v>
      </c>
      <c r="L187" s="11">
        <v>12</v>
      </c>
      <c r="M187" s="11">
        <v>16</v>
      </c>
      <c r="N187" s="11">
        <v>10</v>
      </c>
      <c r="O187" s="11">
        <v>0</v>
      </c>
      <c r="P187" s="11">
        <v>9</v>
      </c>
      <c r="Q187" s="11">
        <v>250</v>
      </c>
      <c r="R187" s="12">
        <v>6.2</v>
      </c>
      <c r="S187" s="12">
        <v>4.19354838709677</v>
      </c>
      <c r="T187" s="12" t="s">
        <v>693</v>
      </c>
      <c r="U187" s="11" t="s">
        <v>498</v>
      </c>
      <c r="V187" s="12"/>
      <c r="W187" s="20"/>
    </row>
    <row r="188" customHeight="1" spans="1:23">
      <c r="A188" s="6" t="str">
        <f>_xlfn.DISPIMG("ID_D617829762A4446FB488AC350C2993CC",1)</f>
        <v>=DISPIMG("ID_D617829762A4446FB488AC350C2993CC",1)</v>
      </c>
      <c r="B188" s="13" t="s">
        <v>700</v>
      </c>
      <c r="C188" s="13" t="s">
        <v>701</v>
      </c>
      <c r="D188" s="13" t="s">
        <v>702</v>
      </c>
      <c r="E188" s="13" t="s">
        <v>237</v>
      </c>
      <c r="F188" s="13">
        <v>26</v>
      </c>
      <c r="G188" s="14">
        <v>24.7</v>
      </c>
      <c r="H188" s="14">
        <v>28.3</v>
      </c>
      <c r="I188" s="14">
        <v>26</v>
      </c>
      <c r="J188" s="13">
        <v>16</v>
      </c>
      <c r="K188" s="13">
        <v>18</v>
      </c>
      <c r="L188" s="13">
        <v>12</v>
      </c>
      <c r="M188" s="13">
        <v>16</v>
      </c>
      <c r="N188" s="13">
        <v>10</v>
      </c>
      <c r="O188" s="13">
        <v>0</v>
      </c>
      <c r="P188" s="13">
        <v>9</v>
      </c>
      <c r="Q188" s="13">
        <v>250</v>
      </c>
      <c r="R188" s="14">
        <v>6.2</v>
      </c>
      <c r="S188" s="14">
        <v>4.19354838709677</v>
      </c>
      <c r="T188" s="14" t="s">
        <v>693</v>
      </c>
      <c r="U188" s="13" t="s">
        <v>498</v>
      </c>
      <c r="V188" s="14"/>
      <c r="W188" s="21"/>
    </row>
    <row r="189" s="2" customFormat="1" ht="116.25" spans="1:23">
      <c r="A189" s="15" t="str">
        <f>_xlfn.DISPIMG("ID_A825826523274CF186A9148F29281FDC",1)</f>
        <v>=DISPIMG("ID_A825826523274CF186A9148F29281FDC",1)</v>
      </c>
      <c r="B189" s="16" t="s">
        <v>703</v>
      </c>
      <c r="C189" s="16"/>
      <c r="D189" s="16"/>
      <c r="E189" s="16" t="s">
        <v>215</v>
      </c>
      <c r="F189" s="16">
        <v>114</v>
      </c>
      <c r="G189" s="17">
        <v>108.4</v>
      </c>
      <c r="H189" s="17">
        <v>124.2</v>
      </c>
      <c r="I189" s="17">
        <v>114</v>
      </c>
      <c r="J189" s="16">
        <v>70</v>
      </c>
      <c r="K189" s="16">
        <v>81</v>
      </c>
      <c r="L189" s="16">
        <v>52</v>
      </c>
      <c r="M189" s="16">
        <v>68</v>
      </c>
      <c r="N189" s="16">
        <v>45</v>
      </c>
      <c r="O189" s="16">
        <v>0</v>
      </c>
      <c r="P189" s="16">
        <v>40</v>
      </c>
      <c r="Q189" s="16">
        <v>1000</v>
      </c>
      <c r="R189" s="17">
        <v>27</v>
      </c>
      <c r="S189" s="17">
        <v>4.22222222222222</v>
      </c>
      <c r="T189" s="17" t="s">
        <v>693</v>
      </c>
      <c r="U189" s="16" t="s">
        <v>498</v>
      </c>
      <c r="V189" s="17"/>
      <c r="W189" s="22" t="s">
        <v>704</v>
      </c>
    </row>
    <row r="190" customHeight="1" spans="1:23">
      <c r="A190" s="6" t="str">
        <f>_xlfn.DISPIMG("ID_C62BB8C530184C26A0BB3F90603E3A78",1)</f>
        <v>=DISPIMG("ID_C62BB8C530184C26A0BB3F90603E3A78",1)</v>
      </c>
      <c r="B190" s="7" t="s">
        <v>705</v>
      </c>
      <c r="C190" s="7" t="s">
        <v>706</v>
      </c>
      <c r="D190" s="7" t="s">
        <v>707</v>
      </c>
      <c r="E190" s="7" t="s">
        <v>220</v>
      </c>
      <c r="F190" s="7">
        <v>18</v>
      </c>
      <c r="G190" s="8">
        <v>17.1</v>
      </c>
      <c r="H190" s="8">
        <v>20.9</v>
      </c>
      <c r="I190" s="8">
        <v>18</v>
      </c>
      <c r="J190" s="7">
        <v>10</v>
      </c>
      <c r="K190" s="7">
        <v>11</v>
      </c>
      <c r="L190" s="7">
        <v>7</v>
      </c>
      <c r="M190" s="7">
        <v>11</v>
      </c>
      <c r="N190" s="7">
        <v>8</v>
      </c>
      <c r="O190" s="7">
        <v>8</v>
      </c>
      <c r="P190" s="7">
        <v>8</v>
      </c>
      <c r="Q190" s="7">
        <v>500</v>
      </c>
      <c r="R190" s="8">
        <v>4.5</v>
      </c>
      <c r="S190" s="8">
        <v>4</v>
      </c>
      <c r="T190" s="8" t="s">
        <v>708</v>
      </c>
      <c r="U190" s="7" t="s">
        <v>498</v>
      </c>
      <c r="V190" s="8"/>
      <c r="W190" s="18"/>
    </row>
    <row r="191" customHeight="1" spans="1:23">
      <c r="A191" s="3" t="str">
        <f>_xlfn.DISPIMG("ID_44CAE50D45E9445BB62BEDC5091CDCC6",1)</f>
        <v>=DISPIMG("ID_44CAE50D45E9445BB62BEDC5091CDCC6",1)</v>
      </c>
      <c r="B191" s="9" t="s">
        <v>709</v>
      </c>
      <c r="C191" s="9" t="s">
        <v>710</v>
      </c>
      <c r="D191" s="9" t="s">
        <v>711</v>
      </c>
      <c r="E191" s="9" t="s">
        <v>226</v>
      </c>
      <c r="F191" s="9">
        <v>48</v>
      </c>
      <c r="G191" s="10">
        <v>45.6</v>
      </c>
      <c r="H191" s="10">
        <v>55.7</v>
      </c>
      <c r="I191" s="10">
        <v>48</v>
      </c>
      <c r="J191" s="9">
        <v>23</v>
      </c>
      <c r="K191" s="9">
        <v>30</v>
      </c>
      <c r="L191" s="9">
        <v>19</v>
      </c>
      <c r="M191" s="9">
        <v>28</v>
      </c>
      <c r="N191" s="9">
        <v>22</v>
      </c>
      <c r="O191" s="9">
        <v>22</v>
      </c>
      <c r="P191" s="9">
        <v>20</v>
      </c>
      <c r="Q191" s="9">
        <v>500</v>
      </c>
      <c r="R191" s="10">
        <v>11.7</v>
      </c>
      <c r="S191" s="10">
        <v>4.1025641025641</v>
      </c>
      <c r="T191" s="10" t="s">
        <v>708</v>
      </c>
      <c r="U191" s="9" t="s">
        <v>498</v>
      </c>
      <c r="V191" s="10"/>
      <c r="W191" s="19"/>
    </row>
    <row r="192" customHeight="1" spans="1:23">
      <c r="A192" s="6" t="str">
        <f>_xlfn.DISPIMG("ID_2A15E61D623B47FF9087F5BE412FD963",1)</f>
        <v>=DISPIMG("ID_2A15E61D623B47FF9087F5BE412FD963",1)</v>
      </c>
      <c r="B192" s="11" t="s">
        <v>712</v>
      </c>
      <c r="C192" s="11" t="s">
        <v>713</v>
      </c>
      <c r="D192" s="11" t="s">
        <v>714</v>
      </c>
      <c r="E192" s="11" t="s">
        <v>230</v>
      </c>
      <c r="F192" s="11">
        <v>21</v>
      </c>
      <c r="G192" s="12">
        <v>19.9</v>
      </c>
      <c r="H192" s="12">
        <v>24.4</v>
      </c>
      <c r="I192" s="12">
        <v>21</v>
      </c>
      <c r="J192" s="11">
        <v>10</v>
      </c>
      <c r="K192" s="11">
        <v>12</v>
      </c>
      <c r="L192" s="11">
        <v>8</v>
      </c>
      <c r="M192" s="11">
        <v>11</v>
      </c>
      <c r="N192" s="11">
        <v>10</v>
      </c>
      <c r="O192" s="11">
        <v>10</v>
      </c>
      <c r="P192" s="11">
        <v>8</v>
      </c>
      <c r="Q192" s="11">
        <v>500</v>
      </c>
      <c r="R192" s="12">
        <v>5</v>
      </c>
      <c r="S192" s="12">
        <v>4.2</v>
      </c>
      <c r="T192" s="12" t="s">
        <v>708</v>
      </c>
      <c r="U192" s="11" t="s">
        <v>498</v>
      </c>
      <c r="V192" s="12"/>
      <c r="W192" s="20"/>
    </row>
    <row r="193" customHeight="1" spans="1:23">
      <c r="A193" s="6" t="str">
        <f>_xlfn.DISPIMG("ID_AC505F03A1164F53872C03E854A13764",1)</f>
        <v>=DISPIMG("ID_AC505F03A1164F53872C03E854A13764",1)</v>
      </c>
      <c r="B193" s="13" t="s">
        <v>715</v>
      </c>
      <c r="C193" s="13" t="s">
        <v>716</v>
      </c>
      <c r="D193" s="13" t="s">
        <v>717</v>
      </c>
      <c r="E193" s="13" t="s">
        <v>237</v>
      </c>
      <c r="F193" s="13">
        <v>28</v>
      </c>
      <c r="G193" s="14">
        <v>26.6</v>
      </c>
      <c r="H193" s="14">
        <v>32.5</v>
      </c>
      <c r="I193" s="14">
        <v>28</v>
      </c>
      <c r="J193" s="13">
        <v>14</v>
      </c>
      <c r="K193" s="13">
        <v>18</v>
      </c>
      <c r="L193" s="13">
        <v>11</v>
      </c>
      <c r="M193" s="13">
        <v>15</v>
      </c>
      <c r="N193" s="13">
        <v>14</v>
      </c>
      <c r="O193" s="13">
        <v>14</v>
      </c>
      <c r="P193" s="13">
        <v>11</v>
      </c>
      <c r="Q193" s="13">
        <v>500</v>
      </c>
      <c r="R193" s="14">
        <v>6.9</v>
      </c>
      <c r="S193" s="14">
        <v>4.05797101449275</v>
      </c>
      <c r="T193" s="14" t="s">
        <v>708</v>
      </c>
      <c r="U193" s="13" t="s">
        <v>498</v>
      </c>
      <c r="V193" s="14"/>
      <c r="W193" s="21"/>
    </row>
    <row r="194" s="2" customFormat="1" ht="116.25" spans="1:23">
      <c r="A194" s="15" t="str">
        <f>_xlfn.DISPIMG("ID_FC4B51735427462DA514CB6AA17E89A0",1)</f>
        <v>=DISPIMG("ID_FC4B51735427462DA514CB6AA17E89A0",1)</v>
      </c>
      <c r="B194" s="16" t="s">
        <v>718</v>
      </c>
      <c r="C194" s="16"/>
      <c r="D194" s="16"/>
      <c r="E194" s="16" t="s">
        <v>215</v>
      </c>
      <c r="F194" s="16">
        <v>115</v>
      </c>
      <c r="G194" s="17">
        <v>109.2</v>
      </c>
      <c r="H194" s="17">
        <v>133.5</v>
      </c>
      <c r="I194" s="17">
        <v>115</v>
      </c>
      <c r="J194" s="16">
        <v>57</v>
      </c>
      <c r="K194" s="16">
        <v>71</v>
      </c>
      <c r="L194" s="16">
        <v>45</v>
      </c>
      <c r="M194" s="16">
        <v>65</v>
      </c>
      <c r="N194" s="16">
        <v>54</v>
      </c>
      <c r="O194" s="16">
        <v>54</v>
      </c>
      <c r="P194" s="16">
        <v>47</v>
      </c>
      <c r="Q194" s="16">
        <v>2000</v>
      </c>
      <c r="R194" s="17">
        <v>28.1</v>
      </c>
      <c r="S194" s="17">
        <v>4.09252669039146</v>
      </c>
      <c r="T194" s="17" t="s">
        <v>708</v>
      </c>
      <c r="U194" s="16" t="s">
        <v>498</v>
      </c>
      <c r="V194" s="17"/>
      <c r="W194" s="22" t="s">
        <v>719</v>
      </c>
    </row>
    <row r="195" customHeight="1" spans="1:23">
      <c r="A195" s="6" t="str">
        <f>_xlfn.DISPIMG("ID_C8B2FDC1DB504374A9D3735E1A98947F",1)</f>
        <v>=DISPIMG("ID_C8B2FDC1DB504374A9D3735E1A98947F",1)</v>
      </c>
      <c r="B195" s="7" t="s">
        <v>720</v>
      </c>
      <c r="C195" s="7" t="s">
        <v>721</v>
      </c>
      <c r="D195" s="7" t="s">
        <v>722</v>
      </c>
      <c r="E195" s="7" t="s">
        <v>220</v>
      </c>
      <c r="F195" s="7">
        <v>22</v>
      </c>
      <c r="G195" s="8">
        <v>20.9</v>
      </c>
      <c r="H195" s="8">
        <v>25.3</v>
      </c>
      <c r="I195" s="8">
        <v>22</v>
      </c>
      <c r="J195" s="7">
        <v>12</v>
      </c>
      <c r="K195" s="7">
        <v>13</v>
      </c>
      <c r="L195" s="7">
        <v>7</v>
      </c>
      <c r="M195" s="7">
        <v>13</v>
      </c>
      <c r="N195" s="7">
        <v>9</v>
      </c>
      <c r="O195" s="7">
        <v>22</v>
      </c>
      <c r="P195" s="7">
        <v>8</v>
      </c>
      <c r="Q195" s="7">
        <v>500</v>
      </c>
      <c r="R195" s="8">
        <v>5</v>
      </c>
      <c r="S195" s="8">
        <v>4.4</v>
      </c>
      <c r="T195" s="8" t="s">
        <v>723</v>
      </c>
      <c r="U195" s="7" t="s">
        <v>498</v>
      </c>
      <c r="V195" s="8" t="s">
        <v>213</v>
      </c>
      <c r="W195" s="18"/>
    </row>
    <row r="196" customHeight="1" spans="1:23">
      <c r="A196" s="23" t="str">
        <f>_xlfn.DISPIMG("ID_FC654DBBC5DC45FD8FB0C01AC74EB039",1)</f>
        <v>=DISPIMG("ID_FC654DBBC5DC45FD8FB0C01AC74EB039",1)</v>
      </c>
      <c r="B196" s="9" t="s">
        <v>724</v>
      </c>
      <c r="C196" s="9" t="s">
        <v>725</v>
      </c>
      <c r="D196" s="9" t="s">
        <v>726</v>
      </c>
      <c r="E196" s="9" t="s">
        <v>226</v>
      </c>
      <c r="F196" s="9">
        <v>59</v>
      </c>
      <c r="G196" s="10">
        <v>56.1</v>
      </c>
      <c r="H196" s="10">
        <v>67.9</v>
      </c>
      <c r="I196" s="10">
        <v>59</v>
      </c>
      <c r="J196" s="9">
        <v>31</v>
      </c>
      <c r="K196" s="9">
        <v>37</v>
      </c>
      <c r="L196" s="9">
        <v>19</v>
      </c>
      <c r="M196" s="9">
        <v>34</v>
      </c>
      <c r="N196" s="9">
        <v>24</v>
      </c>
      <c r="O196" s="9">
        <v>57</v>
      </c>
      <c r="P196" s="9">
        <v>20</v>
      </c>
      <c r="Q196" s="9">
        <v>500</v>
      </c>
      <c r="R196" s="10">
        <v>12.9</v>
      </c>
      <c r="S196" s="10">
        <v>4.57364341085271</v>
      </c>
      <c r="T196" s="10" t="s">
        <v>723</v>
      </c>
      <c r="U196" s="9" t="s">
        <v>498</v>
      </c>
      <c r="V196" s="10" t="s">
        <v>213</v>
      </c>
      <c r="W196" s="24"/>
    </row>
    <row r="197" customHeight="1" spans="1:23">
      <c r="A197" s="6" t="str">
        <f>_xlfn.DISPIMG("ID_722D5E620E074D4CBBB6F20B6E67C627",1)</f>
        <v>=DISPIMG("ID_722D5E620E074D4CBBB6F20B6E67C627",1)</v>
      </c>
      <c r="B197" s="11" t="s">
        <v>727</v>
      </c>
      <c r="C197" s="11" t="s">
        <v>728</v>
      </c>
      <c r="D197" s="11" t="s">
        <v>729</v>
      </c>
      <c r="E197" s="11" t="s">
        <v>230</v>
      </c>
      <c r="F197" s="11">
        <v>35</v>
      </c>
      <c r="G197" s="12">
        <v>33.3</v>
      </c>
      <c r="H197" s="12">
        <v>40.3</v>
      </c>
      <c r="I197" s="12">
        <v>35</v>
      </c>
      <c r="J197" s="11">
        <v>19</v>
      </c>
      <c r="K197" s="11">
        <v>21</v>
      </c>
      <c r="L197" s="11">
        <v>12</v>
      </c>
      <c r="M197" s="11">
        <v>21</v>
      </c>
      <c r="N197" s="11">
        <v>13</v>
      </c>
      <c r="O197" s="11">
        <v>34</v>
      </c>
      <c r="P197" s="11">
        <v>12</v>
      </c>
      <c r="Q197" s="11">
        <v>500</v>
      </c>
      <c r="R197" s="12">
        <v>7.6</v>
      </c>
      <c r="S197" s="12">
        <v>4.60526315789474</v>
      </c>
      <c r="T197" s="12" t="s">
        <v>723</v>
      </c>
      <c r="U197" s="11" t="s">
        <v>498</v>
      </c>
      <c r="V197" s="12" t="s">
        <v>213</v>
      </c>
      <c r="W197" s="20"/>
    </row>
    <row r="198" customHeight="1" spans="1:23">
      <c r="A198" s="6" t="str">
        <f>_xlfn.DISPIMG("ID_EB687899EC3945148E53D038468ACE3E",1)</f>
        <v>=DISPIMG("ID_EB687899EC3945148E53D038468ACE3E",1)</v>
      </c>
      <c r="B198" s="13" t="s">
        <v>730</v>
      </c>
      <c r="C198" s="13" t="s">
        <v>731</v>
      </c>
      <c r="D198" s="13" t="s">
        <v>732</v>
      </c>
      <c r="E198" s="13" t="s">
        <v>237</v>
      </c>
      <c r="F198" s="13">
        <v>35</v>
      </c>
      <c r="G198" s="14">
        <v>33.3</v>
      </c>
      <c r="H198" s="14">
        <v>40.3</v>
      </c>
      <c r="I198" s="14">
        <v>35</v>
      </c>
      <c r="J198" s="13">
        <v>19</v>
      </c>
      <c r="K198" s="13">
        <v>21</v>
      </c>
      <c r="L198" s="13">
        <v>12</v>
      </c>
      <c r="M198" s="13">
        <v>21</v>
      </c>
      <c r="N198" s="13">
        <v>13</v>
      </c>
      <c r="O198" s="13">
        <v>34</v>
      </c>
      <c r="P198" s="13">
        <v>12</v>
      </c>
      <c r="Q198" s="13">
        <v>500</v>
      </c>
      <c r="R198" s="14">
        <v>7.6</v>
      </c>
      <c r="S198" s="14">
        <v>4.60526315789474</v>
      </c>
      <c r="T198" s="14" t="s">
        <v>723</v>
      </c>
      <c r="U198" s="13" t="s">
        <v>498</v>
      </c>
      <c r="V198" s="14" t="s">
        <v>213</v>
      </c>
      <c r="W198" s="21"/>
    </row>
    <row r="199" s="2" customFormat="1" ht="116.25" spans="1:23">
      <c r="A199" s="15" t="str">
        <f>_xlfn.DISPIMG("ID_64DE07118C064685887EF5BFA2AEAC5A",1)</f>
        <v>=DISPIMG("ID_64DE07118C064685887EF5BFA2AEAC5A",1)</v>
      </c>
      <c r="B199" s="16" t="s">
        <v>733</v>
      </c>
      <c r="C199" s="16"/>
      <c r="D199" s="16"/>
      <c r="E199" s="16" t="s">
        <v>215</v>
      </c>
      <c r="F199" s="16">
        <v>151</v>
      </c>
      <c r="G199" s="17">
        <v>143.6</v>
      </c>
      <c r="H199" s="17">
        <v>173.8</v>
      </c>
      <c r="I199" s="17">
        <v>151</v>
      </c>
      <c r="J199" s="16">
        <v>81</v>
      </c>
      <c r="K199" s="16">
        <v>92</v>
      </c>
      <c r="L199" s="16">
        <v>50</v>
      </c>
      <c r="M199" s="16">
        <v>89</v>
      </c>
      <c r="N199" s="16">
        <v>59</v>
      </c>
      <c r="O199" s="16">
        <v>147</v>
      </c>
      <c r="P199" s="16">
        <v>52</v>
      </c>
      <c r="Q199" s="16">
        <v>2000</v>
      </c>
      <c r="R199" s="17">
        <v>33.1</v>
      </c>
      <c r="S199" s="17">
        <v>4.5619335347432</v>
      </c>
      <c r="T199" s="17" t="s">
        <v>723</v>
      </c>
      <c r="U199" s="16" t="s">
        <v>498</v>
      </c>
      <c r="V199" s="17" t="s">
        <v>213</v>
      </c>
      <c r="W199" s="22" t="s">
        <v>734</v>
      </c>
    </row>
    <row r="200" customHeight="1" spans="1:23">
      <c r="A200" s="6" t="str">
        <f>_xlfn.DISPIMG("ID_994EEC464A114938B290205E4C25F998",1)</f>
        <v>=DISPIMG("ID_994EEC464A114938B290205E4C25F998",1)</v>
      </c>
      <c r="B200" s="7" t="s">
        <v>735</v>
      </c>
      <c r="C200" s="7" t="s">
        <v>736</v>
      </c>
      <c r="D200" s="7" t="s">
        <v>737</v>
      </c>
      <c r="E200" s="7" t="s">
        <v>220</v>
      </c>
      <c r="F200" s="7">
        <v>18</v>
      </c>
      <c r="G200" s="8">
        <v>27.7</v>
      </c>
      <c r="H200" s="8">
        <v>18</v>
      </c>
      <c r="I200" s="8">
        <v>15.3</v>
      </c>
      <c r="J200" s="7">
        <v>15</v>
      </c>
      <c r="K200" s="7">
        <v>3</v>
      </c>
      <c r="L200" s="7">
        <v>8</v>
      </c>
      <c r="M200" s="7">
        <v>8</v>
      </c>
      <c r="N200" s="7">
        <v>11</v>
      </c>
      <c r="O200" s="7">
        <v>35</v>
      </c>
      <c r="P200" s="7">
        <v>0</v>
      </c>
      <c r="Q200" s="7">
        <v>400</v>
      </c>
      <c r="R200" s="8">
        <v>5</v>
      </c>
      <c r="S200" s="8">
        <v>3.06</v>
      </c>
      <c r="T200" s="8" t="s">
        <v>738</v>
      </c>
      <c r="U200" s="7" t="s">
        <v>498</v>
      </c>
      <c r="V200" s="8"/>
      <c r="W200" s="18"/>
    </row>
    <row r="201" s="1" customFormat="1" customHeight="1" spans="1:23">
      <c r="A201" s="3" t="str">
        <f>_xlfn.DISPIMG("ID_12C34AC1341D499693E9E9FA092A9115",1)</f>
        <v>=DISPIMG("ID_12C34AC1341D499693E9E9FA092A9115",1)</v>
      </c>
      <c r="B201" s="9" t="s">
        <v>739</v>
      </c>
      <c r="C201" s="9" t="s">
        <v>740</v>
      </c>
      <c r="D201" s="9" t="s">
        <v>741</v>
      </c>
      <c r="E201" s="9" t="s">
        <v>226</v>
      </c>
      <c r="F201" s="9">
        <v>32</v>
      </c>
      <c r="G201" s="10">
        <v>35.8</v>
      </c>
      <c r="H201" s="10">
        <v>32</v>
      </c>
      <c r="I201" s="10">
        <v>29.1</v>
      </c>
      <c r="J201" s="9">
        <v>37</v>
      </c>
      <c r="K201" s="9">
        <v>7</v>
      </c>
      <c r="L201" s="9">
        <v>23</v>
      </c>
      <c r="M201" s="9">
        <v>22</v>
      </c>
      <c r="N201" s="9">
        <v>29</v>
      </c>
      <c r="O201" s="9">
        <v>0</v>
      </c>
      <c r="P201" s="9">
        <v>0</v>
      </c>
      <c r="Q201" s="9">
        <v>400</v>
      </c>
      <c r="R201" s="10">
        <v>3.9</v>
      </c>
      <c r="S201" s="10">
        <v>7.46153846153846</v>
      </c>
      <c r="T201" s="10" t="s">
        <v>738</v>
      </c>
      <c r="U201" s="9" t="s">
        <v>498</v>
      </c>
      <c r="V201" s="10"/>
      <c r="W201" s="24"/>
    </row>
    <row r="202" customHeight="1" spans="1:23">
      <c r="A202" s="6" t="str">
        <f>_xlfn.DISPIMG("ID_52A3253C7F674241B6007A32076E80F5",1)</f>
        <v>=DISPIMG("ID_52A3253C7F674241B6007A32076E80F5",1)</v>
      </c>
      <c r="B202" s="11" t="s">
        <v>742</v>
      </c>
      <c r="C202" s="11" t="s">
        <v>743</v>
      </c>
      <c r="D202" s="11" t="s">
        <v>744</v>
      </c>
      <c r="E202" s="11" t="s">
        <v>230</v>
      </c>
      <c r="F202" s="11">
        <v>18</v>
      </c>
      <c r="G202" s="12">
        <v>20.2</v>
      </c>
      <c r="H202" s="12">
        <v>18</v>
      </c>
      <c r="I202" s="12">
        <v>16.4</v>
      </c>
      <c r="J202" s="11">
        <v>22</v>
      </c>
      <c r="K202" s="11">
        <v>4</v>
      </c>
      <c r="L202" s="11">
        <v>14</v>
      </c>
      <c r="M202" s="11">
        <v>12</v>
      </c>
      <c r="N202" s="11">
        <v>18</v>
      </c>
      <c r="O202" s="11">
        <v>0</v>
      </c>
      <c r="P202" s="11">
        <v>0</v>
      </c>
      <c r="Q202" s="11">
        <v>400</v>
      </c>
      <c r="R202" s="12">
        <v>2.3</v>
      </c>
      <c r="S202" s="12">
        <v>7.1304347826087</v>
      </c>
      <c r="T202" s="12" t="s">
        <v>738</v>
      </c>
      <c r="U202" s="11" t="s">
        <v>498</v>
      </c>
      <c r="V202" s="12"/>
      <c r="W202" s="20"/>
    </row>
    <row r="203" customHeight="1" spans="1:23">
      <c r="A203" s="6" t="str">
        <f>_xlfn.DISPIMG("ID_46470FE768AE4459BCC5396AD1E73A48",1)</f>
        <v>=DISPIMG("ID_46470FE768AE4459BCC5396AD1E73A48",1)</v>
      </c>
      <c r="B203" s="13" t="s">
        <v>745</v>
      </c>
      <c r="C203" s="13" t="s">
        <v>746</v>
      </c>
      <c r="D203" s="13" t="s">
        <v>747</v>
      </c>
      <c r="E203" s="13" t="s">
        <v>237</v>
      </c>
      <c r="F203" s="13">
        <v>32</v>
      </c>
      <c r="G203" s="14">
        <v>35.8</v>
      </c>
      <c r="H203" s="14">
        <v>32</v>
      </c>
      <c r="I203" s="14">
        <v>29.1</v>
      </c>
      <c r="J203" s="13">
        <v>39</v>
      </c>
      <c r="K203" s="13">
        <v>7</v>
      </c>
      <c r="L203" s="13">
        <v>23</v>
      </c>
      <c r="M203" s="13">
        <v>22</v>
      </c>
      <c r="N203" s="13">
        <v>30</v>
      </c>
      <c r="O203" s="13">
        <v>0</v>
      </c>
      <c r="P203" s="13">
        <v>0</v>
      </c>
      <c r="Q203" s="13">
        <v>400</v>
      </c>
      <c r="R203" s="14">
        <v>4</v>
      </c>
      <c r="S203" s="14">
        <v>7.275</v>
      </c>
      <c r="T203" s="14" t="s">
        <v>738</v>
      </c>
      <c r="U203" s="13" t="s">
        <v>498</v>
      </c>
      <c r="V203" s="14"/>
      <c r="W203" s="21"/>
    </row>
    <row r="204" s="2" customFormat="1" ht="131.55" spans="1:23">
      <c r="A204" s="15" t="str">
        <f>_xlfn.DISPIMG("ID_A4A4E0AD89D54B3EBE77DE43FAE67755",1)</f>
        <v>=DISPIMG("ID_A4A4E0AD89D54B3EBE77DE43FAE67755",1)</v>
      </c>
      <c r="B204" s="16" t="s">
        <v>748</v>
      </c>
      <c r="C204" s="16"/>
      <c r="D204" s="16"/>
      <c r="E204" s="16" t="s">
        <v>215</v>
      </c>
      <c r="F204" s="16">
        <v>100</v>
      </c>
      <c r="G204" s="17">
        <v>119.5</v>
      </c>
      <c r="H204" s="17">
        <v>100</v>
      </c>
      <c r="I204" s="17">
        <v>89.9</v>
      </c>
      <c r="J204" s="16">
        <v>113</v>
      </c>
      <c r="K204" s="16">
        <v>21</v>
      </c>
      <c r="L204" s="16">
        <v>68</v>
      </c>
      <c r="M204" s="16">
        <v>64</v>
      </c>
      <c r="N204" s="16">
        <v>88</v>
      </c>
      <c r="O204" s="16">
        <v>35</v>
      </c>
      <c r="P204" s="16">
        <v>0</v>
      </c>
      <c r="Q204" s="16">
        <v>1600</v>
      </c>
      <c r="R204" s="17">
        <v>15.2</v>
      </c>
      <c r="S204" s="17">
        <v>6.57894736842105</v>
      </c>
      <c r="T204" s="17" t="s">
        <v>738</v>
      </c>
      <c r="U204" s="16" t="s">
        <v>498</v>
      </c>
      <c r="V204" s="17"/>
      <c r="W204" s="22" t="s">
        <v>749</v>
      </c>
    </row>
    <row r="205" customHeight="1" spans="1:23">
      <c r="A205" s="6" t="str">
        <f>_xlfn.DISPIMG("ID_84823CBA2A814621B15A4F8BB653BD78",1)</f>
        <v>=DISPIMG("ID_84823CBA2A814621B15A4F8BB653BD78",1)</v>
      </c>
      <c r="B205" s="7" t="s">
        <v>750</v>
      </c>
      <c r="C205" s="7" t="s">
        <v>751</v>
      </c>
      <c r="D205" s="7" t="s">
        <v>752</v>
      </c>
      <c r="E205" s="7" t="s">
        <v>220</v>
      </c>
      <c r="F205" s="7">
        <v>18</v>
      </c>
      <c r="G205" s="8">
        <v>17.3</v>
      </c>
      <c r="H205" s="8">
        <v>20.3</v>
      </c>
      <c r="I205" s="8">
        <v>18</v>
      </c>
      <c r="J205" s="7">
        <v>12</v>
      </c>
      <c r="K205" s="7">
        <v>11</v>
      </c>
      <c r="L205" s="7">
        <v>11</v>
      </c>
      <c r="M205" s="7">
        <v>11</v>
      </c>
      <c r="N205" s="7">
        <v>9</v>
      </c>
      <c r="O205" s="7">
        <v>6</v>
      </c>
      <c r="P205" s="7">
        <v>8</v>
      </c>
      <c r="Q205" s="7">
        <v>600</v>
      </c>
      <c r="R205" s="8">
        <v>5.1</v>
      </c>
      <c r="S205" s="8">
        <v>3.52941176470588</v>
      </c>
      <c r="T205" s="8" t="s">
        <v>753</v>
      </c>
      <c r="U205" s="7" t="s">
        <v>498</v>
      </c>
      <c r="V205" s="8"/>
      <c r="W205" s="18"/>
    </row>
    <row r="206" customHeight="1" spans="1:23">
      <c r="A206" s="23" t="str">
        <f>_xlfn.DISPIMG("ID_DE082442C4C14612BD3CAA6A769ED3C1",1)</f>
        <v>=DISPIMG("ID_DE082442C4C14612BD3CAA6A769ED3C1",1)</v>
      </c>
      <c r="B206" s="9" t="s">
        <v>754</v>
      </c>
      <c r="C206" s="9" t="s">
        <v>755</v>
      </c>
      <c r="D206" s="9" t="s">
        <v>756</v>
      </c>
      <c r="E206" s="9" t="s">
        <v>226</v>
      </c>
      <c r="F206" s="9">
        <v>37</v>
      </c>
      <c r="G206" s="10">
        <v>35.5</v>
      </c>
      <c r="H206" s="10">
        <v>41.8</v>
      </c>
      <c r="I206" s="10">
        <v>37</v>
      </c>
      <c r="J206" s="9">
        <v>27</v>
      </c>
      <c r="K206" s="9">
        <v>25</v>
      </c>
      <c r="L206" s="9">
        <v>25</v>
      </c>
      <c r="M206" s="9">
        <v>24</v>
      </c>
      <c r="N206" s="9">
        <v>20</v>
      </c>
      <c r="O206" s="9">
        <v>11</v>
      </c>
      <c r="P206" s="9">
        <v>16</v>
      </c>
      <c r="Q206" s="9">
        <v>600</v>
      </c>
      <c r="R206" s="10">
        <v>10.9</v>
      </c>
      <c r="S206" s="10">
        <v>3.39449541284404</v>
      </c>
      <c r="T206" s="10" t="s">
        <v>753</v>
      </c>
      <c r="U206" s="9" t="s">
        <v>498</v>
      </c>
      <c r="V206" s="10"/>
      <c r="W206" s="24"/>
    </row>
    <row r="207" customHeight="1" spans="1:23">
      <c r="A207" s="6" t="str">
        <f>_xlfn.DISPIMG("ID_DF78A4C89D584826B65EEFFFFFB18722",1)</f>
        <v>=DISPIMG("ID_DF78A4C89D584826B65EEFFFFFB18722",1)</v>
      </c>
      <c r="B207" s="11" t="s">
        <v>757</v>
      </c>
      <c r="C207" s="11" t="s">
        <v>758</v>
      </c>
      <c r="D207" s="11" t="s">
        <v>759</v>
      </c>
      <c r="E207" s="11" t="s">
        <v>230</v>
      </c>
      <c r="F207" s="11">
        <v>19</v>
      </c>
      <c r="G207" s="12">
        <v>18.2</v>
      </c>
      <c r="H207" s="12">
        <v>21.5</v>
      </c>
      <c r="I207" s="12">
        <v>19</v>
      </c>
      <c r="J207" s="11">
        <v>14</v>
      </c>
      <c r="K207" s="11">
        <v>12</v>
      </c>
      <c r="L207" s="11">
        <v>12</v>
      </c>
      <c r="M207" s="11">
        <v>12</v>
      </c>
      <c r="N207" s="11">
        <v>10</v>
      </c>
      <c r="O207" s="11">
        <v>6</v>
      </c>
      <c r="P207" s="11">
        <v>8</v>
      </c>
      <c r="Q207" s="11">
        <v>600</v>
      </c>
      <c r="R207" s="12">
        <v>5.4</v>
      </c>
      <c r="S207" s="12">
        <v>3.51851851851852</v>
      </c>
      <c r="T207" s="12" t="s">
        <v>753</v>
      </c>
      <c r="U207" s="11" t="s">
        <v>498</v>
      </c>
      <c r="V207" s="12"/>
      <c r="W207" s="20"/>
    </row>
    <row r="208" customHeight="1" spans="1:23">
      <c r="A208" s="6" t="str">
        <f>_xlfn.DISPIMG("ID_5153AF1F791349C9A5D01DB2A71C803E",1)</f>
        <v>=DISPIMG("ID_5153AF1F791349C9A5D01DB2A71C803E",1)</v>
      </c>
      <c r="B208" s="13" t="s">
        <v>760</v>
      </c>
      <c r="C208" s="13" t="s">
        <v>761</v>
      </c>
      <c r="D208" s="13" t="s">
        <v>762</v>
      </c>
      <c r="E208" s="13" t="s">
        <v>237</v>
      </c>
      <c r="F208" s="13">
        <v>23</v>
      </c>
      <c r="G208" s="14">
        <v>22.1</v>
      </c>
      <c r="H208" s="14">
        <v>26</v>
      </c>
      <c r="I208" s="14">
        <v>23</v>
      </c>
      <c r="J208" s="13">
        <v>16</v>
      </c>
      <c r="K208" s="13">
        <v>15</v>
      </c>
      <c r="L208" s="13">
        <v>15</v>
      </c>
      <c r="M208" s="13">
        <v>14</v>
      </c>
      <c r="N208" s="13">
        <v>12</v>
      </c>
      <c r="O208" s="13">
        <v>7</v>
      </c>
      <c r="P208" s="13">
        <v>9</v>
      </c>
      <c r="Q208" s="13">
        <v>600</v>
      </c>
      <c r="R208" s="14">
        <v>6.4</v>
      </c>
      <c r="S208" s="14">
        <v>3.59375</v>
      </c>
      <c r="T208" s="14" t="s">
        <v>753</v>
      </c>
      <c r="U208" s="13" t="s">
        <v>498</v>
      </c>
      <c r="V208" s="14"/>
      <c r="W208" s="21"/>
    </row>
    <row r="209" s="2" customFormat="1" ht="118.25" spans="1:23">
      <c r="A209" s="15" t="str">
        <f>_xlfn.DISPIMG("ID_33889D11188C4A7286F2337EB703C6F8",1)</f>
        <v>=DISPIMG("ID_33889D11188C4A7286F2337EB703C6F8",1)</v>
      </c>
      <c r="B209" s="16" t="s">
        <v>763</v>
      </c>
      <c r="C209" s="16"/>
      <c r="D209" s="16"/>
      <c r="E209" s="16" t="s">
        <v>215</v>
      </c>
      <c r="F209" s="16">
        <v>97</v>
      </c>
      <c r="G209" s="17">
        <v>93.1</v>
      </c>
      <c r="H209" s="17">
        <v>109.6</v>
      </c>
      <c r="I209" s="17">
        <v>97</v>
      </c>
      <c r="J209" s="16">
        <v>69</v>
      </c>
      <c r="K209" s="16">
        <v>63</v>
      </c>
      <c r="L209" s="16">
        <v>63</v>
      </c>
      <c r="M209" s="16">
        <v>61</v>
      </c>
      <c r="N209" s="16">
        <v>51</v>
      </c>
      <c r="O209" s="16">
        <v>30</v>
      </c>
      <c r="P209" s="16">
        <v>41</v>
      </c>
      <c r="Q209" s="16">
        <v>2400</v>
      </c>
      <c r="R209" s="17">
        <v>27.8</v>
      </c>
      <c r="S209" s="17">
        <v>3.48920863309353</v>
      </c>
      <c r="T209" s="17" t="s">
        <v>753</v>
      </c>
      <c r="U209" s="16" t="s">
        <v>498</v>
      </c>
      <c r="V209" s="17"/>
      <c r="W209" s="22" t="s">
        <v>764</v>
      </c>
    </row>
    <row r="210" customHeight="1" spans="1:23">
      <c r="A210" s="6" t="str">
        <f>_xlfn.DISPIMG("ID_E3AA9D5B42614EFCB929E42DAA08DB37",1)</f>
        <v>=DISPIMG("ID_E3AA9D5B42614EFCB929E42DAA08DB37",1)</v>
      </c>
      <c r="B210" s="7" t="s">
        <v>765</v>
      </c>
      <c r="C210" s="7" t="s">
        <v>766</v>
      </c>
      <c r="D210" s="7" t="s">
        <v>767</v>
      </c>
      <c r="E210" s="7" t="s">
        <v>220</v>
      </c>
      <c r="F210" s="7">
        <v>18</v>
      </c>
      <c r="G210" s="8">
        <v>16.2</v>
      </c>
      <c r="H210" s="8">
        <v>20.7</v>
      </c>
      <c r="I210" s="8">
        <v>18.9</v>
      </c>
      <c r="J210" s="7">
        <v>9</v>
      </c>
      <c r="K210" s="7">
        <v>19</v>
      </c>
      <c r="L210" s="7">
        <v>9</v>
      </c>
      <c r="M210" s="7">
        <v>9</v>
      </c>
      <c r="N210" s="7">
        <v>9</v>
      </c>
      <c r="O210" s="7">
        <v>9</v>
      </c>
      <c r="P210" s="7">
        <v>6</v>
      </c>
      <c r="Q210" s="7">
        <v>600</v>
      </c>
      <c r="R210" s="8">
        <v>4.2</v>
      </c>
      <c r="S210" s="8">
        <v>4.5</v>
      </c>
      <c r="T210" s="8" t="s">
        <v>768</v>
      </c>
      <c r="U210" s="7" t="s">
        <v>498</v>
      </c>
      <c r="V210" s="8"/>
      <c r="W210" s="18"/>
    </row>
    <row r="211" customHeight="1" spans="1:23">
      <c r="A211" s="23" t="str">
        <f>_xlfn.DISPIMG("ID_1D5D96A0F17B413C82670526246C861C",1)</f>
        <v>=DISPIMG("ID_1D5D96A0F17B413C82670526246C861C",1)</v>
      </c>
      <c r="B211" s="9" t="s">
        <v>769</v>
      </c>
      <c r="C211" s="9" t="s">
        <v>770</v>
      </c>
      <c r="D211" s="9" t="s">
        <v>771</v>
      </c>
      <c r="E211" s="9" t="s">
        <v>226</v>
      </c>
      <c r="F211" s="9">
        <v>42</v>
      </c>
      <c r="G211" s="10">
        <v>37.8</v>
      </c>
      <c r="H211" s="10">
        <v>48.3</v>
      </c>
      <c r="I211" s="10">
        <v>44.1</v>
      </c>
      <c r="J211" s="9">
        <v>22</v>
      </c>
      <c r="K211" s="9">
        <v>46</v>
      </c>
      <c r="L211" s="9">
        <v>22</v>
      </c>
      <c r="M211" s="9">
        <v>22</v>
      </c>
      <c r="N211" s="9">
        <v>22</v>
      </c>
      <c r="O211" s="9">
        <v>20</v>
      </c>
      <c r="P211" s="9">
        <v>15</v>
      </c>
      <c r="Q211" s="9">
        <v>600</v>
      </c>
      <c r="R211" s="10">
        <v>10.5</v>
      </c>
      <c r="S211" s="10">
        <v>4.2</v>
      </c>
      <c r="T211" s="10" t="s">
        <v>768</v>
      </c>
      <c r="U211" s="9" t="s">
        <v>498</v>
      </c>
      <c r="V211" s="10"/>
      <c r="W211" s="24"/>
    </row>
    <row r="212" customHeight="1" spans="1:23">
      <c r="A212" s="6" t="str">
        <f>_xlfn.DISPIMG("ID_27AD2DCB41AA434C8EC8D993F1A35BAE",1)</f>
        <v>=DISPIMG("ID_27AD2DCB41AA434C8EC8D993F1A35BAE",1)</v>
      </c>
      <c r="B212" s="11" t="s">
        <v>772</v>
      </c>
      <c r="C212" s="11" t="s">
        <v>773</v>
      </c>
      <c r="D212" s="11" t="s">
        <v>774</v>
      </c>
      <c r="E212" s="11" t="s">
        <v>230</v>
      </c>
      <c r="F212" s="11">
        <v>20</v>
      </c>
      <c r="G212" s="12">
        <v>18</v>
      </c>
      <c r="H212" s="12">
        <v>23</v>
      </c>
      <c r="I212" s="12">
        <v>21</v>
      </c>
      <c r="J212" s="11">
        <v>10</v>
      </c>
      <c r="K212" s="11">
        <v>21</v>
      </c>
      <c r="L212" s="11">
        <v>10</v>
      </c>
      <c r="M212" s="11">
        <v>10</v>
      </c>
      <c r="N212" s="11">
        <v>10</v>
      </c>
      <c r="O212" s="11">
        <v>9</v>
      </c>
      <c r="P212" s="11">
        <v>7</v>
      </c>
      <c r="Q212" s="11">
        <v>600</v>
      </c>
      <c r="R212" s="12">
        <v>4.6</v>
      </c>
      <c r="S212" s="12">
        <v>4.56521739130435</v>
      </c>
      <c r="T212" s="12" t="s">
        <v>768</v>
      </c>
      <c r="U212" s="11" t="s">
        <v>498</v>
      </c>
      <c r="V212" s="12"/>
      <c r="W212" s="20"/>
    </row>
    <row r="213" customHeight="1" spans="1:23">
      <c r="A213" s="6" t="str">
        <f>_xlfn.DISPIMG("ID_7ABB3718084243D680CB5844B7CE77FD",1)</f>
        <v>=DISPIMG("ID_7ABB3718084243D680CB5844B7CE77FD",1)</v>
      </c>
      <c r="B213" s="13" t="s">
        <v>775</v>
      </c>
      <c r="C213" s="13" t="s">
        <v>776</v>
      </c>
      <c r="D213" s="13" t="s">
        <v>777</v>
      </c>
      <c r="E213" s="13" t="s">
        <v>237</v>
      </c>
      <c r="F213" s="13">
        <v>23</v>
      </c>
      <c r="G213" s="14">
        <v>20.7</v>
      </c>
      <c r="H213" s="14">
        <v>26.5</v>
      </c>
      <c r="I213" s="14">
        <v>24.2</v>
      </c>
      <c r="J213" s="13">
        <v>11</v>
      </c>
      <c r="K213" s="13">
        <v>24</v>
      </c>
      <c r="L213" s="13">
        <v>11</v>
      </c>
      <c r="M213" s="13">
        <v>11</v>
      </c>
      <c r="N213" s="13">
        <v>11</v>
      </c>
      <c r="O213" s="13">
        <v>10</v>
      </c>
      <c r="P213" s="13">
        <v>9</v>
      </c>
      <c r="Q213" s="13">
        <v>600</v>
      </c>
      <c r="R213" s="14">
        <v>5.5</v>
      </c>
      <c r="S213" s="14">
        <v>4.4</v>
      </c>
      <c r="T213" s="14" t="s">
        <v>768</v>
      </c>
      <c r="U213" s="13" t="s">
        <v>498</v>
      </c>
      <c r="V213" s="14"/>
      <c r="W213" s="21"/>
    </row>
    <row r="214" s="2" customFormat="1" ht="116.2" customHeight="1" spans="1:23">
      <c r="A214" s="15"/>
      <c r="B214" s="16" t="s">
        <v>778</v>
      </c>
      <c r="C214" s="16"/>
      <c r="D214" s="16"/>
      <c r="E214" s="16" t="s">
        <v>215</v>
      </c>
      <c r="F214" s="16">
        <v>103</v>
      </c>
      <c r="G214" s="17">
        <v>92.7</v>
      </c>
      <c r="H214" s="17">
        <v>118.5</v>
      </c>
      <c r="I214" s="17">
        <v>108.2</v>
      </c>
      <c r="J214" s="16">
        <v>52</v>
      </c>
      <c r="K214" s="16">
        <v>110</v>
      </c>
      <c r="L214" s="16">
        <v>52</v>
      </c>
      <c r="M214" s="16">
        <v>52</v>
      </c>
      <c r="N214" s="16">
        <v>52</v>
      </c>
      <c r="O214" s="16">
        <v>48</v>
      </c>
      <c r="P214" s="16">
        <v>37</v>
      </c>
      <c r="Q214" s="16">
        <v>2400</v>
      </c>
      <c r="R214" s="17">
        <v>24.8</v>
      </c>
      <c r="S214" s="17">
        <v>4.15322580645161</v>
      </c>
      <c r="T214" s="17" t="s">
        <v>768</v>
      </c>
      <c r="U214" s="16" t="s">
        <v>498</v>
      </c>
      <c r="V214" s="17"/>
      <c r="W214" s="22" t="s">
        <v>779</v>
      </c>
    </row>
    <row r="215" customHeight="1" spans="1:23">
      <c r="A215" s="6" t="str">
        <f>_xlfn.DISPIMG("ID_FEF647481F4C4723B4F84E33A6178E0C",1)</f>
        <v>=DISPIMG("ID_FEF647481F4C4723B4F84E33A6178E0C",1)</v>
      </c>
      <c r="B215" s="7" t="s">
        <v>780</v>
      </c>
      <c r="C215" s="7" t="s">
        <v>781</v>
      </c>
      <c r="D215" s="7" t="s">
        <v>782</v>
      </c>
      <c r="E215" s="7" t="s">
        <v>220</v>
      </c>
      <c r="F215" s="7">
        <v>13</v>
      </c>
      <c r="G215" s="8">
        <v>13</v>
      </c>
      <c r="H215" s="8">
        <v>13.7</v>
      </c>
      <c r="I215" s="8">
        <v>14.3</v>
      </c>
      <c r="J215" s="7">
        <v>10</v>
      </c>
      <c r="K215" s="7">
        <v>12</v>
      </c>
      <c r="L215" s="7">
        <v>8</v>
      </c>
      <c r="M215" s="7">
        <v>11</v>
      </c>
      <c r="N215" s="7">
        <v>19</v>
      </c>
      <c r="O215" s="7">
        <v>11</v>
      </c>
      <c r="P215" s="7">
        <v>3</v>
      </c>
      <c r="Q215" s="7">
        <v>250</v>
      </c>
      <c r="R215" s="8">
        <v>2.5</v>
      </c>
      <c r="S215" s="8">
        <v>5.72</v>
      </c>
      <c r="T215" s="8" t="s">
        <v>783</v>
      </c>
      <c r="U215" s="7" t="s">
        <v>498</v>
      </c>
      <c r="V215" s="8"/>
      <c r="W215" s="18"/>
    </row>
    <row r="216" customHeight="1" spans="1:23">
      <c r="A216" s="3" t="str">
        <f>_xlfn.DISPIMG("ID_F2C9E3DBBE9342618F829C907A7AB4B6",1)</f>
        <v>=DISPIMG("ID_F2C9E3DBBE9342618F829C907A7AB4B6",1)</v>
      </c>
      <c r="B216" s="9" t="s">
        <v>784</v>
      </c>
      <c r="C216" s="9" t="s">
        <v>785</v>
      </c>
      <c r="D216" s="9" t="s">
        <v>786</v>
      </c>
      <c r="E216" s="9" t="s">
        <v>226</v>
      </c>
      <c r="F216" s="9">
        <v>34</v>
      </c>
      <c r="G216" s="10">
        <v>34</v>
      </c>
      <c r="H216" s="10">
        <v>35.7</v>
      </c>
      <c r="I216" s="10">
        <v>37.4</v>
      </c>
      <c r="J216" s="9">
        <v>26</v>
      </c>
      <c r="K216" s="9">
        <v>32</v>
      </c>
      <c r="L216" s="9">
        <v>20</v>
      </c>
      <c r="M216" s="9">
        <v>28</v>
      </c>
      <c r="N216" s="9">
        <v>49</v>
      </c>
      <c r="O216" s="9">
        <v>25</v>
      </c>
      <c r="P216" s="9">
        <v>8</v>
      </c>
      <c r="Q216" s="9">
        <v>250</v>
      </c>
      <c r="R216" s="10">
        <v>6.4</v>
      </c>
      <c r="S216" s="10">
        <v>5.84375</v>
      </c>
      <c r="T216" s="10" t="s">
        <v>783</v>
      </c>
      <c r="U216" s="9" t="s">
        <v>498</v>
      </c>
      <c r="V216" s="10"/>
      <c r="W216" s="24"/>
    </row>
    <row r="217" customHeight="1" spans="1:23">
      <c r="A217" s="6" t="str">
        <f>_xlfn.DISPIMG("ID_6FD5710240434E3DB70B252FEA1A767D",1)</f>
        <v>=DISPIMG("ID_6FD5710240434E3DB70B252FEA1A767D",1)</v>
      </c>
      <c r="B217" s="11" t="s">
        <v>787</v>
      </c>
      <c r="C217" s="11" t="s">
        <v>788</v>
      </c>
      <c r="D217" s="11" t="s">
        <v>789</v>
      </c>
      <c r="E217" s="11" t="s">
        <v>230</v>
      </c>
      <c r="F217" s="11">
        <v>15</v>
      </c>
      <c r="G217" s="12">
        <v>15</v>
      </c>
      <c r="H217" s="12">
        <v>15.7</v>
      </c>
      <c r="I217" s="12">
        <v>16.5</v>
      </c>
      <c r="J217" s="11">
        <v>11</v>
      </c>
      <c r="K217" s="11">
        <v>14</v>
      </c>
      <c r="L217" s="11">
        <v>9</v>
      </c>
      <c r="M217" s="11">
        <v>12</v>
      </c>
      <c r="N217" s="11">
        <v>22</v>
      </c>
      <c r="O217" s="11">
        <v>11</v>
      </c>
      <c r="P217" s="11">
        <v>3</v>
      </c>
      <c r="Q217" s="11">
        <v>250</v>
      </c>
      <c r="R217" s="12">
        <v>2.8</v>
      </c>
      <c r="S217" s="12">
        <v>5.89285714285714</v>
      </c>
      <c r="T217" s="12" t="s">
        <v>783</v>
      </c>
      <c r="U217" s="11" t="s">
        <v>498</v>
      </c>
      <c r="V217" s="12"/>
      <c r="W217" s="20"/>
    </row>
    <row r="218" customHeight="1" spans="1:23">
      <c r="A218" s="6" t="str">
        <f>_xlfn.DISPIMG("ID_077D1DE3EF9C46A393CD60F140D5E6BB",1)</f>
        <v>=DISPIMG("ID_077D1DE3EF9C46A393CD60F140D5E6BB",1)</v>
      </c>
      <c r="B218" s="13" t="s">
        <v>790</v>
      </c>
      <c r="C218" s="13" t="s">
        <v>791</v>
      </c>
      <c r="D218" s="13" t="s">
        <v>792</v>
      </c>
      <c r="E218" s="13" t="s">
        <v>237</v>
      </c>
      <c r="F218" s="13">
        <v>27</v>
      </c>
      <c r="G218" s="14">
        <v>27</v>
      </c>
      <c r="H218" s="14">
        <v>28.4</v>
      </c>
      <c r="I218" s="14">
        <v>29.7</v>
      </c>
      <c r="J218" s="13">
        <v>20</v>
      </c>
      <c r="K218" s="13">
        <v>25</v>
      </c>
      <c r="L218" s="13">
        <v>16</v>
      </c>
      <c r="M218" s="13">
        <v>22</v>
      </c>
      <c r="N218" s="13">
        <v>38</v>
      </c>
      <c r="O218" s="13">
        <v>20</v>
      </c>
      <c r="P218" s="13">
        <v>6</v>
      </c>
      <c r="Q218" s="13">
        <v>250</v>
      </c>
      <c r="R218" s="14">
        <v>5</v>
      </c>
      <c r="S218" s="14">
        <v>5.94</v>
      </c>
      <c r="T218" s="14" t="s">
        <v>783</v>
      </c>
      <c r="U218" s="13" t="s">
        <v>498</v>
      </c>
      <c r="V218" s="14"/>
      <c r="W218" s="21"/>
    </row>
    <row r="219" s="2" customFormat="1" ht="116" customHeight="1" spans="1:23">
      <c r="A219" s="15"/>
      <c r="B219" s="16" t="s">
        <v>793</v>
      </c>
      <c r="C219" s="16"/>
      <c r="D219" s="16"/>
      <c r="E219" s="16" t="s">
        <v>215</v>
      </c>
      <c r="F219" s="16">
        <v>89</v>
      </c>
      <c r="G219" s="17">
        <v>89</v>
      </c>
      <c r="H219" s="17">
        <v>93.5</v>
      </c>
      <c r="I219" s="17">
        <v>97.9</v>
      </c>
      <c r="J219" s="16">
        <v>67</v>
      </c>
      <c r="K219" s="16">
        <v>83</v>
      </c>
      <c r="L219" s="16">
        <v>53</v>
      </c>
      <c r="M219" s="16">
        <v>73</v>
      </c>
      <c r="N219" s="16">
        <v>128</v>
      </c>
      <c r="O219" s="16">
        <v>67</v>
      </c>
      <c r="P219" s="16">
        <v>20</v>
      </c>
      <c r="Q219" s="16">
        <v>1000</v>
      </c>
      <c r="R219" s="17">
        <v>16.7</v>
      </c>
      <c r="S219" s="17">
        <v>5.32934131736527</v>
      </c>
      <c r="T219" s="17" t="s">
        <v>783</v>
      </c>
      <c r="U219" s="16" t="s">
        <v>498</v>
      </c>
      <c r="V219" s="17"/>
      <c r="W219" s="22" t="s">
        <v>794</v>
      </c>
    </row>
    <row r="220" customHeight="1" spans="1:23">
      <c r="A220" s="6" t="str">
        <f>_xlfn.DISPIMG("ID_5E3614C9DAD84CF8B47B4EDCC9FBE704",1)</f>
        <v>=DISPIMG("ID_5E3614C9DAD84CF8B47B4EDCC9FBE704",1)</v>
      </c>
      <c r="B220" s="7" t="s">
        <v>795</v>
      </c>
      <c r="C220" s="7" t="s">
        <v>796</v>
      </c>
      <c r="D220" s="7" t="s">
        <v>797</v>
      </c>
      <c r="E220" s="7" t="s">
        <v>220</v>
      </c>
      <c r="F220" s="7">
        <v>25</v>
      </c>
      <c r="G220" s="8">
        <v>25</v>
      </c>
      <c r="H220" s="8">
        <v>26.2</v>
      </c>
      <c r="I220" s="8">
        <v>23.8</v>
      </c>
      <c r="J220" s="7">
        <v>14</v>
      </c>
      <c r="K220" s="7">
        <v>21</v>
      </c>
      <c r="L220" s="7">
        <v>11</v>
      </c>
      <c r="M220" s="7">
        <v>11</v>
      </c>
      <c r="N220" s="7">
        <v>6</v>
      </c>
      <c r="O220" s="7">
        <v>0</v>
      </c>
      <c r="P220" s="7">
        <v>9</v>
      </c>
      <c r="Q220" s="7">
        <v>450</v>
      </c>
      <c r="R220" s="8">
        <v>6.5</v>
      </c>
      <c r="S220" s="8">
        <v>3.66153846153846</v>
      </c>
      <c r="T220" s="8" t="s">
        <v>798</v>
      </c>
      <c r="U220" s="7" t="s">
        <v>498</v>
      </c>
      <c r="V220" s="8"/>
      <c r="W220" s="18"/>
    </row>
    <row r="221" customHeight="1" spans="1:23">
      <c r="A221" s="3" t="str">
        <f>_xlfn.DISPIMG("ID_35689181FCD6466D9837887A0A8E80B1",1)</f>
        <v>=DISPIMG("ID_35689181FCD6466D9837887A0A8E80B1",1)</v>
      </c>
      <c r="B221" s="9" t="s">
        <v>799</v>
      </c>
      <c r="C221" s="9" t="s">
        <v>800</v>
      </c>
      <c r="D221" s="9" t="s">
        <v>801</v>
      </c>
      <c r="E221" s="9" t="s">
        <v>226</v>
      </c>
      <c r="F221" s="9">
        <v>50</v>
      </c>
      <c r="G221" s="10">
        <v>50</v>
      </c>
      <c r="H221" s="10">
        <v>52.5</v>
      </c>
      <c r="I221" s="10">
        <v>47.5</v>
      </c>
      <c r="J221" s="9">
        <v>28</v>
      </c>
      <c r="K221" s="9">
        <v>41</v>
      </c>
      <c r="L221" s="9">
        <v>21</v>
      </c>
      <c r="M221" s="9">
        <v>21</v>
      </c>
      <c r="N221" s="9">
        <v>12</v>
      </c>
      <c r="O221" s="9">
        <v>0</v>
      </c>
      <c r="P221" s="9">
        <v>19</v>
      </c>
      <c r="Q221" s="9">
        <v>450</v>
      </c>
      <c r="R221" s="10">
        <v>13</v>
      </c>
      <c r="S221" s="10">
        <v>3.65384615384615</v>
      </c>
      <c r="T221" s="10" t="s">
        <v>798</v>
      </c>
      <c r="U221" s="9" t="s">
        <v>498</v>
      </c>
      <c r="V221" s="10"/>
      <c r="W221" s="24"/>
    </row>
    <row r="222" customHeight="1" spans="1:23">
      <c r="A222" s="6" t="str">
        <f>_xlfn.DISPIMG("ID_2D2E394BD2F84623AAAC0CFAE28F7CFA",1)</f>
        <v>=DISPIMG("ID_2D2E394BD2F84623AAAC0CFAE28F7CFA",1)</v>
      </c>
      <c r="B222" s="11" t="s">
        <v>802</v>
      </c>
      <c r="C222" s="11" t="s">
        <v>803</v>
      </c>
      <c r="D222" s="11" t="s">
        <v>804</v>
      </c>
      <c r="E222" s="11" t="s">
        <v>230</v>
      </c>
      <c r="F222" s="11">
        <v>27</v>
      </c>
      <c r="G222" s="12">
        <v>27</v>
      </c>
      <c r="H222" s="12">
        <v>28.3</v>
      </c>
      <c r="I222" s="12">
        <v>25.6</v>
      </c>
      <c r="J222" s="11">
        <v>15</v>
      </c>
      <c r="K222" s="11">
        <v>22</v>
      </c>
      <c r="L222" s="11">
        <v>11</v>
      </c>
      <c r="M222" s="11">
        <v>11</v>
      </c>
      <c r="N222" s="11">
        <v>6</v>
      </c>
      <c r="O222" s="11">
        <v>0</v>
      </c>
      <c r="P222" s="11">
        <v>12</v>
      </c>
      <c r="Q222" s="11">
        <v>450</v>
      </c>
      <c r="R222" s="12">
        <v>7</v>
      </c>
      <c r="S222" s="12">
        <v>3.65714285714286</v>
      </c>
      <c r="T222" s="12" t="s">
        <v>798</v>
      </c>
      <c r="U222" s="11" t="s">
        <v>498</v>
      </c>
      <c r="V222" s="12"/>
      <c r="W222" s="20"/>
    </row>
    <row r="223" customHeight="1" spans="1:23">
      <c r="A223" s="6" t="str">
        <f>_xlfn.DISPIMG("ID_54DCE0F5DAD045DAAFFA500B83AF182E",1)</f>
        <v>=DISPIMG("ID_54DCE0F5DAD045DAAFFA500B83AF182E",1)</v>
      </c>
      <c r="B223" s="13" t="s">
        <v>805</v>
      </c>
      <c r="C223" s="13" t="s">
        <v>806</v>
      </c>
      <c r="D223" s="13" t="s">
        <v>807</v>
      </c>
      <c r="E223" s="13" t="s">
        <v>237</v>
      </c>
      <c r="F223" s="13">
        <v>31</v>
      </c>
      <c r="G223" s="14">
        <v>31</v>
      </c>
      <c r="H223" s="14">
        <v>32.5</v>
      </c>
      <c r="I223" s="14">
        <v>29.4</v>
      </c>
      <c r="J223" s="13">
        <v>17</v>
      </c>
      <c r="K223" s="13">
        <v>25</v>
      </c>
      <c r="L223" s="13">
        <v>13</v>
      </c>
      <c r="M223" s="13">
        <v>13</v>
      </c>
      <c r="N223" s="13">
        <v>7</v>
      </c>
      <c r="O223" s="13">
        <v>0</v>
      </c>
      <c r="P223" s="13">
        <v>13</v>
      </c>
      <c r="Q223" s="13">
        <v>450</v>
      </c>
      <c r="R223" s="14">
        <v>8</v>
      </c>
      <c r="S223" s="14">
        <v>3.675</v>
      </c>
      <c r="T223" s="14" t="s">
        <v>798</v>
      </c>
      <c r="U223" s="13" t="s">
        <v>498</v>
      </c>
      <c r="V223" s="14"/>
      <c r="W223" s="21"/>
    </row>
    <row r="224" s="2" customFormat="1" ht="116.2" customHeight="1" spans="1:23">
      <c r="A224" s="15"/>
      <c r="B224" s="16" t="s">
        <v>808</v>
      </c>
      <c r="C224" s="16"/>
      <c r="D224" s="16"/>
      <c r="E224" s="16" t="s">
        <v>215</v>
      </c>
      <c r="F224" s="16">
        <v>133</v>
      </c>
      <c r="G224" s="17">
        <v>133</v>
      </c>
      <c r="H224" s="17">
        <v>139.5</v>
      </c>
      <c r="I224" s="17">
        <v>126.3</v>
      </c>
      <c r="J224" s="16">
        <v>74</v>
      </c>
      <c r="K224" s="16">
        <v>109</v>
      </c>
      <c r="L224" s="16">
        <v>56</v>
      </c>
      <c r="M224" s="16">
        <v>56</v>
      </c>
      <c r="N224" s="16">
        <v>31</v>
      </c>
      <c r="O224" s="16">
        <v>0</v>
      </c>
      <c r="P224" s="16">
        <v>53</v>
      </c>
      <c r="Q224" s="16">
        <v>1800</v>
      </c>
      <c r="R224" s="17">
        <v>34.5</v>
      </c>
      <c r="S224" s="17">
        <v>3.85507246376812</v>
      </c>
      <c r="T224" s="17" t="s">
        <v>798</v>
      </c>
      <c r="U224" s="16" t="s">
        <v>498</v>
      </c>
      <c r="V224" s="17"/>
      <c r="W224" s="22" t="s">
        <v>809</v>
      </c>
    </row>
    <row r="225" customHeight="1" spans="1:23">
      <c r="A225" s="6" t="str">
        <f>_xlfn.DISPIMG("ID_CA9BC470C9404FD6B365A140EC5BC385",1)</f>
        <v>=DISPIMG("ID_CA9BC470C9404FD6B365A140EC5BC385",1)</v>
      </c>
      <c r="B225" s="7" t="s">
        <v>810</v>
      </c>
      <c r="C225" s="7" t="s">
        <v>811</v>
      </c>
      <c r="D225" s="7" t="s">
        <v>812</v>
      </c>
      <c r="E225" s="7" t="s">
        <v>220</v>
      </c>
      <c r="F225" s="7">
        <v>12</v>
      </c>
      <c r="G225" s="8">
        <v>16</v>
      </c>
      <c r="H225" s="8">
        <v>12</v>
      </c>
      <c r="I225" s="8">
        <v>12</v>
      </c>
      <c r="J225" s="7">
        <v>13</v>
      </c>
      <c r="K225" s="7">
        <v>9</v>
      </c>
      <c r="L225" s="7">
        <v>12</v>
      </c>
      <c r="M225" s="7">
        <v>19</v>
      </c>
      <c r="N225" s="7">
        <v>14</v>
      </c>
      <c r="O225" s="7">
        <v>0</v>
      </c>
      <c r="P225" s="7">
        <v>0</v>
      </c>
      <c r="Q225" s="7">
        <v>300</v>
      </c>
      <c r="R225" s="8">
        <v>2</v>
      </c>
      <c r="S225" s="8">
        <v>6</v>
      </c>
      <c r="T225" s="8" t="s">
        <v>813</v>
      </c>
      <c r="U225" s="7" t="s">
        <v>498</v>
      </c>
      <c r="V225" s="8"/>
      <c r="W225" s="18"/>
    </row>
    <row r="226" s="1" customFormat="1" customHeight="1" spans="1:23">
      <c r="A226" s="23" t="str">
        <f>_xlfn.DISPIMG("ID_15C28CC4255643C9A2FFD36D76A38223",1)</f>
        <v>=DISPIMG("ID_15C28CC4255643C9A2FFD36D76A38223",1)</v>
      </c>
      <c r="B226" s="9" t="s">
        <v>814</v>
      </c>
      <c r="C226" s="9" t="s">
        <v>815</v>
      </c>
      <c r="D226" s="9" t="s">
        <v>816</v>
      </c>
      <c r="E226" s="9" t="s">
        <v>226</v>
      </c>
      <c r="F226" s="9">
        <v>27</v>
      </c>
      <c r="G226" s="10">
        <v>36.5</v>
      </c>
      <c r="H226" s="10">
        <v>27</v>
      </c>
      <c r="I226" s="10">
        <v>27</v>
      </c>
      <c r="J226" s="9">
        <v>30</v>
      </c>
      <c r="K226" s="9">
        <v>21</v>
      </c>
      <c r="L226" s="9">
        <v>28</v>
      </c>
      <c r="M226" s="9">
        <v>44</v>
      </c>
      <c r="N226" s="9">
        <v>32</v>
      </c>
      <c r="O226" s="9">
        <v>0</v>
      </c>
      <c r="P226" s="9">
        <v>0</v>
      </c>
      <c r="Q226" s="9">
        <v>300</v>
      </c>
      <c r="R226" s="10">
        <v>4.5</v>
      </c>
      <c r="S226" s="10">
        <v>6</v>
      </c>
      <c r="T226" s="10" t="s">
        <v>813</v>
      </c>
      <c r="U226" s="9" t="s">
        <v>498</v>
      </c>
      <c r="V226" s="10"/>
      <c r="W226" s="24"/>
    </row>
    <row r="227" customHeight="1" spans="1:23">
      <c r="A227" s="6" t="str">
        <f>_xlfn.DISPIMG("ID_92865BCB7B1940EF8327F3B5B0389035",1)</f>
        <v>=DISPIMG("ID_92865BCB7B1940EF8327F3B5B0389035",1)</v>
      </c>
      <c r="B227" s="11" t="s">
        <v>817</v>
      </c>
      <c r="C227" s="11" t="s">
        <v>818</v>
      </c>
      <c r="D227" s="11" t="s">
        <v>819</v>
      </c>
      <c r="E227" s="11" t="s">
        <v>230</v>
      </c>
      <c r="F227" s="11">
        <v>10</v>
      </c>
      <c r="G227" s="12">
        <v>13.5</v>
      </c>
      <c r="H227" s="12">
        <v>10</v>
      </c>
      <c r="I227" s="12">
        <v>10</v>
      </c>
      <c r="J227" s="11">
        <v>10</v>
      </c>
      <c r="K227" s="11">
        <v>7</v>
      </c>
      <c r="L227" s="11">
        <v>10</v>
      </c>
      <c r="M227" s="11">
        <v>15</v>
      </c>
      <c r="N227" s="11">
        <v>11</v>
      </c>
      <c r="O227" s="11">
        <v>0</v>
      </c>
      <c r="P227" s="11">
        <v>0</v>
      </c>
      <c r="Q227" s="11">
        <v>300</v>
      </c>
      <c r="R227" s="12">
        <v>1.5</v>
      </c>
      <c r="S227" s="12">
        <v>6.66666666666667</v>
      </c>
      <c r="T227" s="12" t="s">
        <v>813</v>
      </c>
      <c r="U227" s="11" t="s">
        <v>498</v>
      </c>
      <c r="V227" s="12"/>
      <c r="W227" s="20"/>
    </row>
    <row r="228" customHeight="1" spans="1:23">
      <c r="A228" s="6" t="str">
        <f>_xlfn.DISPIMG("ID_0F6B5C373A3D427F84A395DD81EBCE44",1)</f>
        <v>=DISPIMG("ID_0F6B5C373A3D427F84A395DD81EBCE44",1)</v>
      </c>
      <c r="B228" s="13" t="s">
        <v>820</v>
      </c>
      <c r="C228" s="13" t="s">
        <v>821</v>
      </c>
      <c r="D228" s="13" t="s">
        <v>822</v>
      </c>
      <c r="E228" s="13" t="s">
        <v>237</v>
      </c>
      <c r="F228" s="13">
        <v>19</v>
      </c>
      <c r="G228" s="14">
        <v>25.6</v>
      </c>
      <c r="H228" s="14">
        <v>19</v>
      </c>
      <c r="I228" s="14">
        <v>19</v>
      </c>
      <c r="J228" s="13">
        <v>21</v>
      </c>
      <c r="K228" s="13">
        <v>15</v>
      </c>
      <c r="L228" s="13">
        <v>20</v>
      </c>
      <c r="M228" s="13">
        <v>31</v>
      </c>
      <c r="N228" s="13">
        <v>23</v>
      </c>
      <c r="O228" s="13">
        <v>0</v>
      </c>
      <c r="P228" s="13">
        <v>0</v>
      </c>
      <c r="Q228" s="13">
        <v>300</v>
      </c>
      <c r="R228" s="14">
        <v>3.2</v>
      </c>
      <c r="S228" s="14">
        <v>5.9375</v>
      </c>
      <c r="T228" s="14" t="s">
        <v>813</v>
      </c>
      <c r="U228" s="13" t="s">
        <v>498</v>
      </c>
      <c r="V228" s="14"/>
      <c r="W228" s="21"/>
    </row>
    <row r="229" s="2" customFormat="1" ht="116.2" customHeight="1" spans="1:23">
      <c r="A229" s="15"/>
      <c r="B229" s="16" t="s">
        <v>823</v>
      </c>
      <c r="C229" s="16"/>
      <c r="D229" s="16"/>
      <c r="E229" s="16" t="s">
        <v>215</v>
      </c>
      <c r="F229" s="16">
        <v>68</v>
      </c>
      <c r="G229" s="17">
        <v>91.6</v>
      </c>
      <c r="H229" s="17">
        <v>68</v>
      </c>
      <c r="I229" s="17">
        <v>68</v>
      </c>
      <c r="J229" s="16">
        <v>74</v>
      </c>
      <c r="K229" s="16">
        <v>52</v>
      </c>
      <c r="L229" s="16">
        <v>70</v>
      </c>
      <c r="M229" s="16">
        <v>109</v>
      </c>
      <c r="N229" s="16">
        <v>80</v>
      </c>
      <c r="O229" s="16">
        <v>0</v>
      </c>
      <c r="P229" s="16">
        <v>0</v>
      </c>
      <c r="Q229" s="16">
        <v>1200</v>
      </c>
      <c r="R229" s="17">
        <v>11.2</v>
      </c>
      <c r="S229" s="17">
        <v>6.07142857142857</v>
      </c>
      <c r="T229" s="17" t="s">
        <v>813</v>
      </c>
      <c r="U229" s="16" t="s">
        <v>498</v>
      </c>
      <c r="V229" s="17"/>
      <c r="W229" s="22" t="s">
        <v>824</v>
      </c>
    </row>
    <row r="230" s="1" customFormat="1" customHeight="1" spans="1:23">
      <c r="A230" s="6" t="str">
        <f>_xlfn.DISPIMG("ID_621EB5B126024B529BBCC8F770AFC2E4",1)</f>
        <v>=DISPIMG("ID_621EB5B126024B529BBCC8F770AFC2E4",1)</v>
      </c>
      <c r="B230" s="7" t="s">
        <v>825</v>
      </c>
      <c r="C230" s="7" t="s">
        <v>826</v>
      </c>
      <c r="D230" s="7" t="s">
        <v>827</v>
      </c>
      <c r="E230" s="7" t="s">
        <v>220</v>
      </c>
      <c r="F230" s="7">
        <v>5</v>
      </c>
      <c r="G230" s="8"/>
      <c r="H230" s="8"/>
      <c r="I230" s="8"/>
      <c r="J230" s="7">
        <v>11</v>
      </c>
      <c r="K230" s="7">
        <v>2</v>
      </c>
      <c r="L230" s="7">
        <v>6</v>
      </c>
      <c r="M230" s="7"/>
      <c r="N230" s="7"/>
      <c r="O230" s="7"/>
      <c r="P230" s="7"/>
      <c r="Q230" s="7">
        <v>150</v>
      </c>
      <c r="R230" s="8">
        <v>0.4</v>
      </c>
      <c r="S230" s="8">
        <v>0</v>
      </c>
      <c r="T230" s="8" t="s">
        <v>828</v>
      </c>
      <c r="U230" s="7" t="s">
        <v>829</v>
      </c>
      <c r="V230" s="8"/>
      <c r="W230" s="18"/>
    </row>
    <row r="231" s="1" customFormat="1" customHeight="1" spans="1:23">
      <c r="A231" s="3" t="str">
        <f>_xlfn.DISPIMG("ID_71AF767EC24647DCB0DCA0B882FC3BE8",1)</f>
        <v>=DISPIMG("ID_71AF767EC24647DCB0DCA0B882FC3BE8",1)</v>
      </c>
      <c r="B231" s="9" t="s">
        <v>830</v>
      </c>
      <c r="C231" s="9" t="s">
        <v>831</v>
      </c>
      <c r="D231" s="9" t="s">
        <v>832</v>
      </c>
      <c r="E231" s="9" t="s">
        <v>226</v>
      </c>
      <c r="F231" s="9">
        <v>14</v>
      </c>
      <c r="G231" s="10">
        <v>14</v>
      </c>
      <c r="H231" s="10">
        <v>14</v>
      </c>
      <c r="I231" s="10">
        <v>14</v>
      </c>
      <c r="J231" s="9">
        <v>33</v>
      </c>
      <c r="K231" s="9">
        <v>6</v>
      </c>
      <c r="L231" s="9">
        <v>19</v>
      </c>
      <c r="M231" s="9">
        <v>14</v>
      </c>
      <c r="N231" s="9">
        <v>14</v>
      </c>
      <c r="O231" s="9">
        <v>26</v>
      </c>
      <c r="P231" s="9">
        <v>0</v>
      </c>
      <c r="Q231" s="9">
        <v>150</v>
      </c>
      <c r="R231" s="10">
        <v>1</v>
      </c>
      <c r="S231" s="10">
        <v>14</v>
      </c>
      <c r="T231" s="10" t="s">
        <v>828</v>
      </c>
      <c r="U231" s="9" t="s">
        <v>498</v>
      </c>
      <c r="V231" s="10"/>
      <c r="W231" s="24"/>
    </row>
    <row r="232" s="1" customFormat="1" customHeight="1" spans="1:23">
      <c r="A232" s="6" t="str">
        <f>_xlfn.DISPIMG("ID_798C38EE8642448B8C8B8F95B2F8A2DB",1)</f>
        <v>=DISPIMG("ID_798C38EE8642448B8C8B8F95B2F8A2DB",1)</v>
      </c>
      <c r="B232" s="11" t="s">
        <v>833</v>
      </c>
      <c r="C232" s="11" t="s">
        <v>834</v>
      </c>
      <c r="D232" s="11" t="s">
        <v>835</v>
      </c>
      <c r="E232" s="11" t="s">
        <v>230</v>
      </c>
      <c r="F232" s="11">
        <v>8</v>
      </c>
      <c r="G232" s="12">
        <v>8</v>
      </c>
      <c r="H232" s="12">
        <v>8</v>
      </c>
      <c r="I232" s="12">
        <v>8</v>
      </c>
      <c r="J232" s="11">
        <v>19</v>
      </c>
      <c r="K232" s="11">
        <v>3</v>
      </c>
      <c r="L232" s="11">
        <v>11</v>
      </c>
      <c r="M232" s="11">
        <v>8</v>
      </c>
      <c r="N232" s="11">
        <v>8</v>
      </c>
      <c r="O232" s="11">
        <v>16</v>
      </c>
      <c r="P232" s="11">
        <v>0</v>
      </c>
      <c r="Q232" s="11">
        <v>150</v>
      </c>
      <c r="R232" s="12">
        <v>0.6</v>
      </c>
      <c r="S232" s="12">
        <v>13.3333333333333</v>
      </c>
      <c r="T232" s="12" t="s">
        <v>828</v>
      </c>
      <c r="U232" s="11" t="s">
        <v>498</v>
      </c>
      <c r="V232" s="12"/>
      <c r="W232" s="20"/>
    </row>
    <row r="233" s="1" customFormat="1" customHeight="1" spans="1:23">
      <c r="A233" s="6" t="str">
        <f>_xlfn.DISPIMG("ID_FC72D795081A43238AAF42F288954329",1)</f>
        <v>=DISPIMG("ID_FC72D795081A43238AAF42F288954329",1)</v>
      </c>
      <c r="B233" s="13" t="s">
        <v>836</v>
      </c>
      <c r="C233" s="13" t="s">
        <v>837</v>
      </c>
      <c r="D233" s="13" t="s">
        <v>838</v>
      </c>
      <c r="E233" s="13" t="s">
        <v>237</v>
      </c>
      <c r="F233" s="13">
        <v>15</v>
      </c>
      <c r="G233" s="14">
        <v>15</v>
      </c>
      <c r="H233" s="14">
        <v>15</v>
      </c>
      <c r="I233" s="14">
        <v>15</v>
      </c>
      <c r="J233" s="13">
        <v>35</v>
      </c>
      <c r="K233" s="13">
        <v>17</v>
      </c>
      <c r="L233" s="13">
        <v>21</v>
      </c>
      <c r="M233" s="13">
        <v>20</v>
      </c>
      <c r="N233" s="13">
        <v>20</v>
      </c>
      <c r="O233" s="13">
        <v>52</v>
      </c>
      <c r="P233" s="13">
        <v>0</v>
      </c>
      <c r="Q233" s="13">
        <v>150</v>
      </c>
      <c r="R233" s="14">
        <v>3</v>
      </c>
      <c r="S233" s="14">
        <v>5</v>
      </c>
      <c r="T233" s="14" t="s">
        <v>828</v>
      </c>
      <c r="U233" s="13" t="s">
        <v>498</v>
      </c>
      <c r="V233" s="14"/>
      <c r="W233" s="21"/>
    </row>
    <row r="234" s="2" customFormat="1" ht="106.55" spans="1:23">
      <c r="A234" s="15" t="str">
        <f>_xlfn.DISPIMG("ID_5CAE8E362DDD4C0AA3A69F6A37CC99BA",1)</f>
        <v>=DISPIMG("ID_5CAE8E362DDD4C0AA3A69F6A37CC99BA",1)</v>
      </c>
      <c r="B234" s="16" t="s">
        <v>839</v>
      </c>
      <c r="C234" s="16"/>
      <c r="D234" s="16"/>
      <c r="E234" s="16" t="s">
        <v>215</v>
      </c>
      <c r="F234" s="16">
        <v>42</v>
      </c>
      <c r="G234" s="17">
        <v>37</v>
      </c>
      <c r="H234" s="17">
        <v>37</v>
      </c>
      <c r="I234" s="17">
        <v>37</v>
      </c>
      <c r="J234" s="16">
        <v>98</v>
      </c>
      <c r="K234" s="16">
        <v>28</v>
      </c>
      <c r="L234" s="16">
        <v>57</v>
      </c>
      <c r="M234" s="16">
        <v>42</v>
      </c>
      <c r="N234" s="16">
        <v>42</v>
      </c>
      <c r="O234" s="16">
        <v>94</v>
      </c>
      <c r="P234" s="16">
        <v>0</v>
      </c>
      <c r="Q234" s="16">
        <v>600</v>
      </c>
      <c r="R234" s="17">
        <v>5</v>
      </c>
      <c r="S234" s="17">
        <v>8.4</v>
      </c>
      <c r="T234" s="17" t="s">
        <v>828</v>
      </c>
      <c r="U234" s="16" t="s">
        <v>498</v>
      </c>
      <c r="V234" s="17"/>
      <c r="W234" s="22" t="s">
        <v>840</v>
      </c>
    </row>
    <row r="235" customHeight="1" spans="1:23">
      <c r="A235" s="6" t="str">
        <f>_xlfn.DISPIMG("ID_11FA73E12673430988D83682161FA4CB",1)</f>
        <v>=DISPIMG("ID_11FA73E12673430988D83682161FA4CB",1)</v>
      </c>
      <c r="B235" s="7" t="s">
        <v>841</v>
      </c>
      <c r="C235" s="7" t="s">
        <v>842</v>
      </c>
      <c r="D235" s="7" t="s">
        <v>843</v>
      </c>
      <c r="E235" s="7" t="s">
        <v>220</v>
      </c>
      <c r="F235" s="7">
        <v>11</v>
      </c>
      <c r="G235" s="8">
        <v>11.8</v>
      </c>
      <c r="H235" s="8">
        <v>11</v>
      </c>
      <c r="I235" s="8">
        <v>11</v>
      </c>
      <c r="J235" s="7">
        <v>15</v>
      </c>
      <c r="K235" s="7">
        <v>22</v>
      </c>
      <c r="L235" s="7">
        <v>8</v>
      </c>
      <c r="M235" s="7">
        <v>16</v>
      </c>
      <c r="N235" s="7">
        <v>36</v>
      </c>
      <c r="O235" s="7">
        <v>0</v>
      </c>
      <c r="P235" s="7">
        <v>0</v>
      </c>
      <c r="Q235" s="7">
        <v>400</v>
      </c>
      <c r="R235" s="8">
        <v>1.4</v>
      </c>
      <c r="S235" s="8">
        <v>7.85714285714286</v>
      </c>
      <c r="T235" s="8" t="s">
        <v>844</v>
      </c>
      <c r="U235" s="8" t="s">
        <v>829</v>
      </c>
      <c r="V235" s="8" t="s">
        <v>124</v>
      </c>
      <c r="W235" s="18"/>
    </row>
    <row r="236" s="1" customFormat="1" customHeight="1" spans="1:23">
      <c r="A236" s="23" t="str">
        <f>_xlfn.DISPIMG("ID_BE04ED93868744B1A0FE1B5B50876458",1)</f>
        <v>=DISPIMG("ID_BE04ED93868744B1A0FE1B5B50876458",1)</v>
      </c>
      <c r="B236" s="9" t="s">
        <v>845</v>
      </c>
      <c r="C236" s="9" t="s">
        <v>846</v>
      </c>
      <c r="D236" s="9" t="s">
        <v>847</v>
      </c>
      <c r="E236" s="9" t="s">
        <v>226</v>
      </c>
      <c r="F236" s="9">
        <v>31</v>
      </c>
      <c r="G236" s="10">
        <v>33.2</v>
      </c>
      <c r="H236" s="10">
        <v>31</v>
      </c>
      <c r="I236" s="10">
        <v>31</v>
      </c>
      <c r="J236" s="9">
        <v>38</v>
      </c>
      <c r="K236" s="9">
        <v>58</v>
      </c>
      <c r="L236" s="9">
        <v>21</v>
      </c>
      <c r="M236" s="9">
        <v>40</v>
      </c>
      <c r="N236" s="9">
        <v>94</v>
      </c>
      <c r="O236" s="9">
        <v>0</v>
      </c>
      <c r="P236" s="9">
        <v>0</v>
      </c>
      <c r="Q236" s="9">
        <v>400</v>
      </c>
      <c r="R236" s="10">
        <v>3.5</v>
      </c>
      <c r="S236" s="10">
        <v>8.85714285714286</v>
      </c>
      <c r="T236" s="10" t="s">
        <v>844</v>
      </c>
      <c r="U236" s="10" t="s">
        <v>829</v>
      </c>
      <c r="V236" s="10" t="s">
        <v>124</v>
      </c>
      <c r="W236" s="24"/>
    </row>
    <row r="237" customHeight="1" spans="1:23">
      <c r="A237" s="6" t="str">
        <f>_xlfn.DISPIMG("ID_310D6B719C674C32A47E33742F76AA50",1)</f>
        <v>=DISPIMG("ID_310D6B719C674C32A47E33742F76AA50",1)</v>
      </c>
      <c r="B237" s="11" t="s">
        <v>848</v>
      </c>
      <c r="C237" s="11" t="s">
        <v>849</v>
      </c>
      <c r="D237" s="11" t="s">
        <v>850</v>
      </c>
      <c r="E237" s="11" t="s">
        <v>230</v>
      </c>
      <c r="F237" s="11">
        <v>12</v>
      </c>
      <c r="G237" s="12">
        <v>12.8</v>
      </c>
      <c r="H237" s="12">
        <v>12</v>
      </c>
      <c r="I237" s="12">
        <v>12</v>
      </c>
      <c r="J237" s="11">
        <v>13</v>
      </c>
      <c r="K237" s="11">
        <v>24</v>
      </c>
      <c r="L237" s="11">
        <v>8</v>
      </c>
      <c r="M237" s="11">
        <v>14</v>
      </c>
      <c r="N237" s="11">
        <v>32</v>
      </c>
      <c r="O237" s="11">
        <v>0</v>
      </c>
      <c r="P237" s="11">
        <v>0</v>
      </c>
      <c r="Q237" s="11">
        <v>400</v>
      </c>
      <c r="R237" s="12">
        <v>1.2</v>
      </c>
      <c r="S237" s="12">
        <v>10</v>
      </c>
      <c r="T237" s="12" t="s">
        <v>844</v>
      </c>
      <c r="U237" s="12" t="s">
        <v>829</v>
      </c>
      <c r="V237" s="12" t="s">
        <v>124</v>
      </c>
      <c r="W237" s="20"/>
    </row>
    <row r="238" customHeight="1" spans="1:23">
      <c r="A238" s="6" t="str">
        <f>_xlfn.DISPIMG("ID_550F3E72D6324077BEA724E235C697AC",1)</f>
        <v>=DISPIMG("ID_550F3E72D6324077BEA724E235C697AC",1)</v>
      </c>
      <c r="B238" s="13" t="s">
        <v>851</v>
      </c>
      <c r="C238" s="13" t="s">
        <v>852</v>
      </c>
      <c r="D238" s="13" t="s">
        <v>853</v>
      </c>
      <c r="E238" s="13" t="s">
        <v>237</v>
      </c>
      <c r="F238" s="13">
        <v>23</v>
      </c>
      <c r="G238" s="14">
        <v>24.6</v>
      </c>
      <c r="H238" s="14">
        <v>23</v>
      </c>
      <c r="I238" s="14">
        <v>23</v>
      </c>
      <c r="J238" s="13">
        <v>27</v>
      </c>
      <c r="K238" s="13">
        <v>49</v>
      </c>
      <c r="L238" s="13">
        <v>17</v>
      </c>
      <c r="M238" s="13">
        <v>32</v>
      </c>
      <c r="N238" s="13">
        <v>78</v>
      </c>
      <c r="O238" s="13">
        <v>0</v>
      </c>
      <c r="P238" s="13">
        <v>0</v>
      </c>
      <c r="Q238" s="13">
        <v>400</v>
      </c>
      <c r="R238" s="14">
        <v>3</v>
      </c>
      <c r="S238" s="14">
        <v>7.66666666666667</v>
      </c>
      <c r="T238" s="14" t="s">
        <v>844</v>
      </c>
      <c r="U238" s="14" t="s">
        <v>829</v>
      </c>
      <c r="V238" s="14" t="s">
        <v>124</v>
      </c>
      <c r="W238" s="21"/>
    </row>
    <row r="239" s="2" customFormat="1" ht="117.55" spans="1:23">
      <c r="A239" s="15" t="str">
        <f>_xlfn.DISPIMG("ID_2C10E24B807F4277AF2B32E1185E849D",1)</f>
        <v>=DISPIMG("ID_2C10E24B807F4277AF2B32E1185E849D",1)</v>
      </c>
      <c r="B239" s="16" t="s">
        <v>854</v>
      </c>
      <c r="C239" s="16"/>
      <c r="D239" s="16"/>
      <c r="E239" s="16" t="s">
        <v>215</v>
      </c>
      <c r="F239" s="16">
        <v>77</v>
      </c>
      <c r="G239" s="17">
        <v>82.4</v>
      </c>
      <c r="H239" s="17">
        <v>77</v>
      </c>
      <c r="I239" s="17">
        <v>77</v>
      </c>
      <c r="J239" s="16">
        <v>93</v>
      </c>
      <c r="K239" s="16">
        <v>153</v>
      </c>
      <c r="L239" s="16">
        <v>54</v>
      </c>
      <c r="M239" s="16">
        <v>102</v>
      </c>
      <c r="N239" s="16">
        <v>240</v>
      </c>
      <c r="O239" s="16">
        <v>0</v>
      </c>
      <c r="P239" s="16">
        <v>0</v>
      </c>
      <c r="Q239" s="16">
        <v>1600</v>
      </c>
      <c r="R239" s="17">
        <v>9.1</v>
      </c>
      <c r="S239" s="17">
        <v>8.46153846153846</v>
      </c>
      <c r="T239" s="17" t="s">
        <v>844</v>
      </c>
      <c r="U239" s="16" t="s">
        <v>829</v>
      </c>
      <c r="V239" s="17" t="s">
        <v>124</v>
      </c>
      <c r="W239" s="22" t="s">
        <v>855</v>
      </c>
    </row>
    <row r="240" customHeight="1" spans="1:23">
      <c r="A240" s="6" t="str">
        <f>_xlfn.DISPIMG("ID_8B98E9897E3D413682613DB60E1717C2",1)</f>
        <v>=DISPIMG("ID_8B98E9897E3D413682613DB60E1717C2",1)</v>
      </c>
      <c r="B240" s="7" t="s">
        <v>856</v>
      </c>
      <c r="C240" s="7" t="s">
        <v>857</v>
      </c>
      <c r="D240" s="7" t="s">
        <v>858</v>
      </c>
      <c r="E240" s="7" t="s">
        <v>220</v>
      </c>
      <c r="F240" s="7">
        <v>18</v>
      </c>
      <c r="G240" s="8">
        <v>17.1</v>
      </c>
      <c r="H240" s="8">
        <v>20.7</v>
      </c>
      <c r="I240" s="8">
        <v>18</v>
      </c>
      <c r="J240" s="7">
        <v>12</v>
      </c>
      <c r="K240" s="7">
        <v>13</v>
      </c>
      <c r="L240" s="7">
        <v>10</v>
      </c>
      <c r="M240" s="7">
        <v>11</v>
      </c>
      <c r="N240" s="7">
        <v>7</v>
      </c>
      <c r="O240" s="7">
        <v>18</v>
      </c>
      <c r="P240" s="7">
        <v>8</v>
      </c>
      <c r="Q240" s="7">
        <v>500</v>
      </c>
      <c r="R240" s="8">
        <v>5.1</v>
      </c>
      <c r="S240" s="8">
        <v>3.52941176470588</v>
      </c>
      <c r="T240" s="8" t="s">
        <v>859</v>
      </c>
      <c r="U240" s="8" t="s">
        <v>829</v>
      </c>
      <c r="V240" s="8"/>
      <c r="W240" s="18"/>
    </row>
    <row r="241" customHeight="1" spans="1:23">
      <c r="A241" s="23" t="str">
        <f>_xlfn.DISPIMG("ID_BADEC10DAF034BCA8AE38F72C877A39D",1)</f>
        <v>=DISPIMG("ID_BADEC10DAF034BCA8AE38F72C877A39D",1)</v>
      </c>
      <c r="B241" s="9" t="s">
        <v>860</v>
      </c>
      <c r="C241" s="9" t="s">
        <v>861</v>
      </c>
      <c r="D241" s="9" t="s">
        <v>862</v>
      </c>
      <c r="E241" s="9" t="s">
        <v>226</v>
      </c>
      <c r="F241" s="9">
        <v>47</v>
      </c>
      <c r="G241" s="10">
        <v>44.6</v>
      </c>
      <c r="H241" s="10">
        <v>54.1</v>
      </c>
      <c r="I241" s="10">
        <v>47</v>
      </c>
      <c r="J241" s="9">
        <v>31</v>
      </c>
      <c r="K241" s="9">
        <v>34</v>
      </c>
      <c r="L241" s="9">
        <v>25</v>
      </c>
      <c r="M241" s="9">
        <v>28</v>
      </c>
      <c r="N241" s="9">
        <v>19</v>
      </c>
      <c r="O241" s="9">
        <v>24</v>
      </c>
      <c r="P241" s="9">
        <v>20</v>
      </c>
      <c r="Q241" s="9">
        <v>500</v>
      </c>
      <c r="R241" s="10">
        <v>13.3</v>
      </c>
      <c r="S241" s="10">
        <v>3.53383458646616</v>
      </c>
      <c r="T241" s="10" t="s">
        <v>859</v>
      </c>
      <c r="U241" s="10" t="s">
        <v>829</v>
      </c>
      <c r="V241" s="10"/>
      <c r="W241" s="19"/>
    </row>
    <row r="242" customHeight="1" spans="1:23">
      <c r="A242" s="6" t="str">
        <f>_xlfn.DISPIMG("ID_55A01CC3A7BC440C9352B66E695BE77F",1)</f>
        <v>=DISPIMG("ID_55A01CC3A7BC440C9352B66E695BE77F",1)</v>
      </c>
      <c r="B242" s="11" t="s">
        <v>863</v>
      </c>
      <c r="C242" s="11" t="s">
        <v>864</v>
      </c>
      <c r="D242" s="11" t="s">
        <v>865</v>
      </c>
      <c r="E242" s="11" t="s">
        <v>230</v>
      </c>
      <c r="F242" s="11">
        <v>11</v>
      </c>
      <c r="G242" s="12">
        <v>10.5</v>
      </c>
      <c r="H242" s="12">
        <v>12.7</v>
      </c>
      <c r="I242" s="12">
        <v>11</v>
      </c>
      <c r="J242" s="11">
        <v>7</v>
      </c>
      <c r="K242" s="11">
        <v>7</v>
      </c>
      <c r="L242" s="11">
        <v>6</v>
      </c>
      <c r="M242" s="11">
        <v>6</v>
      </c>
      <c r="N242" s="11">
        <v>5</v>
      </c>
      <c r="O242" s="11">
        <v>4</v>
      </c>
      <c r="P242" s="11">
        <v>4</v>
      </c>
      <c r="Q242" s="11">
        <v>500</v>
      </c>
      <c r="R242" s="12">
        <v>3</v>
      </c>
      <c r="S242" s="12">
        <v>3.66666666666667</v>
      </c>
      <c r="T242" s="12" t="s">
        <v>859</v>
      </c>
      <c r="U242" s="12" t="s">
        <v>829</v>
      </c>
      <c r="V242" s="12"/>
      <c r="W242" s="20"/>
    </row>
    <row r="243" customHeight="1" spans="1:23">
      <c r="A243" s="6" t="str">
        <f>_xlfn.DISPIMG("ID_AB29BCD993EA41DFAD2906D83E984F31",1)</f>
        <v>=DISPIMG("ID_AB29BCD993EA41DFAD2906D83E984F31",1)</v>
      </c>
      <c r="B243" s="13" t="s">
        <v>866</v>
      </c>
      <c r="C243" s="13" t="s">
        <v>867</v>
      </c>
      <c r="D243" s="13" t="s">
        <v>868</v>
      </c>
      <c r="E243" s="13" t="s">
        <v>237</v>
      </c>
      <c r="F243" s="13">
        <v>14</v>
      </c>
      <c r="G243" s="14">
        <v>13.3</v>
      </c>
      <c r="H243" s="14">
        <v>16.1</v>
      </c>
      <c r="I243" s="14">
        <v>14</v>
      </c>
      <c r="J243" s="13">
        <v>10</v>
      </c>
      <c r="K243" s="13">
        <v>11</v>
      </c>
      <c r="L243" s="13">
        <v>7</v>
      </c>
      <c r="M243" s="13">
        <v>8</v>
      </c>
      <c r="N243" s="13">
        <v>6</v>
      </c>
      <c r="O243" s="13">
        <v>5</v>
      </c>
      <c r="P243" s="13">
        <v>6</v>
      </c>
      <c r="Q243" s="13">
        <v>500</v>
      </c>
      <c r="R243" s="14">
        <v>4</v>
      </c>
      <c r="S243" s="14">
        <v>3.5</v>
      </c>
      <c r="T243" s="14" t="s">
        <v>859</v>
      </c>
      <c r="U243" s="14" t="s">
        <v>829</v>
      </c>
      <c r="V243" s="14"/>
      <c r="W243" s="21"/>
    </row>
    <row r="244" s="2" customFormat="1" ht="118.25" spans="1:23">
      <c r="A244" s="15" t="str">
        <f>_xlfn.DISPIMG("ID_4B97E1C012124FB58E1B4806115241E6",1)</f>
        <v>=DISPIMG("ID_4B97E1C012124FB58E1B4806115241E6",1)</v>
      </c>
      <c r="B244" s="16" t="s">
        <v>869</v>
      </c>
      <c r="C244" s="16"/>
      <c r="D244" s="16"/>
      <c r="E244" s="16" t="s">
        <v>215</v>
      </c>
      <c r="F244" s="16">
        <v>90</v>
      </c>
      <c r="G244" s="17">
        <v>85.5</v>
      </c>
      <c r="H244" s="17">
        <v>103.6</v>
      </c>
      <c r="I244" s="17">
        <v>90</v>
      </c>
      <c r="J244" s="16">
        <v>60</v>
      </c>
      <c r="K244" s="16">
        <v>65</v>
      </c>
      <c r="L244" s="16">
        <v>48</v>
      </c>
      <c r="M244" s="16">
        <v>53</v>
      </c>
      <c r="N244" s="16">
        <v>37</v>
      </c>
      <c r="O244" s="16">
        <v>51</v>
      </c>
      <c r="P244" s="16">
        <v>38</v>
      </c>
      <c r="Q244" s="16">
        <v>2000</v>
      </c>
      <c r="R244" s="17">
        <v>25.4</v>
      </c>
      <c r="S244" s="17">
        <v>3.54330708661417</v>
      </c>
      <c r="T244" s="17" t="s">
        <v>859</v>
      </c>
      <c r="U244" s="16" t="s">
        <v>829</v>
      </c>
      <c r="V244" s="17"/>
      <c r="W244" s="22" t="s">
        <v>870</v>
      </c>
    </row>
    <row r="245" customHeight="1" spans="1:23">
      <c r="A245" s="6" t="str">
        <f>_xlfn.DISPIMG("ID_6A95579881DA48D1AAE002421714661B",1)</f>
        <v>=DISPIMG("ID_6A95579881DA48D1AAE002421714661B",1)</v>
      </c>
      <c r="B245" s="7" t="s">
        <v>871</v>
      </c>
      <c r="C245" s="7" t="s">
        <v>872</v>
      </c>
      <c r="D245" s="7" t="s">
        <v>873</v>
      </c>
      <c r="E245" s="7" t="s">
        <v>220</v>
      </c>
      <c r="F245" s="7">
        <v>25</v>
      </c>
      <c r="G245" s="8">
        <v>21.3</v>
      </c>
      <c r="H245" s="8">
        <v>28.8</v>
      </c>
      <c r="I245" s="8">
        <v>25</v>
      </c>
      <c r="J245" s="7">
        <v>8</v>
      </c>
      <c r="K245" s="7">
        <v>6</v>
      </c>
      <c r="L245" s="7">
        <v>2</v>
      </c>
      <c r="M245" s="7">
        <v>6</v>
      </c>
      <c r="N245" s="7">
        <v>0</v>
      </c>
      <c r="O245" s="7">
        <v>0</v>
      </c>
      <c r="P245" s="7">
        <v>6</v>
      </c>
      <c r="Q245" s="7">
        <v>150</v>
      </c>
      <c r="R245" s="8">
        <v>4.2</v>
      </c>
      <c r="S245" s="8">
        <v>5.95238095238095</v>
      </c>
      <c r="T245" s="8" t="s">
        <v>874</v>
      </c>
      <c r="U245" s="8" t="s">
        <v>829</v>
      </c>
      <c r="V245" s="8"/>
      <c r="W245" s="18"/>
    </row>
    <row r="246" customHeight="1" spans="1:23">
      <c r="A246" s="23" t="str">
        <f>_xlfn.DISPIMG("ID_949A4C7875854D31A3C032319DEE7FBD",1)</f>
        <v>=DISPIMG("ID_949A4C7875854D31A3C032319DEE7FBD",1)</v>
      </c>
      <c r="B246" s="9" t="s">
        <v>875</v>
      </c>
      <c r="C246" s="9" t="s">
        <v>876</v>
      </c>
      <c r="D246" s="9" t="s">
        <v>877</v>
      </c>
      <c r="E246" s="9" t="s">
        <v>226</v>
      </c>
      <c r="F246" s="9">
        <v>59</v>
      </c>
      <c r="G246" s="10">
        <v>50.1</v>
      </c>
      <c r="H246" s="10">
        <v>67.9</v>
      </c>
      <c r="I246" s="10">
        <v>59</v>
      </c>
      <c r="J246" s="9">
        <v>21</v>
      </c>
      <c r="K246" s="9">
        <v>15</v>
      </c>
      <c r="L246" s="9">
        <v>7</v>
      </c>
      <c r="M246" s="9">
        <v>15</v>
      </c>
      <c r="N246" s="9">
        <v>0</v>
      </c>
      <c r="O246" s="9">
        <v>0</v>
      </c>
      <c r="P246" s="9">
        <v>16</v>
      </c>
      <c r="Q246" s="9">
        <v>150</v>
      </c>
      <c r="R246" s="10">
        <v>10.9</v>
      </c>
      <c r="S246" s="10">
        <v>5.41284403669725</v>
      </c>
      <c r="T246" s="10" t="s">
        <v>874</v>
      </c>
      <c r="U246" s="10" t="s">
        <v>829</v>
      </c>
      <c r="V246" s="10"/>
      <c r="W246" s="24"/>
    </row>
    <row r="247" customHeight="1" spans="1:23">
      <c r="A247" s="6" t="str">
        <f>_xlfn.DISPIMG("ID_8F4329CE1DFB41D7B04AC777D1CA70D7",1)</f>
        <v>=DISPIMG("ID_8F4329CE1DFB41D7B04AC777D1CA70D7",1)</v>
      </c>
      <c r="B247" s="11" t="s">
        <v>878</v>
      </c>
      <c r="C247" s="11" t="s">
        <v>879</v>
      </c>
      <c r="D247" s="11" t="s">
        <v>880</v>
      </c>
      <c r="E247" s="11" t="s">
        <v>230</v>
      </c>
      <c r="F247" s="11">
        <v>37</v>
      </c>
      <c r="G247" s="12">
        <v>31.5</v>
      </c>
      <c r="H247" s="12">
        <v>42.6</v>
      </c>
      <c r="I247" s="12">
        <v>37</v>
      </c>
      <c r="J247" s="11">
        <v>12</v>
      </c>
      <c r="K247" s="11">
        <v>9</v>
      </c>
      <c r="L247" s="11">
        <v>4</v>
      </c>
      <c r="M247" s="11">
        <v>9</v>
      </c>
      <c r="N247" s="11">
        <v>0</v>
      </c>
      <c r="O247" s="11">
        <v>0</v>
      </c>
      <c r="P247" s="11">
        <v>9</v>
      </c>
      <c r="Q247" s="11">
        <v>150</v>
      </c>
      <c r="R247" s="12">
        <v>6.4</v>
      </c>
      <c r="S247" s="12">
        <v>5.78125</v>
      </c>
      <c r="T247" s="12" t="s">
        <v>874</v>
      </c>
      <c r="U247" s="12" t="s">
        <v>829</v>
      </c>
      <c r="V247" s="12"/>
      <c r="W247" s="20"/>
    </row>
    <row r="248" customHeight="1" spans="1:23">
      <c r="A248" s="6" t="str">
        <f>_xlfn.DISPIMG("ID_6EEEF8C3691040F381291090BE437AD1",1)</f>
        <v>=DISPIMG("ID_6EEEF8C3691040F381291090BE437AD1",1)</v>
      </c>
      <c r="B248" s="13" t="s">
        <v>881</v>
      </c>
      <c r="C248" s="13" t="s">
        <v>882</v>
      </c>
      <c r="D248" s="13" t="s">
        <v>883</v>
      </c>
      <c r="E248" s="13" t="s">
        <v>237</v>
      </c>
      <c r="F248" s="13">
        <v>37</v>
      </c>
      <c r="G248" s="14">
        <v>31.5</v>
      </c>
      <c r="H248" s="14">
        <v>42.6</v>
      </c>
      <c r="I248" s="14">
        <v>37</v>
      </c>
      <c r="J248" s="13">
        <v>12</v>
      </c>
      <c r="K248" s="13">
        <v>9</v>
      </c>
      <c r="L248" s="13">
        <v>4</v>
      </c>
      <c r="M248" s="13">
        <v>9</v>
      </c>
      <c r="N248" s="13">
        <v>0</v>
      </c>
      <c r="O248" s="13">
        <v>0</v>
      </c>
      <c r="P248" s="13">
        <v>9</v>
      </c>
      <c r="Q248" s="13">
        <v>150</v>
      </c>
      <c r="R248" s="14">
        <v>6.4</v>
      </c>
      <c r="S248" s="14">
        <v>5.78125</v>
      </c>
      <c r="T248" s="14" t="s">
        <v>874</v>
      </c>
      <c r="U248" s="14" t="s">
        <v>829</v>
      </c>
      <c r="V248" s="14"/>
      <c r="W248" s="21"/>
    </row>
    <row r="249" s="2" customFormat="1" ht="118.25" spans="1:23">
      <c r="A249" s="15" t="str">
        <f>_xlfn.DISPIMG("ID_20B981B8A5464D61B6E3B93209CF0A2A",1)</f>
        <v>=DISPIMG("ID_20B981B8A5464D61B6E3B93209CF0A2A",1)</v>
      </c>
      <c r="B249" s="16" t="s">
        <v>884</v>
      </c>
      <c r="C249" s="16"/>
      <c r="D249" s="16"/>
      <c r="E249" s="16" t="s">
        <v>215</v>
      </c>
      <c r="F249" s="16">
        <v>158</v>
      </c>
      <c r="G249" s="17">
        <v>134.4</v>
      </c>
      <c r="H249" s="17">
        <v>181.9</v>
      </c>
      <c r="I249" s="17">
        <v>158</v>
      </c>
      <c r="J249" s="16">
        <v>53</v>
      </c>
      <c r="K249" s="16">
        <v>39</v>
      </c>
      <c r="L249" s="16">
        <v>17</v>
      </c>
      <c r="M249" s="16">
        <v>39</v>
      </c>
      <c r="N249" s="16">
        <v>0</v>
      </c>
      <c r="O249" s="16">
        <v>0</v>
      </c>
      <c r="P249" s="16">
        <v>40</v>
      </c>
      <c r="Q249" s="16">
        <v>600</v>
      </c>
      <c r="R249" s="17">
        <v>27.9</v>
      </c>
      <c r="S249" s="17">
        <v>5.66308243727599</v>
      </c>
      <c r="T249" s="17" t="s">
        <v>874</v>
      </c>
      <c r="U249" s="16" t="s">
        <v>829</v>
      </c>
      <c r="V249" s="17"/>
      <c r="W249" s="22" t="s">
        <v>885</v>
      </c>
    </row>
    <row r="250" customHeight="1" spans="1:23">
      <c r="A250" s="6" t="str">
        <f>_xlfn.DISPIMG("ID_1AB75592A4F2427BA6403875A532E533",1)</f>
        <v>=DISPIMG("ID_1AB75592A4F2427BA6403875A532E533",1)</v>
      </c>
      <c r="B250" s="7" t="s">
        <v>886</v>
      </c>
      <c r="C250" s="7" t="s">
        <v>887</v>
      </c>
      <c r="D250" s="7" t="s">
        <v>888</v>
      </c>
      <c r="E250" s="7" t="s">
        <v>220</v>
      </c>
      <c r="F250" s="7">
        <v>20</v>
      </c>
      <c r="G250" s="8">
        <v>19.2</v>
      </c>
      <c r="H250" s="8">
        <v>22.8</v>
      </c>
      <c r="I250" s="8">
        <v>20</v>
      </c>
      <c r="J250" s="7">
        <v>18</v>
      </c>
      <c r="K250" s="7">
        <v>17</v>
      </c>
      <c r="L250" s="7">
        <v>13</v>
      </c>
      <c r="M250" s="7">
        <v>15</v>
      </c>
      <c r="N250" s="7">
        <v>13</v>
      </c>
      <c r="O250" s="7">
        <v>0</v>
      </c>
      <c r="P250" s="7">
        <v>5</v>
      </c>
      <c r="Q250" s="7">
        <v>300</v>
      </c>
      <c r="R250" s="8">
        <v>3.9</v>
      </c>
      <c r="S250" s="8">
        <v>5.12820512820513</v>
      </c>
      <c r="T250" s="8" t="s">
        <v>889</v>
      </c>
      <c r="U250" s="8" t="s">
        <v>829</v>
      </c>
      <c r="V250" s="8"/>
      <c r="W250" s="18"/>
    </row>
    <row r="251" customHeight="1" spans="1:23">
      <c r="A251" s="3" t="str">
        <f>_xlfn.DISPIMG("ID_5075697A51EA467E9389C47E42537D6B",1)</f>
        <v>=DISPIMG("ID_5075697A51EA467E9389C47E42537D6B",1)</v>
      </c>
      <c r="B251" s="9" t="s">
        <v>890</v>
      </c>
      <c r="C251" s="9" t="s">
        <v>891</v>
      </c>
      <c r="D251" s="9" t="s">
        <v>892</v>
      </c>
      <c r="E251" s="9" t="s">
        <v>226</v>
      </c>
      <c r="F251" s="9">
        <v>53</v>
      </c>
      <c r="G251" s="10">
        <v>50.9</v>
      </c>
      <c r="H251" s="10">
        <v>60.4</v>
      </c>
      <c r="I251" s="10">
        <v>53</v>
      </c>
      <c r="J251" s="9">
        <v>45</v>
      </c>
      <c r="K251" s="9">
        <v>45</v>
      </c>
      <c r="L251" s="9">
        <v>35</v>
      </c>
      <c r="M251" s="9">
        <v>38</v>
      </c>
      <c r="N251" s="9">
        <v>33</v>
      </c>
      <c r="O251" s="9">
        <v>0</v>
      </c>
      <c r="P251" s="9">
        <v>12</v>
      </c>
      <c r="Q251" s="9">
        <v>300</v>
      </c>
      <c r="R251" s="10">
        <v>10.1</v>
      </c>
      <c r="S251" s="10">
        <v>5.24752475247525</v>
      </c>
      <c r="T251" s="10" t="s">
        <v>889</v>
      </c>
      <c r="U251" s="10" t="s">
        <v>829</v>
      </c>
      <c r="V251" s="10"/>
      <c r="W251" s="24"/>
    </row>
    <row r="252" customHeight="1" spans="1:23">
      <c r="A252" s="6" t="str">
        <f>_xlfn.DISPIMG("ID_1C0B860DBB2D4AC0984D3BC8E5D82E57",1)</f>
        <v>=DISPIMG("ID_1C0B860DBB2D4AC0984D3BC8E5D82E57",1)</v>
      </c>
      <c r="B252" s="11" t="s">
        <v>893</v>
      </c>
      <c r="C252" s="11" t="s">
        <v>894</v>
      </c>
      <c r="D252" s="11" t="s">
        <v>895</v>
      </c>
      <c r="E252" s="11" t="s">
        <v>230</v>
      </c>
      <c r="F252" s="11">
        <v>17</v>
      </c>
      <c r="G252" s="12">
        <v>16.3</v>
      </c>
      <c r="H252" s="12">
        <v>19.4</v>
      </c>
      <c r="I252" s="12">
        <v>17</v>
      </c>
      <c r="J252" s="11">
        <v>13</v>
      </c>
      <c r="K252" s="11">
        <v>13</v>
      </c>
      <c r="L252" s="11">
        <v>10</v>
      </c>
      <c r="M252" s="11">
        <v>12</v>
      </c>
      <c r="N252" s="11">
        <v>10</v>
      </c>
      <c r="O252" s="11">
        <v>0</v>
      </c>
      <c r="P252" s="11">
        <v>3</v>
      </c>
      <c r="Q252" s="11">
        <v>300</v>
      </c>
      <c r="R252" s="12">
        <v>3</v>
      </c>
      <c r="S252" s="12">
        <v>5.66666666666667</v>
      </c>
      <c r="T252" s="12" t="s">
        <v>889</v>
      </c>
      <c r="U252" s="12" t="s">
        <v>829</v>
      </c>
      <c r="V252" s="12"/>
      <c r="W252" s="20"/>
    </row>
    <row r="253" customHeight="1" spans="1:23">
      <c r="A253" s="6" t="str">
        <f>_xlfn.DISPIMG("ID_CAA4F3C5ABFF42E48DF3E2A389024086",1)</f>
        <v>=DISPIMG("ID_CAA4F3C5ABFF42E48DF3E2A389024086",1)</v>
      </c>
      <c r="B253" s="13" t="s">
        <v>896</v>
      </c>
      <c r="C253" s="13" t="s">
        <v>897</v>
      </c>
      <c r="D253" s="13" t="s">
        <v>898</v>
      </c>
      <c r="E253" s="13" t="s">
        <v>237</v>
      </c>
      <c r="F253" s="13">
        <v>32</v>
      </c>
      <c r="G253" s="14">
        <v>30.7</v>
      </c>
      <c r="H253" s="14">
        <v>36.5</v>
      </c>
      <c r="I253" s="14">
        <v>32</v>
      </c>
      <c r="J253" s="13">
        <v>27</v>
      </c>
      <c r="K253" s="13">
        <v>27</v>
      </c>
      <c r="L253" s="13">
        <v>20</v>
      </c>
      <c r="M253" s="13">
        <v>23</v>
      </c>
      <c r="N253" s="13">
        <v>20</v>
      </c>
      <c r="O253" s="13">
        <v>0</v>
      </c>
      <c r="P253" s="13">
        <v>7</v>
      </c>
      <c r="Q253" s="13">
        <v>300</v>
      </c>
      <c r="R253" s="14">
        <v>6</v>
      </c>
      <c r="S253" s="14">
        <v>5.33333333333333</v>
      </c>
      <c r="T253" s="14" t="s">
        <v>889</v>
      </c>
      <c r="U253" s="14" t="s">
        <v>829</v>
      </c>
      <c r="V253" s="14"/>
      <c r="W253" s="21"/>
    </row>
    <row r="254" s="2" customFormat="1" ht="116.25" spans="1:23">
      <c r="A254" s="15" t="str">
        <f>_xlfn.DISPIMG("ID_A9227C0DE659406A8A42E61EAFA54336",1)</f>
        <v>=DISPIMG("ID_A9227C0DE659406A8A42E61EAFA54336",1)</v>
      </c>
      <c r="B254" s="16" t="s">
        <v>899</v>
      </c>
      <c r="C254" s="16"/>
      <c r="D254" s="16"/>
      <c r="E254" s="16" t="s">
        <v>215</v>
      </c>
      <c r="F254" s="16">
        <v>122</v>
      </c>
      <c r="G254" s="17">
        <v>117.1</v>
      </c>
      <c r="H254" s="17">
        <v>139.1</v>
      </c>
      <c r="I254" s="17">
        <v>122</v>
      </c>
      <c r="J254" s="16">
        <v>103</v>
      </c>
      <c r="K254" s="16">
        <v>102</v>
      </c>
      <c r="L254" s="16">
        <v>78</v>
      </c>
      <c r="M254" s="16">
        <v>88</v>
      </c>
      <c r="N254" s="16">
        <v>76</v>
      </c>
      <c r="O254" s="16">
        <v>0</v>
      </c>
      <c r="P254" s="16">
        <v>27</v>
      </c>
      <c r="Q254" s="16">
        <v>1200</v>
      </c>
      <c r="R254" s="17">
        <v>23</v>
      </c>
      <c r="S254" s="17">
        <v>5.30434782608696</v>
      </c>
      <c r="T254" s="17" t="s">
        <v>889</v>
      </c>
      <c r="U254" s="16" t="s">
        <v>829</v>
      </c>
      <c r="V254" s="17"/>
      <c r="W254" s="22" t="s">
        <v>900</v>
      </c>
    </row>
    <row r="255" customHeight="1" spans="1:23">
      <c r="A255" s="6" t="str">
        <f>_xlfn.DISPIMG("ID_F3D748184A5142D28A9B7F8D64843407",1)</f>
        <v>=DISPIMG("ID_F3D748184A5142D28A9B7F8D64843407",1)</v>
      </c>
      <c r="B255" s="7" t="s">
        <v>901</v>
      </c>
      <c r="C255" s="7" t="s">
        <v>902</v>
      </c>
      <c r="D255" s="7" t="s">
        <v>903</v>
      </c>
      <c r="E255" s="7" t="s">
        <v>220</v>
      </c>
      <c r="F255" s="7">
        <v>35</v>
      </c>
      <c r="G255" s="8">
        <v>32.2</v>
      </c>
      <c r="H255" s="8">
        <v>40.9</v>
      </c>
      <c r="I255" s="8">
        <v>35</v>
      </c>
      <c r="J255" s="7">
        <v>17</v>
      </c>
      <c r="K255" s="7">
        <v>16</v>
      </c>
      <c r="L255" s="7">
        <v>6</v>
      </c>
      <c r="M255" s="7">
        <v>17</v>
      </c>
      <c r="N255" s="7">
        <v>12</v>
      </c>
      <c r="O255" s="7">
        <v>0</v>
      </c>
      <c r="P255" s="7">
        <v>13</v>
      </c>
      <c r="Q255" s="7">
        <v>700</v>
      </c>
      <c r="R255" s="8">
        <v>6.3</v>
      </c>
      <c r="S255" s="8">
        <v>5.55555555555556</v>
      </c>
      <c r="T255" s="8" t="s">
        <v>904</v>
      </c>
      <c r="U255" s="8" t="s">
        <v>829</v>
      </c>
      <c r="V255" s="8"/>
      <c r="W255" s="18"/>
    </row>
    <row r="256" customHeight="1" spans="1:23">
      <c r="A256" s="3" t="str">
        <f>_xlfn.DISPIMG("ID_A758A35157CF498CB17FAE19BFCE565C",1)</f>
        <v>=DISPIMG("ID_A758A35157CF498CB17FAE19BFCE565C",1)</v>
      </c>
      <c r="B256" s="9" t="s">
        <v>905</v>
      </c>
      <c r="C256" s="9" t="s">
        <v>906</v>
      </c>
      <c r="D256" s="9" t="s">
        <v>907</v>
      </c>
      <c r="E256" s="9" t="s">
        <v>226</v>
      </c>
      <c r="F256" s="9">
        <v>91</v>
      </c>
      <c r="G256" s="10">
        <v>83.7</v>
      </c>
      <c r="H256" s="10">
        <v>106.5</v>
      </c>
      <c r="I256" s="10">
        <v>91</v>
      </c>
      <c r="J256" s="9">
        <v>45</v>
      </c>
      <c r="K256" s="9">
        <v>41</v>
      </c>
      <c r="L256" s="9">
        <v>17</v>
      </c>
      <c r="M256" s="9">
        <v>45</v>
      </c>
      <c r="N256" s="9">
        <v>31</v>
      </c>
      <c r="O256" s="9">
        <v>0</v>
      </c>
      <c r="P256" s="9">
        <v>33</v>
      </c>
      <c r="Q256" s="9">
        <v>700</v>
      </c>
      <c r="R256" s="10">
        <v>16.4</v>
      </c>
      <c r="S256" s="10">
        <v>5.54878048780488</v>
      </c>
      <c r="T256" s="10" t="s">
        <v>904</v>
      </c>
      <c r="U256" s="10" t="s">
        <v>829</v>
      </c>
      <c r="V256" s="10"/>
      <c r="W256" s="24"/>
    </row>
    <row r="257" customHeight="1" spans="1:23">
      <c r="A257" s="6" t="str">
        <f>_xlfn.DISPIMG("ID_BACA45C499D44799A657BFD74EA4AAF7",1)</f>
        <v>=DISPIMG("ID_BACA45C499D44799A657BFD74EA4AAF7",1)</v>
      </c>
      <c r="B257" s="11" t="s">
        <v>908</v>
      </c>
      <c r="C257" s="11" t="s">
        <v>909</v>
      </c>
      <c r="D257" s="11" t="s">
        <v>910</v>
      </c>
      <c r="E257" s="11" t="s">
        <v>230</v>
      </c>
      <c r="F257" s="11">
        <v>54</v>
      </c>
      <c r="G257" s="12">
        <v>49.7</v>
      </c>
      <c r="H257" s="12">
        <v>63.2</v>
      </c>
      <c r="I257" s="12">
        <v>54</v>
      </c>
      <c r="J257" s="11">
        <v>25</v>
      </c>
      <c r="K257" s="11">
        <v>23</v>
      </c>
      <c r="L257" s="11">
        <v>10</v>
      </c>
      <c r="M257" s="11">
        <v>27</v>
      </c>
      <c r="N257" s="11">
        <v>17</v>
      </c>
      <c r="O257" s="11">
        <v>0</v>
      </c>
      <c r="P257" s="11">
        <v>20</v>
      </c>
      <c r="Q257" s="11">
        <v>700</v>
      </c>
      <c r="R257" s="12">
        <v>9.7</v>
      </c>
      <c r="S257" s="12">
        <v>5.56701030927835</v>
      </c>
      <c r="T257" s="12" t="s">
        <v>904</v>
      </c>
      <c r="U257" s="12" t="s">
        <v>829</v>
      </c>
      <c r="V257" s="12"/>
      <c r="W257" s="20"/>
    </row>
    <row r="258" customHeight="1" spans="1:23">
      <c r="A258" s="6" t="str">
        <f>_xlfn.DISPIMG("ID_26D3CCFFCE344874A8DAAD9EE8C422E7",1)</f>
        <v>=DISPIMG("ID_26D3CCFFCE344874A8DAAD9EE8C422E7",1)</v>
      </c>
      <c r="B258" s="13" t="s">
        <v>911</v>
      </c>
      <c r="C258" s="13" t="s">
        <v>912</v>
      </c>
      <c r="D258" s="13" t="s">
        <v>913</v>
      </c>
      <c r="E258" s="13" t="s">
        <v>237</v>
      </c>
      <c r="F258" s="13">
        <v>54</v>
      </c>
      <c r="G258" s="14">
        <v>49.7</v>
      </c>
      <c r="H258" s="14">
        <v>63.2</v>
      </c>
      <c r="I258" s="14">
        <v>54</v>
      </c>
      <c r="J258" s="13">
        <v>25</v>
      </c>
      <c r="K258" s="13">
        <v>23</v>
      </c>
      <c r="L258" s="13">
        <v>10</v>
      </c>
      <c r="M258" s="13">
        <v>27</v>
      </c>
      <c r="N258" s="13">
        <v>17</v>
      </c>
      <c r="O258" s="13">
        <v>0</v>
      </c>
      <c r="P258" s="13">
        <v>20</v>
      </c>
      <c r="Q258" s="13">
        <v>700</v>
      </c>
      <c r="R258" s="14">
        <v>9.7</v>
      </c>
      <c r="S258" s="14">
        <v>5.56701030927835</v>
      </c>
      <c r="T258" s="14" t="s">
        <v>904</v>
      </c>
      <c r="U258" s="14" t="s">
        <v>829</v>
      </c>
      <c r="V258" s="14"/>
      <c r="W258" s="21"/>
    </row>
    <row r="259" s="2" customFormat="1" ht="116.25" spans="1:23">
      <c r="A259" s="15" t="str">
        <f>_xlfn.DISPIMG("ID_1CE96BB3D0BD430ABD9F932576F43C5F",1)</f>
        <v>=DISPIMG("ID_1CE96BB3D0BD430ABD9F932576F43C5F",1)</v>
      </c>
      <c r="B259" s="16" t="s">
        <v>914</v>
      </c>
      <c r="C259" s="16"/>
      <c r="D259" s="16"/>
      <c r="E259" s="16" t="s">
        <v>215</v>
      </c>
      <c r="F259" s="16">
        <v>234</v>
      </c>
      <c r="G259" s="17">
        <v>215.3</v>
      </c>
      <c r="H259" s="17">
        <v>273.8</v>
      </c>
      <c r="I259" s="17">
        <v>234</v>
      </c>
      <c r="J259" s="16">
        <v>112</v>
      </c>
      <c r="K259" s="16">
        <v>103</v>
      </c>
      <c r="L259" s="16">
        <v>43</v>
      </c>
      <c r="M259" s="16">
        <v>116</v>
      </c>
      <c r="N259" s="16">
        <v>77</v>
      </c>
      <c r="O259" s="16">
        <v>0</v>
      </c>
      <c r="P259" s="16">
        <v>86</v>
      </c>
      <c r="Q259" s="16">
        <v>2800</v>
      </c>
      <c r="R259" s="17">
        <v>42.1</v>
      </c>
      <c r="S259" s="17">
        <v>5.55819477434679</v>
      </c>
      <c r="T259" s="17" t="s">
        <v>904</v>
      </c>
      <c r="U259" s="16" t="s">
        <v>829</v>
      </c>
      <c r="V259" s="17"/>
      <c r="W259" s="22" t="s">
        <v>915</v>
      </c>
    </row>
    <row r="260" ht="77.25" spans="1:23">
      <c r="A260" s="6" t="str">
        <f>_xlfn.DISPIMG("ID_1371CB0155D04BEAB53C3461ED487886",1)</f>
        <v>=DISPIMG("ID_1371CB0155D04BEAB53C3461ED487886",1)</v>
      </c>
      <c r="B260" s="7" t="s">
        <v>916</v>
      </c>
      <c r="C260" s="7" t="s">
        <v>917</v>
      </c>
      <c r="D260" s="7" t="s">
        <v>918</v>
      </c>
      <c r="E260" s="7" t="s">
        <v>220</v>
      </c>
      <c r="F260" s="7">
        <v>35</v>
      </c>
      <c r="G260" s="8">
        <v>32.9</v>
      </c>
      <c r="H260" s="8">
        <v>40.3</v>
      </c>
      <c r="I260" s="8">
        <v>35</v>
      </c>
      <c r="J260" s="7">
        <v>17</v>
      </c>
      <c r="K260" s="7">
        <v>21</v>
      </c>
      <c r="L260" s="7">
        <v>21</v>
      </c>
      <c r="M260" s="7">
        <v>17</v>
      </c>
      <c r="N260" s="7">
        <v>6</v>
      </c>
      <c r="O260" s="7">
        <v>0</v>
      </c>
      <c r="P260" s="7">
        <v>15</v>
      </c>
      <c r="Q260" s="7">
        <v>800</v>
      </c>
      <c r="R260" s="8">
        <v>6.8</v>
      </c>
      <c r="S260" s="8">
        <v>5.14705882352941</v>
      </c>
      <c r="T260" s="8" t="s">
        <v>919</v>
      </c>
      <c r="U260" s="8" t="s">
        <v>829</v>
      </c>
      <c r="V260" s="8"/>
      <c r="W260" s="18"/>
    </row>
    <row r="261" customHeight="1" spans="1:23">
      <c r="A261" s="3" t="str">
        <f>_xlfn.DISPIMG("ID_8909FDD66B044B84A7464AF02AD987AA",1)</f>
        <v>=DISPIMG("ID_8909FDD66B044B84A7464AF02AD987AA",1)</v>
      </c>
      <c r="B261" s="9" t="s">
        <v>920</v>
      </c>
      <c r="C261" s="9" t="s">
        <v>921</v>
      </c>
      <c r="D261" s="9" t="s">
        <v>922</v>
      </c>
      <c r="E261" s="9" t="s">
        <v>226</v>
      </c>
      <c r="F261" s="9">
        <v>91</v>
      </c>
      <c r="G261" s="10">
        <v>85.5</v>
      </c>
      <c r="H261" s="10">
        <v>104.7</v>
      </c>
      <c r="I261" s="10">
        <v>91</v>
      </c>
      <c r="J261" s="9">
        <v>45</v>
      </c>
      <c r="K261" s="9">
        <v>54</v>
      </c>
      <c r="L261" s="9">
        <v>54</v>
      </c>
      <c r="M261" s="9">
        <v>45</v>
      </c>
      <c r="N261" s="9">
        <v>16</v>
      </c>
      <c r="O261" s="9">
        <v>0</v>
      </c>
      <c r="P261" s="9">
        <v>39</v>
      </c>
      <c r="Q261" s="9">
        <v>800</v>
      </c>
      <c r="R261" s="10">
        <v>17.6</v>
      </c>
      <c r="S261" s="10">
        <v>5.17045454545454</v>
      </c>
      <c r="T261" s="10" t="s">
        <v>919</v>
      </c>
      <c r="U261" s="10" t="s">
        <v>829</v>
      </c>
      <c r="V261" s="10"/>
      <c r="W261" s="19"/>
    </row>
    <row r="262" customHeight="1" spans="1:23">
      <c r="A262" s="6" t="str">
        <f>_xlfn.DISPIMG("ID_08DA36CD82CF4E4A9C3E266EBD6F895E",1)</f>
        <v>=DISPIMG("ID_08DA36CD82CF4E4A9C3E266EBD6F895E",1)</v>
      </c>
      <c r="B262" s="11" t="s">
        <v>923</v>
      </c>
      <c r="C262" s="11" t="s">
        <v>924</v>
      </c>
      <c r="D262" s="11" t="s">
        <v>925</v>
      </c>
      <c r="E262" s="11" t="s">
        <v>230</v>
      </c>
      <c r="F262" s="11">
        <v>54</v>
      </c>
      <c r="G262" s="12">
        <v>50.8</v>
      </c>
      <c r="H262" s="12">
        <v>62.1</v>
      </c>
      <c r="I262" s="12">
        <v>54</v>
      </c>
      <c r="J262" s="11">
        <v>27</v>
      </c>
      <c r="K262" s="11">
        <v>33</v>
      </c>
      <c r="L262" s="11">
        <v>33</v>
      </c>
      <c r="M262" s="11">
        <v>27</v>
      </c>
      <c r="N262" s="11">
        <v>10</v>
      </c>
      <c r="O262" s="11">
        <v>0</v>
      </c>
      <c r="P262" s="11">
        <v>23</v>
      </c>
      <c r="Q262" s="11">
        <v>800</v>
      </c>
      <c r="R262" s="12">
        <v>10.4</v>
      </c>
      <c r="S262" s="12">
        <v>5.19230769230769</v>
      </c>
      <c r="T262" s="12" t="s">
        <v>919</v>
      </c>
      <c r="U262" s="12" t="s">
        <v>829</v>
      </c>
      <c r="V262" s="12"/>
      <c r="W262" s="20"/>
    </row>
    <row r="263" customHeight="1" spans="1:23">
      <c r="A263" s="6" t="str">
        <f>_xlfn.DISPIMG("ID_BA1793CB35E147A2A03542E9300A09C2",1)</f>
        <v>=DISPIMG("ID_BA1793CB35E147A2A03542E9300A09C2",1)</v>
      </c>
      <c r="B263" s="13" t="s">
        <v>926</v>
      </c>
      <c r="C263" s="13" t="s">
        <v>927</v>
      </c>
      <c r="D263" s="13" t="s">
        <v>928</v>
      </c>
      <c r="E263" s="13" t="s">
        <v>237</v>
      </c>
      <c r="F263" s="13">
        <v>54</v>
      </c>
      <c r="G263" s="14">
        <v>50.8</v>
      </c>
      <c r="H263" s="14">
        <v>62.1</v>
      </c>
      <c r="I263" s="14">
        <v>54</v>
      </c>
      <c r="J263" s="13">
        <v>27</v>
      </c>
      <c r="K263" s="13">
        <v>33</v>
      </c>
      <c r="L263" s="13">
        <v>33</v>
      </c>
      <c r="M263" s="13">
        <v>27</v>
      </c>
      <c r="N263" s="13">
        <v>10</v>
      </c>
      <c r="O263" s="13">
        <v>0</v>
      </c>
      <c r="P263" s="13">
        <v>23</v>
      </c>
      <c r="Q263" s="13">
        <v>800</v>
      </c>
      <c r="R263" s="14">
        <v>10.4</v>
      </c>
      <c r="S263" s="14">
        <v>5.19230769230769</v>
      </c>
      <c r="T263" s="14" t="s">
        <v>919</v>
      </c>
      <c r="U263" s="14" t="s">
        <v>829</v>
      </c>
      <c r="V263" s="14"/>
      <c r="W263" s="21"/>
    </row>
    <row r="264" s="2" customFormat="1" ht="116.25" spans="1:23">
      <c r="A264" s="15" t="str">
        <f>_xlfn.DISPIMG("ID_A7E9F5FDA9AC4717BBAA1DD03CEC46DE",1)</f>
        <v>=DISPIMG("ID_A7E9F5FDA9AC4717BBAA1DD03CEC46DE",1)</v>
      </c>
      <c r="B264" s="16" t="s">
        <v>929</v>
      </c>
      <c r="C264" s="16"/>
      <c r="D264" s="16"/>
      <c r="E264" s="16" t="s">
        <v>215</v>
      </c>
      <c r="F264" s="16">
        <v>234</v>
      </c>
      <c r="G264" s="17">
        <v>220</v>
      </c>
      <c r="H264" s="17">
        <v>269.2</v>
      </c>
      <c r="I264" s="17">
        <v>234</v>
      </c>
      <c r="J264" s="16">
        <v>116</v>
      </c>
      <c r="K264" s="16">
        <v>141</v>
      </c>
      <c r="L264" s="16">
        <v>141</v>
      </c>
      <c r="M264" s="16">
        <v>116</v>
      </c>
      <c r="N264" s="16">
        <v>42</v>
      </c>
      <c r="O264" s="16">
        <v>0</v>
      </c>
      <c r="P264" s="16">
        <v>100</v>
      </c>
      <c r="Q264" s="16">
        <v>3200</v>
      </c>
      <c r="R264" s="17">
        <v>45.2</v>
      </c>
      <c r="S264" s="17">
        <v>5.17699115044248</v>
      </c>
      <c r="T264" s="17" t="s">
        <v>919</v>
      </c>
      <c r="U264" s="16" t="s">
        <v>829</v>
      </c>
      <c r="V264" s="17"/>
      <c r="W264" s="22" t="s">
        <v>930</v>
      </c>
    </row>
    <row r="265" customHeight="1" spans="1:23">
      <c r="A265" s="6" t="str">
        <f>_xlfn.DISPIMG("ID_A42959F744014034897ECC6155B7ECD3",1)</f>
        <v>=DISPIMG("ID_A42959F744014034897ECC6155B7ECD3",1)</v>
      </c>
      <c r="B265" s="7" t="s">
        <v>931</v>
      </c>
      <c r="C265" s="7" t="s">
        <v>932</v>
      </c>
      <c r="D265" s="7" t="s">
        <v>933</v>
      </c>
      <c r="E265" s="7" t="s">
        <v>220</v>
      </c>
      <c r="F265" s="7">
        <v>41</v>
      </c>
      <c r="G265" s="8">
        <v>38.5</v>
      </c>
      <c r="H265" s="8">
        <v>47.1</v>
      </c>
      <c r="I265" s="8">
        <v>41</v>
      </c>
      <c r="J265" s="7">
        <v>23</v>
      </c>
      <c r="K265" s="7">
        <v>19</v>
      </c>
      <c r="L265" s="7">
        <v>23</v>
      </c>
      <c r="M265" s="7">
        <v>17</v>
      </c>
      <c r="N265" s="7">
        <v>6</v>
      </c>
      <c r="O265" s="7">
        <v>0</v>
      </c>
      <c r="P265" s="7">
        <v>15</v>
      </c>
      <c r="Q265" s="7">
        <v>800</v>
      </c>
      <c r="R265" s="8">
        <v>7.2</v>
      </c>
      <c r="S265" s="8">
        <v>5.69444444444444</v>
      </c>
      <c r="T265" s="8" t="s">
        <v>934</v>
      </c>
      <c r="U265" s="8" t="s">
        <v>829</v>
      </c>
      <c r="V265" s="8"/>
      <c r="W265" s="18" t="s">
        <v>935</v>
      </c>
    </row>
    <row r="266" customHeight="1" spans="1:23">
      <c r="A266" s="3" t="str">
        <f>_xlfn.DISPIMG("ID_EF59FA05A98045F6AB56DFB8A025F257",1)</f>
        <v>=DISPIMG("ID_EF59FA05A98045F6AB56DFB8A025F257",1)</v>
      </c>
      <c r="B266" s="9" t="s">
        <v>936</v>
      </c>
      <c r="C266" s="9" t="s">
        <v>937</v>
      </c>
      <c r="D266" s="9" t="s">
        <v>938</v>
      </c>
      <c r="E266" s="9" t="s">
        <v>226</v>
      </c>
      <c r="F266" s="9">
        <v>86</v>
      </c>
      <c r="G266" s="10">
        <v>80.8</v>
      </c>
      <c r="H266" s="10">
        <v>98.9</v>
      </c>
      <c r="I266" s="10">
        <v>86</v>
      </c>
      <c r="J266" s="9">
        <v>50</v>
      </c>
      <c r="K266" s="9">
        <v>42</v>
      </c>
      <c r="L266" s="9">
        <v>50</v>
      </c>
      <c r="M266" s="9">
        <v>42</v>
      </c>
      <c r="N266" s="9">
        <v>14</v>
      </c>
      <c r="O266" s="9">
        <v>0</v>
      </c>
      <c r="P266" s="9">
        <v>37</v>
      </c>
      <c r="Q266" s="9">
        <v>800</v>
      </c>
      <c r="R266" s="10">
        <v>17</v>
      </c>
      <c r="S266" s="10">
        <v>5.05882352941176</v>
      </c>
      <c r="T266" s="10" t="s">
        <v>934</v>
      </c>
      <c r="U266" s="10" t="s">
        <v>829</v>
      </c>
      <c r="V266" s="10"/>
      <c r="W266" s="24" t="s">
        <v>939</v>
      </c>
    </row>
    <row r="267" customHeight="1" spans="1:23">
      <c r="A267" s="6" t="str">
        <f>_xlfn.DISPIMG("ID_CF6BE87325A94D948E49FC862412F4C2",1)</f>
        <v>=DISPIMG("ID_CF6BE87325A94D948E49FC862412F4C2",1)</v>
      </c>
      <c r="B267" s="11" t="s">
        <v>940</v>
      </c>
      <c r="C267" s="11" t="s">
        <v>941</v>
      </c>
      <c r="D267" s="11" t="s">
        <v>942</v>
      </c>
      <c r="E267" s="11" t="s">
        <v>230</v>
      </c>
      <c r="F267" s="11">
        <v>54</v>
      </c>
      <c r="G267" s="12">
        <v>50.8</v>
      </c>
      <c r="H267" s="12">
        <v>62.1</v>
      </c>
      <c r="I267" s="12">
        <v>54</v>
      </c>
      <c r="J267" s="11">
        <v>33</v>
      </c>
      <c r="K267" s="11">
        <v>27</v>
      </c>
      <c r="L267" s="11">
        <v>33</v>
      </c>
      <c r="M267" s="11">
        <v>27</v>
      </c>
      <c r="N267" s="11">
        <v>10</v>
      </c>
      <c r="O267" s="11">
        <v>0</v>
      </c>
      <c r="P267" s="11">
        <v>23</v>
      </c>
      <c r="Q267" s="11">
        <v>800</v>
      </c>
      <c r="R267" s="12">
        <v>10.4</v>
      </c>
      <c r="S267" s="12">
        <v>5.19230769230769</v>
      </c>
      <c r="T267" s="12" t="s">
        <v>934</v>
      </c>
      <c r="U267" s="12" t="s">
        <v>829</v>
      </c>
      <c r="V267" s="12"/>
      <c r="W267" s="20" t="s">
        <v>943</v>
      </c>
    </row>
    <row r="268" customHeight="1" spans="1:23">
      <c r="A268" s="6" t="str">
        <f>_xlfn.DISPIMG("ID_1B19ED3DC4CB457E8D87AA9A3C0DF7C0",1)</f>
        <v>=DISPIMG("ID_1B19ED3DC4CB457E8D87AA9A3C0DF7C0",1)</v>
      </c>
      <c r="B268" s="13" t="s">
        <v>944</v>
      </c>
      <c r="C268" s="13" t="s">
        <v>945</v>
      </c>
      <c r="D268" s="13" t="s">
        <v>946</v>
      </c>
      <c r="E268" s="13" t="s">
        <v>237</v>
      </c>
      <c r="F268" s="13">
        <v>54</v>
      </c>
      <c r="G268" s="14">
        <v>50.8</v>
      </c>
      <c r="H268" s="14">
        <v>62.1</v>
      </c>
      <c r="I268" s="14">
        <v>54</v>
      </c>
      <c r="J268" s="13">
        <v>33</v>
      </c>
      <c r="K268" s="13">
        <v>27</v>
      </c>
      <c r="L268" s="13">
        <v>33</v>
      </c>
      <c r="M268" s="13">
        <v>27</v>
      </c>
      <c r="N268" s="13">
        <v>10</v>
      </c>
      <c r="O268" s="13">
        <v>0</v>
      </c>
      <c r="P268" s="13">
        <v>23</v>
      </c>
      <c r="Q268" s="13">
        <v>800</v>
      </c>
      <c r="R268" s="14">
        <v>10.4</v>
      </c>
      <c r="S268" s="14">
        <v>5.19230769230769</v>
      </c>
      <c r="T268" s="14" t="s">
        <v>934</v>
      </c>
      <c r="U268" s="14" t="s">
        <v>829</v>
      </c>
      <c r="V268" s="14"/>
      <c r="W268" s="21" t="s">
        <v>947</v>
      </c>
    </row>
    <row r="269" s="2" customFormat="1" ht="116.2" customHeight="1" spans="1:23">
      <c r="A269" s="15"/>
      <c r="B269" s="16" t="s">
        <v>948</v>
      </c>
      <c r="C269" s="16"/>
      <c r="D269" s="16"/>
      <c r="E269" s="16" t="s">
        <v>215</v>
      </c>
      <c r="F269" s="16">
        <v>235</v>
      </c>
      <c r="G269" s="17">
        <v>220.9</v>
      </c>
      <c r="H269" s="17">
        <v>270.2</v>
      </c>
      <c r="I269" s="17">
        <v>235</v>
      </c>
      <c r="J269" s="16">
        <v>139</v>
      </c>
      <c r="K269" s="16">
        <v>115</v>
      </c>
      <c r="L269" s="16">
        <v>139</v>
      </c>
      <c r="M269" s="16">
        <v>113</v>
      </c>
      <c r="N269" s="16">
        <v>40</v>
      </c>
      <c r="O269" s="16">
        <v>0</v>
      </c>
      <c r="P269" s="16">
        <v>98</v>
      </c>
      <c r="Q269" s="16">
        <v>3200</v>
      </c>
      <c r="R269" s="17">
        <v>45</v>
      </c>
      <c r="S269" s="17">
        <v>5.22222222222222</v>
      </c>
      <c r="T269" s="17" t="s">
        <v>934</v>
      </c>
      <c r="U269" s="16" t="s">
        <v>829</v>
      </c>
      <c r="V269" s="17"/>
      <c r="W269" s="22"/>
    </row>
    <row r="270" customHeight="1" spans="1:23">
      <c r="A270" s="6" t="str">
        <f>_xlfn.DISPIMG("ID_875482305C4844A7B95C26A267C08927",1)</f>
        <v>=DISPIMG("ID_875482305C4844A7B95C26A267C08927",1)</v>
      </c>
      <c r="B270" s="7" t="s">
        <v>949</v>
      </c>
      <c r="C270" s="7" t="s">
        <v>950</v>
      </c>
      <c r="D270" s="7" t="s">
        <v>951</v>
      </c>
      <c r="E270" s="7" t="s">
        <v>220</v>
      </c>
      <c r="F270" s="7">
        <v>40</v>
      </c>
      <c r="G270" s="8">
        <v>34.8</v>
      </c>
      <c r="H270" s="8">
        <v>46</v>
      </c>
      <c r="I270" s="8">
        <v>40</v>
      </c>
      <c r="J270" s="7">
        <v>19</v>
      </c>
      <c r="K270" s="7">
        <v>26</v>
      </c>
      <c r="L270" s="7">
        <v>21</v>
      </c>
      <c r="M270" s="7">
        <v>21</v>
      </c>
      <c r="N270" s="7">
        <v>12</v>
      </c>
      <c r="O270" s="7">
        <v>5</v>
      </c>
      <c r="P270" s="7">
        <v>14</v>
      </c>
      <c r="Q270" s="7">
        <v>700</v>
      </c>
      <c r="R270" s="8">
        <v>6.8</v>
      </c>
      <c r="S270" s="8">
        <v>5.88235294117647</v>
      </c>
      <c r="T270" s="8" t="s">
        <v>952</v>
      </c>
      <c r="U270" s="8" t="s">
        <v>829</v>
      </c>
      <c r="V270" s="8" t="s">
        <v>953</v>
      </c>
      <c r="W270" s="18"/>
    </row>
    <row r="271" customHeight="1" spans="1:23">
      <c r="A271" s="3" t="str">
        <f>_xlfn.DISPIMG("ID_7656E465132C439ABA8F90561C19233D",1)</f>
        <v>=DISPIMG("ID_7656E465132C439ABA8F90561C19233D",1)</v>
      </c>
      <c r="B271" s="9" t="s">
        <v>954</v>
      </c>
      <c r="C271" s="9" t="s">
        <v>955</v>
      </c>
      <c r="D271" s="9" t="s">
        <v>956</v>
      </c>
      <c r="E271" s="9" t="s">
        <v>226</v>
      </c>
      <c r="F271" s="9">
        <v>106</v>
      </c>
      <c r="G271" s="10">
        <v>92.2</v>
      </c>
      <c r="H271" s="10">
        <v>121.9</v>
      </c>
      <c r="I271" s="10">
        <v>106</v>
      </c>
      <c r="J271" s="9">
        <v>52</v>
      </c>
      <c r="K271" s="9">
        <v>66</v>
      </c>
      <c r="L271" s="9">
        <v>59</v>
      </c>
      <c r="M271" s="9">
        <v>54</v>
      </c>
      <c r="N271" s="9">
        <v>28</v>
      </c>
      <c r="O271" s="9">
        <v>9</v>
      </c>
      <c r="P271" s="9">
        <v>35</v>
      </c>
      <c r="Q271" s="9">
        <v>700</v>
      </c>
      <c r="R271" s="10">
        <v>17.6</v>
      </c>
      <c r="S271" s="10">
        <v>6.02272727272727</v>
      </c>
      <c r="T271" s="10" t="s">
        <v>952</v>
      </c>
      <c r="U271" s="10" t="s">
        <v>829</v>
      </c>
      <c r="V271" s="10" t="s">
        <v>953</v>
      </c>
      <c r="W271" s="19"/>
    </row>
    <row r="272" customHeight="1" spans="1:23">
      <c r="A272" s="6" t="str">
        <f>_xlfn.DISPIMG("ID_6D78D535D22B497E8E0874989A6E52AB",1)</f>
        <v>=DISPIMG("ID_6D78D535D22B497E8E0874989A6E52AB",1)</v>
      </c>
      <c r="B272" s="11" t="s">
        <v>957</v>
      </c>
      <c r="C272" s="11" t="s">
        <v>958</v>
      </c>
      <c r="D272" s="11" t="s">
        <v>959</v>
      </c>
      <c r="E272" s="11" t="s">
        <v>230</v>
      </c>
      <c r="F272" s="11">
        <v>61</v>
      </c>
      <c r="G272" s="12">
        <v>53.1</v>
      </c>
      <c r="H272" s="12">
        <v>70.2</v>
      </c>
      <c r="I272" s="12">
        <v>61</v>
      </c>
      <c r="J272" s="11">
        <v>31</v>
      </c>
      <c r="K272" s="11">
        <v>40</v>
      </c>
      <c r="L272" s="11">
        <v>33</v>
      </c>
      <c r="M272" s="11">
        <v>33</v>
      </c>
      <c r="N272" s="11">
        <v>16</v>
      </c>
      <c r="O272" s="11">
        <v>5</v>
      </c>
      <c r="P272" s="11">
        <v>21</v>
      </c>
      <c r="Q272" s="11">
        <v>700</v>
      </c>
      <c r="R272" s="12">
        <v>10.4</v>
      </c>
      <c r="S272" s="12">
        <v>5.86538461538461</v>
      </c>
      <c r="T272" s="12" t="s">
        <v>952</v>
      </c>
      <c r="U272" s="12" t="s">
        <v>829</v>
      </c>
      <c r="V272" s="12" t="s">
        <v>953</v>
      </c>
      <c r="W272" s="20"/>
    </row>
    <row r="273" customHeight="1" spans="1:23">
      <c r="A273" s="6" t="str">
        <f>_xlfn.DISPIMG("ID_EE8DFC9DDCB94C81A9DEC75BD23E843D",1)</f>
        <v>=DISPIMG("ID_EE8DFC9DDCB94C81A9DEC75BD23E843D",1)</v>
      </c>
      <c r="B273" s="13" t="s">
        <v>960</v>
      </c>
      <c r="C273" s="13" t="s">
        <v>961</v>
      </c>
      <c r="D273" s="13" t="s">
        <v>962</v>
      </c>
      <c r="E273" s="13" t="s">
        <v>237</v>
      </c>
      <c r="F273" s="13">
        <v>61</v>
      </c>
      <c r="G273" s="14">
        <v>53.1</v>
      </c>
      <c r="H273" s="14">
        <v>70.2</v>
      </c>
      <c r="I273" s="14">
        <v>61</v>
      </c>
      <c r="J273" s="13">
        <v>31</v>
      </c>
      <c r="K273" s="13">
        <v>40</v>
      </c>
      <c r="L273" s="13">
        <v>33</v>
      </c>
      <c r="M273" s="13">
        <v>33</v>
      </c>
      <c r="N273" s="13">
        <v>16</v>
      </c>
      <c r="O273" s="13">
        <v>5</v>
      </c>
      <c r="P273" s="13">
        <v>21</v>
      </c>
      <c r="Q273" s="13">
        <v>700</v>
      </c>
      <c r="R273" s="14">
        <v>10.4</v>
      </c>
      <c r="S273" s="14">
        <v>5.86538461538461</v>
      </c>
      <c r="T273" s="14" t="s">
        <v>952</v>
      </c>
      <c r="U273" s="14" t="s">
        <v>829</v>
      </c>
      <c r="V273" s="14" t="s">
        <v>953</v>
      </c>
      <c r="W273" s="21"/>
    </row>
    <row r="274" s="2" customFormat="1" ht="116.25" spans="1:23">
      <c r="A274" s="15" t="str">
        <f>_xlfn.DISPIMG("ID_D888522C23EE4712BEFCA9A79BE2996E",1)</f>
        <v>=DISPIMG("ID_D888522C23EE4712BEFCA9A79BE2996E",1)</v>
      </c>
      <c r="B274" s="16" t="s">
        <v>963</v>
      </c>
      <c r="C274" s="16"/>
      <c r="D274" s="16"/>
      <c r="E274" s="16" t="s">
        <v>215</v>
      </c>
      <c r="F274" s="16">
        <v>268</v>
      </c>
      <c r="G274" s="17">
        <v>233.2</v>
      </c>
      <c r="H274" s="17">
        <v>308.3</v>
      </c>
      <c r="I274" s="17">
        <v>268</v>
      </c>
      <c r="J274" s="16">
        <v>133</v>
      </c>
      <c r="K274" s="16">
        <v>172</v>
      </c>
      <c r="L274" s="16">
        <v>146</v>
      </c>
      <c r="M274" s="16">
        <v>141</v>
      </c>
      <c r="N274" s="16">
        <v>72</v>
      </c>
      <c r="O274" s="16">
        <v>24</v>
      </c>
      <c r="P274" s="16">
        <v>91</v>
      </c>
      <c r="Q274" s="16">
        <v>2800</v>
      </c>
      <c r="R274" s="17">
        <v>45.2</v>
      </c>
      <c r="S274" s="17">
        <v>5.92920353982301</v>
      </c>
      <c r="T274" s="17" t="s">
        <v>952</v>
      </c>
      <c r="U274" s="16" t="s">
        <v>829</v>
      </c>
      <c r="V274" s="17" t="s">
        <v>953</v>
      </c>
      <c r="W274" s="22" t="s">
        <v>964</v>
      </c>
    </row>
    <row r="275" customHeight="1" spans="1:23">
      <c r="A275" s="6" t="str">
        <f>_xlfn.DISPIMG("ID_24BA7B681EA24A4CBE1CCB19C9FF9DF4",1)</f>
        <v>=DISPIMG("ID_24BA7B681EA24A4CBE1CCB19C9FF9DF4",1)</v>
      </c>
      <c r="B275" s="7" t="s">
        <v>965</v>
      </c>
      <c r="C275" s="7" t="s">
        <v>966</v>
      </c>
      <c r="D275" s="7" t="s">
        <v>967</v>
      </c>
      <c r="E275" s="7" t="s">
        <v>220</v>
      </c>
      <c r="F275" s="7">
        <v>32</v>
      </c>
      <c r="G275" s="8">
        <v>30.4</v>
      </c>
      <c r="H275" s="8">
        <v>36.2</v>
      </c>
      <c r="I275" s="8">
        <v>32</v>
      </c>
      <c r="J275" s="7">
        <v>16</v>
      </c>
      <c r="K275" s="7">
        <v>22</v>
      </c>
      <c r="L275" s="7">
        <v>18</v>
      </c>
      <c r="M275" s="7">
        <v>18</v>
      </c>
      <c r="N275" s="7">
        <v>8</v>
      </c>
      <c r="O275" s="7">
        <v>8</v>
      </c>
      <c r="P275" s="7">
        <v>9</v>
      </c>
      <c r="Q275" s="7">
        <v>700</v>
      </c>
      <c r="R275" s="8">
        <v>5.5</v>
      </c>
      <c r="S275" s="8">
        <v>5.81818181818182</v>
      </c>
      <c r="T275" s="8" t="s">
        <v>968</v>
      </c>
      <c r="U275" s="8" t="s">
        <v>829</v>
      </c>
      <c r="V275" s="8"/>
      <c r="W275" s="18"/>
    </row>
    <row r="276" customHeight="1" spans="1:23">
      <c r="A276" s="3" t="str">
        <f>_xlfn.DISPIMG("ID_34D33A45CF47483983B5A50C417E1CF3",1)</f>
        <v>=DISPIMG("ID_34D33A45CF47483983B5A50C417E1CF3",1)</v>
      </c>
      <c r="B276" s="9" t="s">
        <v>969</v>
      </c>
      <c r="C276" s="9" t="s">
        <v>970</v>
      </c>
      <c r="D276" s="9" t="s">
        <v>971</v>
      </c>
      <c r="E276" s="9" t="s">
        <v>226</v>
      </c>
      <c r="F276" s="9">
        <v>70</v>
      </c>
      <c r="G276" s="10">
        <v>66.5</v>
      </c>
      <c r="H276" s="10">
        <v>79.1</v>
      </c>
      <c r="I276" s="10">
        <v>70</v>
      </c>
      <c r="J276" s="9">
        <v>36</v>
      </c>
      <c r="K276" s="9">
        <v>46</v>
      </c>
      <c r="L276" s="9">
        <v>40</v>
      </c>
      <c r="M276" s="9">
        <v>38</v>
      </c>
      <c r="N276" s="9">
        <v>18</v>
      </c>
      <c r="O276" s="9">
        <v>18</v>
      </c>
      <c r="P276" s="9">
        <v>19</v>
      </c>
      <c r="Q276" s="9">
        <v>700</v>
      </c>
      <c r="R276" s="10">
        <v>12</v>
      </c>
      <c r="S276" s="10">
        <v>5.83333333333333</v>
      </c>
      <c r="T276" s="10" t="s">
        <v>968</v>
      </c>
      <c r="U276" s="10" t="s">
        <v>829</v>
      </c>
      <c r="V276" s="10"/>
      <c r="W276" s="24"/>
    </row>
    <row r="277" customHeight="1" spans="1:23">
      <c r="A277" s="6" t="str">
        <f>_xlfn.DISPIMG("ID_476EB6CF5EEE403E8FFFA0407DD601B5",1)</f>
        <v>=DISPIMG("ID_476EB6CF5EEE403E8FFFA0407DD601B5",1)</v>
      </c>
      <c r="B277" s="11" t="s">
        <v>972</v>
      </c>
      <c r="C277" s="11" t="s">
        <v>973</v>
      </c>
      <c r="D277" s="11" t="s">
        <v>974</v>
      </c>
      <c r="E277" s="11" t="s">
        <v>230</v>
      </c>
      <c r="F277" s="11">
        <v>24</v>
      </c>
      <c r="G277" s="12">
        <v>22.8</v>
      </c>
      <c r="H277" s="12">
        <v>27.1</v>
      </c>
      <c r="I277" s="12">
        <v>24</v>
      </c>
      <c r="J277" s="11">
        <v>12</v>
      </c>
      <c r="K277" s="11">
        <v>16</v>
      </c>
      <c r="L277" s="11">
        <v>14</v>
      </c>
      <c r="M277" s="11">
        <v>12</v>
      </c>
      <c r="N277" s="11">
        <v>6</v>
      </c>
      <c r="O277" s="11">
        <v>6</v>
      </c>
      <c r="P277" s="11">
        <v>6</v>
      </c>
      <c r="Q277" s="11">
        <v>700</v>
      </c>
      <c r="R277" s="12">
        <v>4</v>
      </c>
      <c r="S277" s="12">
        <v>6</v>
      </c>
      <c r="T277" s="12" t="s">
        <v>968</v>
      </c>
      <c r="U277" s="12" t="s">
        <v>829</v>
      </c>
      <c r="V277" s="12"/>
      <c r="W277" s="20"/>
    </row>
    <row r="278" customHeight="1" spans="1:23">
      <c r="A278" s="6" t="str">
        <f>_xlfn.DISPIMG("ID_FEF19622A5DF4FE8AD2C19C527921B78",1)</f>
        <v>=DISPIMG("ID_FEF19622A5DF4FE8AD2C19C527921B78",1)</v>
      </c>
      <c r="B278" s="13" t="s">
        <v>975</v>
      </c>
      <c r="C278" s="13" t="s">
        <v>976</v>
      </c>
      <c r="D278" s="13" t="s">
        <v>977</v>
      </c>
      <c r="E278" s="13" t="s">
        <v>237</v>
      </c>
      <c r="F278" s="13">
        <v>40</v>
      </c>
      <c r="G278" s="14">
        <v>38</v>
      </c>
      <c r="H278" s="14">
        <v>45.2</v>
      </c>
      <c r="I278" s="14">
        <v>40</v>
      </c>
      <c r="J278" s="13">
        <v>20</v>
      </c>
      <c r="K278" s="13">
        <v>28</v>
      </c>
      <c r="L278" s="13">
        <v>24</v>
      </c>
      <c r="M278" s="13">
        <v>22</v>
      </c>
      <c r="N278" s="13">
        <v>12</v>
      </c>
      <c r="O278" s="13">
        <v>12</v>
      </c>
      <c r="P278" s="13">
        <v>11</v>
      </c>
      <c r="Q278" s="13">
        <v>700</v>
      </c>
      <c r="R278" s="14">
        <v>7</v>
      </c>
      <c r="S278" s="14">
        <v>5.71428571428571</v>
      </c>
      <c r="T278" s="14" t="s">
        <v>968</v>
      </c>
      <c r="U278" s="14" t="s">
        <v>829</v>
      </c>
      <c r="V278" s="14"/>
      <c r="W278" s="21"/>
    </row>
    <row r="279" s="2" customFormat="1" ht="116.25" spans="1:23">
      <c r="A279" s="15" t="str">
        <f>_xlfn.DISPIMG("ID_5CC14996A0444310A4C70140982115AC",1)</f>
        <v>=DISPIMG("ID_5CC14996A0444310A4C70140982115AC",1)</v>
      </c>
      <c r="B279" s="16" t="s">
        <v>978</v>
      </c>
      <c r="C279" s="16"/>
      <c r="D279" s="16"/>
      <c r="E279" s="16" t="s">
        <v>215</v>
      </c>
      <c r="F279" s="16">
        <v>166</v>
      </c>
      <c r="G279" s="17">
        <v>157.7</v>
      </c>
      <c r="H279" s="17">
        <v>187.6</v>
      </c>
      <c r="I279" s="17">
        <v>166</v>
      </c>
      <c r="J279" s="16">
        <v>84</v>
      </c>
      <c r="K279" s="16">
        <v>112</v>
      </c>
      <c r="L279" s="16">
        <v>96</v>
      </c>
      <c r="M279" s="16">
        <v>90</v>
      </c>
      <c r="N279" s="16">
        <v>44</v>
      </c>
      <c r="O279" s="16">
        <v>44</v>
      </c>
      <c r="P279" s="16">
        <v>45</v>
      </c>
      <c r="Q279" s="16">
        <v>2800</v>
      </c>
      <c r="R279" s="17">
        <v>28.5</v>
      </c>
      <c r="S279" s="17">
        <v>5.82456140350877</v>
      </c>
      <c r="T279" s="17" t="s">
        <v>968</v>
      </c>
      <c r="U279" s="16" t="s">
        <v>829</v>
      </c>
      <c r="V279" s="17"/>
      <c r="W279" s="22" t="s">
        <v>979</v>
      </c>
    </row>
    <row r="280" customHeight="1" spans="1:23">
      <c r="A280" s="6" t="str">
        <f>_xlfn.DISPIMG("ID_76E00F094FD54B4D88181AD85E2175AB",1)</f>
        <v>=DISPIMG("ID_76E00F094FD54B4D88181AD85E2175AB",1)</v>
      </c>
      <c r="B280" s="7" t="s">
        <v>980</v>
      </c>
      <c r="C280" s="7" t="s">
        <v>981</v>
      </c>
      <c r="D280" s="7" t="s">
        <v>982</v>
      </c>
      <c r="E280" s="7" t="s">
        <v>220</v>
      </c>
      <c r="F280" s="7">
        <v>12</v>
      </c>
      <c r="G280" s="8">
        <v>12</v>
      </c>
      <c r="H280" s="8">
        <v>12</v>
      </c>
      <c r="I280" s="8">
        <v>12</v>
      </c>
      <c r="J280" s="7">
        <v>12</v>
      </c>
      <c r="K280" s="7">
        <v>6</v>
      </c>
      <c r="L280" s="7">
        <v>6</v>
      </c>
      <c r="M280" s="7">
        <v>9</v>
      </c>
      <c r="N280" s="7">
        <v>9</v>
      </c>
      <c r="O280" s="7">
        <v>12</v>
      </c>
      <c r="P280" s="7">
        <v>0</v>
      </c>
      <c r="Q280" s="7">
        <v>300</v>
      </c>
      <c r="R280" s="8">
        <v>3</v>
      </c>
      <c r="S280" s="8">
        <v>4</v>
      </c>
      <c r="T280" s="8" t="s">
        <v>983</v>
      </c>
      <c r="U280" s="8" t="s">
        <v>829</v>
      </c>
      <c r="V280" s="8"/>
      <c r="W280" s="18"/>
    </row>
    <row r="281" customHeight="1" spans="1:23">
      <c r="A281" s="3" t="str">
        <f>_xlfn.DISPIMG("ID_01D0914A874D4CD0B7ECBF243DA91985",1)</f>
        <v>=DISPIMG("ID_01D0914A874D4CD0B7ECBF243DA91985",1)</v>
      </c>
      <c r="B281" s="9" t="s">
        <v>984</v>
      </c>
      <c r="C281" s="9" t="s">
        <v>985</v>
      </c>
      <c r="D281" s="9" t="s">
        <v>986</v>
      </c>
      <c r="E281" s="9" t="s">
        <v>226</v>
      </c>
      <c r="F281" s="9">
        <v>20</v>
      </c>
      <c r="G281" s="10">
        <v>20</v>
      </c>
      <c r="H281" s="10">
        <v>20</v>
      </c>
      <c r="I281" s="10">
        <v>20</v>
      </c>
      <c r="J281" s="9">
        <v>31</v>
      </c>
      <c r="K281" s="9">
        <v>17</v>
      </c>
      <c r="L281" s="9">
        <v>17</v>
      </c>
      <c r="M281" s="9">
        <v>23</v>
      </c>
      <c r="N281" s="9">
        <v>23</v>
      </c>
      <c r="O281" s="9">
        <v>31</v>
      </c>
      <c r="P281" s="9">
        <v>0</v>
      </c>
      <c r="Q281" s="9">
        <v>80</v>
      </c>
      <c r="R281" s="10">
        <v>3.1</v>
      </c>
      <c r="S281" s="10">
        <v>6.45161290322581</v>
      </c>
      <c r="T281" s="10" t="s">
        <v>983</v>
      </c>
      <c r="U281" s="10" t="s">
        <v>829</v>
      </c>
      <c r="V281" s="10"/>
      <c r="W281" s="24"/>
    </row>
    <row r="282" customHeight="1" spans="1:23">
      <c r="A282" s="6" t="str">
        <f>_xlfn.DISPIMG("ID_A5C6E4D10AB34A97B12EFADA5FC85E20",1)</f>
        <v>=DISPIMG("ID_A5C6E4D10AB34A97B12EFADA5FC85E20",1)</v>
      </c>
      <c r="B282" s="11" t="s">
        <v>987</v>
      </c>
      <c r="C282" s="11" t="s">
        <v>988</v>
      </c>
      <c r="D282" s="11" t="s">
        <v>989</v>
      </c>
      <c r="E282" s="11" t="s">
        <v>230</v>
      </c>
      <c r="F282" s="11">
        <v>3</v>
      </c>
      <c r="G282" s="12">
        <v>3</v>
      </c>
      <c r="H282" s="12">
        <v>3</v>
      </c>
      <c r="I282" s="12">
        <v>3</v>
      </c>
      <c r="J282" s="11">
        <v>5</v>
      </c>
      <c r="K282" s="11">
        <v>3</v>
      </c>
      <c r="L282" s="11">
        <v>3</v>
      </c>
      <c r="M282" s="11">
        <v>4</v>
      </c>
      <c r="N282" s="11">
        <v>4</v>
      </c>
      <c r="O282" s="11">
        <v>5</v>
      </c>
      <c r="P282" s="11">
        <v>0</v>
      </c>
      <c r="Q282" s="11">
        <v>80</v>
      </c>
      <c r="R282" s="12">
        <v>0.5</v>
      </c>
      <c r="S282" s="12">
        <v>6</v>
      </c>
      <c r="T282" s="12" t="s">
        <v>983</v>
      </c>
      <c r="U282" s="12" t="s">
        <v>829</v>
      </c>
      <c r="V282" s="12"/>
      <c r="W282" s="20"/>
    </row>
    <row r="283" customHeight="1" spans="1:23">
      <c r="A283" s="6" t="str">
        <f>_xlfn.DISPIMG("ID_56346402FD444CCB84B396DB5E2DA76F",1)</f>
        <v>=DISPIMG("ID_56346402FD444CCB84B396DB5E2DA76F",1)</v>
      </c>
      <c r="B283" s="13" t="s">
        <v>990</v>
      </c>
      <c r="C283" s="13" t="s">
        <v>991</v>
      </c>
      <c r="D283" s="13" t="s">
        <v>992</v>
      </c>
      <c r="E283" s="13" t="s">
        <v>237</v>
      </c>
      <c r="F283" s="13">
        <v>12</v>
      </c>
      <c r="G283" s="14">
        <v>12</v>
      </c>
      <c r="H283" s="14">
        <v>12</v>
      </c>
      <c r="I283" s="14">
        <v>12</v>
      </c>
      <c r="J283" s="13">
        <v>18</v>
      </c>
      <c r="K283" s="13">
        <v>10</v>
      </c>
      <c r="L283" s="13">
        <v>10</v>
      </c>
      <c r="M283" s="13">
        <v>14</v>
      </c>
      <c r="N283" s="13">
        <v>14</v>
      </c>
      <c r="O283" s="13">
        <v>18</v>
      </c>
      <c r="P283" s="13">
        <v>0</v>
      </c>
      <c r="Q283" s="13">
        <v>80</v>
      </c>
      <c r="R283" s="14">
        <v>1.8</v>
      </c>
      <c r="S283" s="14">
        <v>6.66666666666667</v>
      </c>
      <c r="T283" s="14" t="s">
        <v>983</v>
      </c>
      <c r="U283" s="14" t="s">
        <v>829</v>
      </c>
      <c r="V283" s="14"/>
      <c r="W283" s="21"/>
    </row>
    <row r="284" s="2" customFormat="1" ht="116.25" spans="1:23">
      <c r="A284" s="15" t="str">
        <f>_xlfn.DISPIMG("ID_5B52BCD344704338943D36E8FC8D93C2",1)</f>
        <v>=DISPIMG("ID_5B52BCD344704338943D36E8FC8D93C2",1)</v>
      </c>
      <c r="B284" s="16" t="s">
        <v>993</v>
      </c>
      <c r="C284" s="16"/>
      <c r="D284" s="16"/>
      <c r="E284" s="16" t="s">
        <v>215</v>
      </c>
      <c r="F284" s="16">
        <v>47</v>
      </c>
      <c r="G284" s="17">
        <v>47</v>
      </c>
      <c r="H284" s="17">
        <v>47</v>
      </c>
      <c r="I284" s="17">
        <v>47</v>
      </c>
      <c r="J284" s="16">
        <v>66</v>
      </c>
      <c r="K284" s="16">
        <v>36</v>
      </c>
      <c r="L284" s="16">
        <v>36</v>
      </c>
      <c r="M284" s="16">
        <v>50</v>
      </c>
      <c r="N284" s="16">
        <v>50</v>
      </c>
      <c r="O284" s="16">
        <v>66</v>
      </c>
      <c r="P284" s="16">
        <v>0</v>
      </c>
      <c r="Q284" s="16">
        <v>540</v>
      </c>
      <c r="R284" s="17">
        <v>8.4</v>
      </c>
      <c r="S284" s="17">
        <v>5.59523809523809</v>
      </c>
      <c r="T284" s="17" t="s">
        <v>983</v>
      </c>
      <c r="U284" s="16" t="s">
        <v>829</v>
      </c>
      <c r="V284" s="17"/>
      <c r="W284" s="22" t="s">
        <v>994</v>
      </c>
    </row>
    <row r="285" customHeight="1" spans="1:23">
      <c r="A285" s="6" t="str">
        <f>_xlfn.DISPIMG("ID_44AB0B22444545E892AB263B8DE14DF6",1)</f>
        <v>=DISPIMG("ID_44AB0B22444545E892AB263B8DE14DF6",1)</v>
      </c>
      <c r="B285" s="7" t="s">
        <v>995</v>
      </c>
      <c r="C285" s="7" t="s">
        <v>996</v>
      </c>
      <c r="D285" s="7" t="s">
        <v>997</v>
      </c>
      <c r="E285" s="7" t="s">
        <v>220</v>
      </c>
      <c r="F285" s="7">
        <v>16</v>
      </c>
      <c r="G285" s="8">
        <v>17.3</v>
      </c>
      <c r="H285" s="8">
        <v>18.4</v>
      </c>
      <c r="I285" s="8">
        <v>14.7</v>
      </c>
      <c r="J285" s="7">
        <v>16</v>
      </c>
      <c r="K285" s="7">
        <v>21</v>
      </c>
      <c r="L285" s="7">
        <v>21</v>
      </c>
      <c r="M285" s="7">
        <v>15</v>
      </c>
      <c r="N285" s="7">
        <v>8</v>
      </c>
      <c r="O285" s="7">
        <v>20</v>
      </c>
      <c r="P285" s="7">
        <v>0</v>
      </c>
      <c r="Q285" s="7">
        <v>800</v>
      </c>
      <c r="R285" s="8">
        <v>3</v>
      </c>
      <c r="S285" s="8">
        <v>4.9</v>
      </c>
      <c r="T285" s="8" t="s">
        <v>998</v>
      </c>
      <c r="U285" s="8" t="s">
        <v>829</v>
      </c>
      <c r="V285" s="8"/>
      <c r="W285" s="18"/>
    </row>
    <row r="286" customHeight="1" spans="1:23">
      <c r="A286" s="23"/>
      <c r="B286" s="9" t="s">
        <v>999</v>
      </c>
      <c r="C286" s="9" t="s">
        <v>1000</v>
      </c>
      <c r="D286" s="9" t="s">
        <v>1001</v>
      </c>
      <c r="E286" s="9" t="s">
        <v>226</v>
      </c>
      <c r="F286" s="9">
        <v>32</v>
      </c>
      <c r="G286" s="10">
        <v>34.6</v>
      </c>
      <c r="H286" s="10">
        <v>36.8</v>
      </c>
      <c r="I286" s="10">
        <v>29.4</v>
      </c>
      <c r="J286" s="9">
        <v>32</v>
      </c>
      <c r="K286" s="9">
        <v>41</v>
      </c>
      <c r="L286" s="9">
        <v>41</v>
      </c>
      <c r="M286" s="9">
        <v>30</v>
      </c>
      <c r="N286" s="9">
        <v>15</v>
      </c>
      <c r="O286" s="9">
        <v>40</v>
      </c>
      <c r="P286" s="9">
        <v>0</v>
      </c>
      <c r="Q286" s="9">
        <v>400</v>
      </c>
      <c r="R286" s="10">
        <v>6</v>
      </c>
      <c r="S286" s="10">
        <v>4.9</v>
      </c>
      <c r="T286" s="10" t="s">
        <v>998</v>
      </c>
      <c r="U286" s="10" t="s">
        <v>829</v>
      </c>
      <c r="V286" s="10"/>
      <c r="W286" s="24"/>
    </row>
    <row r="287" customHeight="1" spans="1:23">
      <c r="A287" s="6" t="str">
        <f>_xlfn.DISPIMG("ID_4E9E3F39D3134CB8AAACB56FAC334B8C",1)</f>
        <v>=DISPIMG("ID_4E9E3F39D3134CB8AAACB56FAC334B8C",1)</v>
      </c>
      <c r="B287" s="11" t="s">
        <v>1002</v>
      </c>
      <c r="C287" s="11" t="s">
        <v>1003</v>
      </c>
      <c r="D287" s="11" t="s">
        <v>1004</v>
      </c>
      <c r="E287" s="11" t="s">
        <v>230</v>
      </c>
      <c r="F287" s="11">
        <v>15</v>
      </c>
      <c r="G287" s="12">
        <v>16.2</v>
      </c>
      <c r="H287" s="12">
        <v>17.3</v>
      </c>
      <c r="I287" s="12">
        <v>13.8</v>
      </c>
      <c r="J287" s="11">
        <v>15</v>
      </c>
      <c r="K287" s="11">
        <v>19</v>
      </c>
      <c r="L287" s="11">
        <v>19</v>
      </c>
      <c r="M287" s="11">
        <v>14</v>
      </c>
      <c r="N287" s="11">
        <v>7</v>
      </c>
      <c r="O287" s="11">
        <v>18</v>
      </c>
      <c r="P287" s="11">
        <v>0</v>
      </c>
      <c r="Q287" s="11">
        <v>400</v>
      </c>
      <c r="R287" s="12">
        <v>2.8</v>
      </c>
      <c r="S287" s="12">
        <v>4.92857142857143</v>
      </c>
      <c r="T287" s="12" t="s">
        <v>998</v>
      </c>
      <c r="U287" s="12" t="s">
        <v>829</v>
      </c>
      <c r="V287" s="12"/>
      <c r="W287" s="20"/>
    </row>
    <row r="288" customHeight="1" spans="1:23">
      <c r="A288" s="6" t="str">
        <f>_xlfn.DISPIMG("ID_BFA8016C97E647498B0ACE0D4675B7DE",1)</f>
        <v>=DISPIMG("ID_BFA8016C97E647498B0ACE0D4675B7DE",1)</v>
      </c>
      <c r="B288" s="13" t="s">
        <v>1005</v>
      </c>
      <c r="C288" s="13" t="s">
        <v>1006</v>
      </c>
      <c r="D288" s="13" t="s">
        <v>1007</v>
      </c>
      <c r="E288" s="13" t="s">
        <v>237</v>
      </c>
      <c r="F288" s="13">
        <v>15</v>
      </c>
      <c r="G288" s="14">
        <v>16.2</v>
      </c>
      <c r="H288" s="14">
        <v>17.3</v>
      </c>
      <c r="I288" s="14">
        <v>13.8</v>
      </c>
      <c r="J288" s="13">
        <v>15</v>
      </c>
      <c r="K288" s="13">
        <v>19</v>
      </c>
      <c r="L288" s="13">
        <v>19</v>
      </c>
      <c r="M288" s="13">
        <v>14</v>
      </c>
      <c r="N288" s="13">
        <v>7</v>
      </c>
      <c r="O288" s="13">
        <v>18</v>
      </c>
      <c r="P288" s="13">
        <v>0</v>
      </c>
      <c r="Q288" s="13">
        <v>400</v>
      </c>
      <c r="R288" s="14">
        <v>2.8</v>
      </c>
      <c r="S288" s="14">
        <v>4.92857142857143</v>
      </c>
      <c r="T288" s="14" t="s">
        <v>998</v>
      </c>
      <c r="U288" s="14" t="s">
        <v>829</v>
      </c>
      <c r="V288" s="14"/>
      <c r="W288" s="21"/>
    </row>
    <row r="289" s="2" customFormat="1" ht="116.25" spans="1:23">
      <c r="A289" s="15" t="str">
        <f>_xlfn.DISPIMG("ID_48F92A3CB8C34CB2B3B6715646B77423",1)</f>
        <v>=DISPIMG("ID_48F92A3CB8C34CB2B3B6715646B77423",1)</v>
      </c>
      <c r="B289" s="16" t="s">
        <v>1008</v>
      </c>
      <c r="C289" s="16"/>
      <c r="D289" s="16"/>
      <c r="E289" s="16" t="s">
        <v>215</v>
      </c>
      <c r="F289" s="16">
        <v>78</v>
      </c>
      <c r="G289" s="17">
        <v>84.3</v>
      </c>
      <c r="H289" s="17">
        <v>89.8</v>
      </c>
      <c r="I289" s="17">
        <v>71.7</v>
      </c>
      <c r="J289" s="16">
        <v>78</v>
      </c>
      <c r="K289" s="16">
        <v>100</v>
      </c>
      <c r="L289" s="16">
        <v>100</v>
      </c>
      <c r="M289" s="16">
        <v>73</v>
      </c>
      <c r="N289" s="16">
        <v>37</v>
      </c>
      <c r="O289" s="16">
        <v>96</v>
      </c>
      <c r="P289" s="16">
        <v>0</v>
      </c>
      <c r="Q289" s="16">
        <v>2000</v>
      </c>
      <c r="R289" s="17">
        <v>14.6</v>
      </c>
      <c r="S289" s="17">
        <v>5.34246575342466</v>
      </c>
      <c r="T289" s="17" t="s">
        <v>998</v>
      </c>
      <c r="U289" s="16" t="s">
        <v>829</v>
      </c>
      <c r="V289" s="17"/>
      <c r="W289" s="22" t="s">
        <v>1009</v>
      </c>
    </row>
    <row r="290" customHeight="1" spans="1:23">
      <c r="A290" s="6" t="str">
        <f>_xlfn.DISPIMG("ID_0F03AC0BC45E4A53B55C947D6B877428",1)</f>
        <v>=DISPIMG("ID_0F03AC0BC45E4A53B55C947D6B877428",1)</v>
      </c>
      <c r="B290" s="7" t="s">
        <v>1010</v>
      </c>
      <c r="C290" s="7" t="s">
        <v>1011</v>
      </c>
      <c r="D290" s="7" t="s">
        <v>1012</v>
      </c>
      <c r="E290" s="7" t="s">
        <v>220</v>
      </c>
      <c r="F290" s="7">
        <v>36</v>
      </c>
      <c r="G290" s="8">
        <v>30.6</v>
      </c>
      <c r="H290" s="8">
        <v>41.4</v>
      </c>
      <c r="I290" s="8">
        <v>36</v>
      </c>
      <c r="J290" s="7">
        <v>22</v>
      </c>
      <c r="K290" s="7">
        <v>22</v>
      </c>
      <c r="L290" s="7">
        <v>18</v>
      </c>
      <c r="M290" s="7">
        <v>18</v>
      </c>
      <c r="N290" s="7">
        <v>4</v>
      </c>
      <c r="O290" s="7">
        <v>9</v>
      </c>
      <c r="P290" s="7">
        <v>18</v>
      </c>
      <c r="Q290" s="7">
        <v>900</v>
      </c>
      <c r="R290" s="8">
        <v>7.5</v>
      </c>
      <c r="S290" s="8">
        <v>4.8</v>
      </c>
      <c r="T290" s="8" t="s">
        <v>1013</v>
      </c>
      <c r="U290" s="8" t="s">
        <v>829</v>
      </c>
      <c r="V290" s="8" t="s">
        <v>1014</v>
      </c>
      <c r="W290" s="18"/>
    </row>
    <row r="291" customHeight="1" spans="1:23">
      <c r="A291" s="3" t="str">
        <f>_xlfn.DISPIMG("ID_F859F372416D4452A14EE0AD9C933EE2",1)</f>
        <v>=DISPIMG("ID_F859F372416D4452A14EE0AD9C933EE2",1)</v>
      </c>
      <c r="B291" s="9" t="s">
        <v>1015</v>
      </c>
      <c r="C291" s="9" t="s">
        <v>1016</v>
      </c>
      <c r="D291" s="9" t="s">
        <v>1017</v>
      </c>
      <c r="E291" s="9" t="s">
        <v>226</v>
      </c>
      <c r="F291" s="9">
        <v>92</v>
      </c>
      <c r="G291" s="10">
        <v>78.2</v>
      </c>
      <c r="H291" s="10">
        <v>105.8</v>
      </c>
      <c r="I291" s="10">
        <v>92</v>
      </c>
      <c r="J291" s="9">
        <v>56</v>
      </c>
      <c r="K291" s="9">
        <v>54</v>
      </c>
      <c r="L291" s="9">
        <v>49</v>
      </c>
      <c r="M291" s="9">
        <v>45</v>
      </c>
      <c r="N291" s="9">
        <v>11</v>
      </c>
      <c r="O291" s="9">
        <v>22</v>
      </c>
      <c r="P291" s="9">
        <v>47</v>
      </c>
      <c r="Q291" s="9">
        <v>900</v>
      </c>
      <c r="R291" s="10">
        <v>19.5</v>
      </c>
      <c r="S291" s="10">
        <v>4.71794871794872</v>
      </c>
      <c r="T291" s="10" t="s">
        <v>1013</v>
      </c>
      <c r="U291" s="10" t="s">
        <v>829</v>
      </c>
      <c r="V291" s="10" t="s">
        <v>1014</v>
      </c>
      <c r="W291" s="19"/>
    </row>
    <row r="292" customHeight="1" spans="1:23">
      <c r="A292" s="6" t="str">
        <f>_xlfn.DISPIMG("ID_EBFF77D8775A4A478F800B06B2CDE717",1)</f>
        <v>=DISPIMG("ID_EBFF77D8775A4A478F800B06B2CDE717",1)</v>
      </c>
      <c r="B292" s="11" t="s">
        <v>1018</v>
      </c>
      <c r="C292" s="11" t="s">
        <v>1019</v>
      </c>
      <c r="D292" s="11" t="s">
        <v>1020</v>
      </c>
      <c r="E292" s="11" t="s">
        <v>230</v>
      </c>
      <c r="F292" s="11">
        <v>54</v>
      </c>
      <c r="G292" s="12">
        <v>45.9</v>
      </c>
      <c r="H292" s="12">
        <v>62.1</v>
      </c>
      <c r="I292" s="12">
        <v>54</v>
      </c>
      <c r="J292" s="11">
        <v>32</v>
      </c>
      <c r="K292" s="11">
        <v>32</v>
      </c>
      <c r="L292" s="11">
        <v>29</v>
      </c>
      <c r="M292" s="11">
        <v>27</v>
      </c>
      <c r="N292" s="11">
        <v>5</v>
      </c>
      <c r="O292" s="11">
        <v>13</v>
      </c>
      <c r="P292" s="11">
        <v>28</v>
      </c>
      <c r="Q292" s="11">
        <v>900</v>
      </c>
      <c r="R292" s="12">
        <v>11.5</v>
      </c>
      <c r="S292" s="12">
        <v>4.69565217391304</v>
      </c>
      <c r="T292" s="12" t="s">
        <v>1013</v>
      </c>
      <c r="U292" s="12" t="s">
        <v>829</v>
      </c>
      <c r="V292" s="12" t="s">
        <v>1014</v>
      </c>
      <c r="W292" s="20"/>
    </row>
    <row r="293" customHeight="1" spans="1:23">
      <c r="A293" s="6" t="str">
        <f>_xlfn.DISPIMG("ID_7C5D68A88C2E48B3A45FFBF74D51F497",1)</f>
        <v>=DISPIMG("ID_7C5D68A88C2E48B3A45FFBF74D51F497",1)</v>
      </c>
      <c r="B293" s="13" t="s">
        <v>1021</v>
      </c>
      <c r="C293" s="13" t="s">
        <v>1022</v>
      </c>
      <c r="D293" s="13" t="s">
        <v>1023</v>
      </c>
      <c r="E293" s="13" t="s">
        <v>237</v>
      </c>
      <c r="F293" s="13">
        <v>54</v>
      </c>
      <c r="G293" s="14">
        <v>45.9</v>
      </c>
      <c r="H293" s="14">
        <v>62.1</v>
      </c>
      <c r="I293" s="14">
        <v>54</v>
      </c>
      <c r="J293" s="13">
        <v>32</v>
      </c>
      <c r="K293" s="13">
        <v>32</v>
      </c>
      <c r="L293" s="13">
        <v>29</v>
      </c>
      <c r="M293" s="13">
        <v>27</v>
      </c>
      <c r="N293" s="13">
        <v>5</v>
      </c>
      <c r="O293" s="13">
        <v>13</v>
      </c>
      <c r="P293" s="13">
        <v>28</v>
      </c>
      <c r="Q293" s="13">
        <v>900</v>
      </c>
      <c r="R293" s="14">
        <v>11.5</v>
      </c>
      <c r="S293" s="14">
        <v>4.69565217391304</v>
      </c>
      <c r="T293" s="14" t="s">
        <v>1013</v>
      </c>
      <c r="U293" s="14" t="s">
        <v>829</v>
      </c>
      <c r="V293" s="14" t="s">
        <v>1014</v>
      </c>
      <c r="W293" s="21"/>
    </row>
    <row r="294" s="2" customFormat="1" ht="116.25" spans="1:23">
      <c r="A294" s="15" t="str">
        <f>_xlfn.DISPIMG("ID_C9359437AAF8438888190802CDDC65BF",1)</f>
        <v>=DISPIMG("ID_C9359437AAF8438888190802CDDC65BF",1)</v>
      </c>
      <c r="B294" s="16" t="s">
        <v>1024</v>
      </c>
      <c r="C294" s="16"/>
      <c r="D294" s="16"/>
      <c r="E294" s="16" t="s">
        <v>215</v>
      </c>
      <c r="F294" s="16">
        <v>236</v>
      </c>
      <c r="G294" s="17">
        <v>200.6</v>
      </c>
      <c r="H294" s="17">
        <v>271.4</v>
      </c>
      <c r="I294" s="17">
        <v>236</v>
      </c>
      <c r="J294" s="16">
        <v>142</v>
      </c>
      <c r="K294" s="16">
        <v>140</v>
      </c>
      <c r="L294" s="16">
        <v>125</v>
      </c>
      <c r="M294" s="16">
        <v>117</v>
      </c>
      <c r="N294" s="16">
        <v>25</v>
      </c>
      <c r="O294" s="16">
        <v>57</v>
      </c>
      <c r="P294" s="16">
        <v>121</v>
      </c>
      <c r="Q294" s="16">
        <v>3600</v>
      </c>
      <c r="R294" s="17">
        <v>50</v>
      </c>
      <c r="S294" s="17">
        <v>4.72</v>
      </c>
      <c r="T294" s="17" t="s">
        <v>1013</v>
      </c>
      <c r="U294" s="16" t="s">
        <v>829</v>
      </c>
      <c r="V294" s="17" t="s">
        <v>1014</v>
      </c>
      <c r="W294" s="22" t="s">
        <v>1025</v>
      </c>
    </row>
    <row r="296" customHeight="1" spans="1:23">
      <c r="A296" s="6" t="str">
        <f>_xlfn.DISPIMG("ID_E01F8BD1DB74476D830AF5C3C8BBD4A4",1)</f>
        <v>=DISPIMG("ID_E01F8BD1DB74476D830AF5C3C8BBD4A4",1)</v>
      </c>
      <c r="B296" s="7" t="s">
        <v>1026</v>
      </c>
      <c r="C296" s="7" t="s">
        <v>1027</v>
      </c>
      <c r="D296" s="7" t="s">
        <v>1028</v>
      </c>
      <c r="E296" s="7" t="s">
        <v>220</v>
      </c>
      <c r="F296" s="7">
        <v>10</v>
      </c>
      <c r="G296" s="8">
        <v>9.7</v>
      </c>
      <c r="H296" s="8">
        <v>10.3</v>
      </c>
      <c r="I296" s="8">
        <v>9.5</v>
      </c>
      <c r="J296" s="7">
        <v>6</v>
      </c>
      <c r="K296" s="7">
        <v>5</v>
      </c>
      <c r="L296" s="7">
        <v>6</v>
      </c>
      <c r="M296" s="7">
        <v>5</v>
      </c>
      <c r="N296" s="7">
        <v>5</v>
      </c>
      <c r="O296" s="7">
        <v>0</v>
      </c>
      <c r="P296" s="7">
        <v>3</v>
      </c>
      <c r="Q296" s="7">
        <v>250</v>
      </c>
      <c r="R296" s="8">
        <v>2.6</v>
      </c>
      <c r="S296" s="8">
        <v>3.65384615384615</v>
      </c>
      <c r="T296" s="8" t="s">
        <v>1029</v>
      </c>
      <c r="U296" s="7" t="s">
        <v>222</v>
      </c>
      <c r="V296" s="8"/>
      <c r="W296" s="18"/>
    </row>
    <row r="297" customHeight="1" spans="1:23">
      <c r="A297" s="23" t="str">
        <f>_xlfn.DISPIMG("ID_4F447EFB203143BE85CF5E11AE3C50D9",1)</f>
        <v>=DISPIMG("ID_4F447EFB203143BE85CF5E11AE3C50D9",1)</v>
      </c>
      <c r="B297" s="9" t="s">
        <v>1030</v>
      </c>
      <c r="C297" s="9" t="s">
        <v>1031</v>
      </c>
      <c r="D297" s="9" t="s">
        <v>1032</v>
      </c>
      <c r="E297" s="9" t="s">
        <v>226</v>
      </c>
      <c r="F297" s="9">
        <v>24</v>
      </c>
      <c r="G297" s="10">
        <v>23.3</v>
      </c>
      <c r="H297" s="10">
        <v>24.7</v>
      </c>
      <c r="I297" s="10">
        <v>22.8</v>
      </c>
      <c r="J297" s="9">
        <v>16</v>
      </c>
      <c r="K297" s="9">
        <v>12</v>
      </c>
      <c r="L297" s="9">
        <v>17</v>
      </c>
      <c r="M297" s="9">
        <v>13</v>
      </c>
      <c r="N297" s="9">
        <v>13</v>
      </c>
      <c r="O297" s="9">
        <v>0</v>
      </c>
      <c r="P297" s="9">
        <v>8</v>
      </c>
      <c r="Q297" s="9">
        <v>250</v>
      </c>
      <c r="R297" s="10">
        <v>6.6</v>
      </c>
      <c r="S297" s="10">
        <v>3.45454545454545</v>
      </c>
      <c r="T297" s="10" t="s">
        <v>1029</v>
      </c>
      <c r="U297" s="9" t="s">
        <v>222</v>
      </c>
      <c r="V297" s="10"/>
      <c r="W297" s="19"/>
    </row>
    <row r="298" customHeight="1" spans="1:23">
      <c r="A298" s="6" t="str">
        <f>_xlfn.DISPIMG("ID_1BE9CEAB9F164F12BC5AF80828A18A67",1)</f>
        <v>=DISPIMG("ID_1BE9CEAB9F164F12BC5AF80828A18A67",1)</v>
      </c>
      <c r="B298" s="13" t="s">
        <v>1033</v>
      </c>
      <c r="C298" s="13" t="s">
        <v>1034</v>
      </c>
      <c r="D298" s="13" t="s">
        <v>1035</v>
      </c>
      <c r="E298" s="13" t="s">
        <v>237</v>
      </c>
      <c r="F298" s="13">
        <v>13</v>
      </c>
      <c r="G298" s="14">
        <v>12.6</v>
      </c>
      <c r="H298" s="14">
        <v>13.4</v>
      </c>
      <c r="I298" s="14">
        <v>12.3</v>
      </c>
      <c r="J298" s="13">
        <v>8</v>
      </c>
      <c r="K298" s="13">
        <v>6</v>
      </c>
      <c r="L298" s="13">
        <v>8</v>
      </c>
      <c r="M298" s="13">
        <v>6</v>
      </c>
      <c r="N298" s="13">
        <v>6</v>
      </c>
      <c r="O298" s="13">
        <v>0</v>
      </c>
      <c r="P298" s="13">
        <v>5</v>
      </c>
      <c r="Q298" s="13">
        <v>250</v>
      </c>
      <c r="R298" s="14">
        <v>1.4</v>
      </c>
      <c r="S298" s="14">
        <v>8.78571428571429</v>
      </c>
      <c r="T298" s="14" t="s">
        <v>1029</v>
      </c>
      <c r="U298" s="13" t="s">
        <v>222</v>
      </c>
      <c r="V298" s="14"/>
      <c r="W298" s="21"/>
    </row>
    <row r="299" s="2" customFormat="1" ht="116" customHeight="1" spans="1:23">
      <c r="A299" s="15"/>
      <c r="B299" s="16" t="s">
        <v>1036</v>
      </c>
      <c r="C299" s="16"/>
      <c r="D299" s="16"/>
      <c r="E299" s="16" t="s">
        <v>215</v>
      </c>
      <c r="F299" s="16">
        <v>47</v>
      </c>
      <c r="G299" s="17">
        <v>45.6</v>
      </c>
      <c r="H299" s="17">
        <v>48.4</v>
      </c>
      <c r="I299" s="17">
        <v>44.6</v>
      </c>
      <c r="J299" s="16">
        <v>30</v>
      </c>
      <c r="K299" s="16">
        <v>23</v>
      </c>
      <c r="L299" s="16">
        <v>31</v>
      </c>
      <c r="M299" s="16">
        <v>24</v>
      </c>
      <c r="N299" s="16">
        <v>24</v>
      </c>
      <c r="O299" s="16">
        <v>0</v>
      </c>
      <c r="P299" s="16">
        <v>16</v>
      </c>
      <c r="Q299" s="16">
        <v>750</v>
      </c>
      <c r="R299" s="17">
        <v>10.6</v>
      </c>
      <c r="S299" s="17">
        <v>4.43396226415094</v>
      </c>
      <c r="T299" s="17" t="s">
        <v>1029</v>
      </c>
      <c r="U299" s="16" t="s">
        <v>222</v>
      </c>
      <c r="V299" s="17"/>
      <c r="W299" s="22" t="s">
        <v>1037</v>
      </c>
    </row>
    <row r="300" customHeight="1" spans="1:23">
      <c r="A300" s="6" t="str">
        <f>_xlfn.DISPIMG("ID_B6F1033FC043431BB02590745D318EEF",1)</f>
        <v>=DISPIMG("ID_B6F1033FC043431BB02590745D318EEF",1)</v>
      </c>
      <c r="B300" s="7" t="s">
        <v>1038</v>
      </c>
      <c r="C300" s="7" t="s">
        <v>1039</v>
      </c>
      <c r="D300" s="7" t="s">
        <v>1040</v>
      </c>
      <c r="E300" s="7" t="s">
        <v>220</v>
      </c>
      <c r="F300" s="7">
        <v>10</v>
      </c>
      <c r="G300" s="8">
        <v>10</v>
      </c>
      <c r="H300" s="8">
        <v>11.1</v>
      </c>
      <c r="I300" s="8">
        <v>8.8</v>
      </c>
      <c r="J300" s="7">
        <v>6</v>
      </c>
      <c r="K300" s="7">
        <v>6</v>
      </c>
      <c r="L300" s="7">
        <v>4</v>
      </c>
      <c r="M300" s="7">
        <v>7</v>
      </c>
      <c r="N300" s="7">
        <v>5</v>
      </c>
      <c r="O300" s="7">
        <v>0</v>
      </c>
      <c r="P300" s="7">
        <v>5</v>
      </c>
      <c r="Q300" s="7">
        <v>200</v>
      </c>
      <c r="R300" s="8">
        <v>3</v>
      </c>
      <c r="S300" s="8">
        <v>2.93333333333333</v>
      </c>
      <c r="T300" s="8" t="s">
        <v>1041</v>
      </c>
      <c r="U300" s="7" t="s">
        <v>222</v>
      </c>
      <c r="V300" s="8"/>
      <c r="W300" s="18"/>
    </row>
    <row r="301" customHeight="1" spans="1:23">
      <c r="A301" s="23" t="str">
        <f>_xlfn.DISPIMG("ID_51C60C1494E84D83A73508C542593F56",1)</f>
        <v>=DISPIMG("ID_51C60C1494E84D83A73508C542593F56",1)</v>
      </c>
      <c r="B301" s="9" t="s">
        <v>1042</v>
      </c>
      <c r="C301" s="9" t="s">
        <v>1043</v>
      </c>
      <c r="D301" s="9" t="s">
        <v>1044</v>
      </c>
      <c r="E301" s="9" t="s">
        <v>226</v>
      </c>
      <c r="F301" s="9">
        <v>26</v>
      </c>
      <c r="G301" s="10">
        <v>26</v>
      </c>
      <c r="H301" s="10">
        <v>28.9</v>
      </c>
      <c r="I301" s="10">
        <v>22.9</v>
      </c>
      <c r="J301" s="9">
        <v>16</v>
      </c>
      <c r="K301" s="9">
        <v>17</v>
      </c>
      <c r="L301" s="9">
        <v>10</v>
      </c>
      <c r="M301" s="9">
        <v>18</v>
      </c>
      <c r="N301" s="9">
        <v>13</v>
      </c>
      <c r="O301" s="9">
        <v>0</v>
      </c>
      <c r="P301" s="9">
        <v>12</v>
      </c>
      <c r="Q301" s="9">
        <v>200</v>
      </c>
      <c r="R301" s="10">
        <v>7.8</v>
      </c>
      <c r="S301" s="10">
        <v>2.93589743589744</v>
      </c>
      <c r="T301" s="10" t="s">
        <v>1041</v>
      </c>
      <c r="U301" s="9" t="s">
        <v>222</v>
      </c>
      <c r="V301" s="10"/>
      <c r="W301" s="19"/>
    </row>
    <row r="302" customHeight="1" spans="1:23">
      <c r="A302" s="6" t="str">
        <f>_xlfn.DISPIMG("ID_3EEF7987F6624CB8AC18ECA830E88737",1)</f>
        <v>=DISPIMG("ID_3EEF7987F6624CB8AC18ECA830E88737",1)</v>
      </c>
      <c r="B302" s="13" t="s">
        <v>1045</v>
      </c>
      <c r="C302" s="13" t="s">
        <v>1046</v>
      </c>
      <c r="D302" s="13" t="s">
        <v>1047</v>
      </c>
      <c r="E302" s="13" t="s">
        <v>237</v>
      </c>
      <c r="F302" s="13">
        <v>13</v>
      </c>
      <c r="G302" s="14">
        <v>13</v>
      </c>
      <c r="H302" s="14">
        <v>14.4</v>
      </c>
      <c r="I302" s="14">
        <v>11.4</v>
      </c>
      <c r="J302" s="13">
        <v>8</v>
      </c>
      <c r="K302" s="13">
        <v>8</v>
      </c>
      <c r="L302" s="13">
        <v>6</v>
      </c>
      <c r="M302" s="13">
        <v>10</v>
      </c>
      <c r="N302" s="13">
        <v>6</v>
      </c>
      <c r="O302" s="13">
        <v>0</v>
      </c>
      <c r="P302" s="13">
        <v>7</v>
      </c>
      <c r="Q302" s="13">
        <v>200</v>
      </c>
      <c r="R302" s="14">
        <v>1.5</v>
      </c>
      <c r="S302" s="14">
        <v>7.6</v>
      </c>
      <c r="T302" s="14" t="s">
        <v>1041</v>
      </c>
      <c r="U302" s="13" t="s">
        <v>222</v>
      </c>
      <c r="V302" s="14"/>
      <c r="W302" s="21"/>
    </row>
    <row r="303" s="2" customFormat="1" ht="116.25" spans="1:23">
      <c r="A303" s="15" t="str">
        <f>_xlfn.DISPIMG("ID_B61F478A4AB8463196D451E083EB1428",1)</f>
        <v>=DISPIMG("ID_B61F478A4AB8463196D451E083EB1428",1)</v>
      </c>
      <c r="B303" s="16" t="s">
        <v>1048</v>
      </c>
      <c r="C303" s="16"/>
      <c r="D303" s="16"/>
      <c r="E303" s="16" t="s">
        <v>215</v>
      </c>
      <c r="F303" s="16">
        <v>49</v>
      </c>
      <c r="G303" s="17">
        <v>49</v>
      </c>
      <c r="H303" s="17">
        <v>54.4</v>
      </c>
      <c r="I303" s="17">
        <v>43.1</v>
      </c>
      <c r="J303" s="16">
        <v>30</v>
      </c>
      <c r="K303" s="16">
        <v>31</v>
      </c>
      <c r="L303" s="16">
        <v>20</v>
      </c>
      <c r="M303" s="16">
        <v>35</v>
      </c>
      <c r="N303" s="16">
        <v>24</v>
      </c>
      <c r="O303" s="16">
        <v>0</v>
      </c>
      <c r="P303" s="16">
        <v>24</v>
      </c>
      <c r="Q303" s="16">
        <v>600</v>
      </c>
      <c r="R303" s="17">
        <v>12.3</v>
      </c>
      <c r="S303" s="17">
        <v>3.98373983739837</v>
      </c>
      <c r="T303" s="17" t="s">
        <v>1041</v>
      </c>
      <c r="U303" s="16" t="s">
        <v>222</v>
      </c>
      <c r="V303" s="17"/>
      <c r="W303" s="22" t="s">
        <v>1049</v>
      </c>
    </row>
    <row r="304" customHeight="1" spans="1:23">
      <c r="A304" s="6" t="str">
        <f>_xlfn.DISPIMG("ID_7723891B9E2F4EBF9366618A31E3042D",1)</f>
        <v>=DISPIMG("ID_7723891B9E2F4EBF9366618A31E3042D",1)</v>
      </c>
      <c r="B304" s="7" t="s">
        <v>1050</v>
      </c>
      <c r="C304" s="7" t="s">
        <v>1051</v>
      </c>
      <c r="D304" s="7" t="s">
        <v>1052</v>
      </c>
      <c r="E304" s="7" t="s">
        <v>220</v>
      </c>
      <c r="F304" s="7">
        <v>8</v>
      </c>
      <c r="G304" s="8">
        <v>8.7</v>
      </c>
      <c r="H304" s="8">
        <v>8</v>
      </c>
      <c r="I304" s="8">
        <v>8.3</v>
      </c>
      <c r="J304" s="7">
        <v>8</v>
      </c>
      <c r="K304" s="7">
        <v>5</v>
      </c>
      <c r="L304" s="7">
        <v>7</v>
      </c>
      <c r="M304" s="7">
        <v>6</v>
      </c>
      <c r="N304" s="7">
        <v>11</v>
      </c>
      <c r="O304" s="7">
        <v>0</v>
      </c>
      <c r="P304" s="7">
        <v>0</v>
      </c>
      <c r="Q304" s="7">
        <v>250</v>
      </c>
      <c r="R304" s="8">
        <v>1.1</v>
      </c>
      <c r="S304" s="8">
        <v>7.54545454545455</v>
      </c>
      <c r="T304" s="8" t="s">
        <v>1053</v>
      </c>
      <c r="U304" s="7" t="s">
        <v>222</v>
      </c>
      <c r="V304" s="8"/>
      <c r="W304" s="18"/>
    </row>
    <row r="305" s="1" customFormat="1" customHeight="1" spans="1:23">
      <c r="A305" s="3" t="str">
        <f>_xlfn.DISPIMG("ID_C7D15F6718C84D089ADBA52BCDF3B7E8",1)</f>
        <v>=DISPIMG("ID_C7D15F6718C84D089ADBA52BCDF3B7E8",1)</v>
      </c>
      <c r="B305" s="9" t="s">
        <v>1054</v>
      </c>
      <c r="C305" s="9" t="s">
        <v>1055</v>
      </c>
      <c r="D305" s="9" t="s">
        <v>1056</v>
      </c>
      <c r="E305" s="9" t="s">
        <v>226</v>
      </c>
      <c r="F305" s="9">
        <v>21</v>
      </c>
      <c r="G305" s="10">
        <v>22.9</v>
      </c>
      <c r="H305" s="10">
        <v>21</v>
      </c>
      <c r="I305" s="10">
        <v>21.8</v>
      </c>
      <c r="J305" s="9">
        <v>20</v>
      </c>
      <c r="K305" s="9">
        <v>13</v>
      </c>
      <c r="L305" s="9">
        <v>18</v>
      </c>
      <c r="M305" s="9">
        <v>15</v>
      </c>
      <c r="N305" s="9">
        <v>29</v>
      </c>
      <c r="O305" s="9">
        <v>0</v>
      </c>
      <c r="P305" s="9">
        <v>0</v>
      </c>
      <c r="Q305" s="9">
        <v>250</v>
      </c>
      <c r="R305" s="10">
        <v>2.8</v>
      </c>
      <c r="S305" s="10">
        <v>7.78571428571429</v>
      </c>
      <c r="T305" s="10" t="s">
        <v>1053</v>
      </c>
      <c r="U305" s="9" t="s">
        <v>222</v>
      </c>
      <c r="V305" s="10"/>
      <c r="W305" s="19"/>
    </row>
    <row r="306" customHeight="1" spans="1:23">
      <c r="A306" s="6" t="str">
        <f>_xlfn.DISPIMG("ID_5A5AD9FA4E2547A19FB6A397B3D355DF",1)</f>
        <v>=DISPIMG("ID_5A5AD9FA4E2547A19FB6A397B3D355DF",1)</v>
      </c>
      <c r="B306" s="13" t="s">
        <v>1057</v>
      </c>
      <c r="C306" s="13" t="s">
        <v>1058</v>
      </c>
      <c r="D306" s="13" t="s">
        <v>1059</v>
      </c>
      <c r="E306" s="13" t="s">
        <v>237</v>
      </c>
      <c r="F306" s="13">
        <v>12</v>
      </c>
      <c r="G306" s="14">
        <v>13.1</v>
      </c>
      <c r="H306" s="14">
        <v>12</v>
      </c>
      <c r="I306" s="14">
        <v>12.5</v>
      </c>
      <c r="J306" s="13">
        <v>11</v>
      </c>
      <c r="K306" s="13">
        <v>8</v>
      </c>
      <c r="L306" s="13">
        <v>10</v>
      </c>
      <c r="M306" s="13">
        <v>9</v>
      </c>
      <c r="N306" s="13">
        <v>17</v>
      </c>
      <c r="O306" s="13">
        <v>0</v>
      </c>
      <c r="P306" s="13">
        <v>0</v>
      </c>
      <c r="Q306" s="13">
        <v>250</v>
      </c>
      <c r="R306" s="14">
        <v>1.7</v>
      </c>
      <c r="S306" s="14">
        <v>7.35294117647059</v>
      </c>
      <c r="T306" s="14" t="s">
        <v>1053</v>
      </c>
      <c r="U306" s="13" t="s">
        <v>222</v>
      </c>
      <c r="V306" s="14"/>
      <c r="W306" s="21"/>
    </row>
    <row r="307" s="2" customFormat="1" ht="116.25" spans="1:23">
      <c r="A307" s="15" t="str">
        <f>_xlfn.DISPIMG("ID_9225D91D15D5455FB0485F1E3CDF41FA",1)</f>
        <v>=DISPIMG("ID_9225D91D15D5455FB0485F1E3CDF41FA",1)</v>
      </c>
      <c r="B307" s="16" t="s">
        <v>1060</v>
      </c>
      <c r="C307" s="16"/>
      <c r="D307" s="16"/>
      <c r="E307" s="16" t="s">
        <v>215</v>
      </c>
      <c r="F307" s="16">
        <v>41</v>
      </c>
      <c r="G307" s="17">
        <v>44.7</v>
      </c>
      <c r="H307" s="17">
        <v>41</v>
      </c>
      <c r="I307" s="17">
        <v>42.6</v>
      </c>
      <c r="J307" s="16">
        <v>39</v>
      </c>
      <c r="K307" s="16">
        <v>26</v>
      </c>
      <c r="L307" s="16">
        <v>35</v>
      </c>
      <c r="M307" s="16">
        <v>30</v>
      </c>
      <c r="N307" s="16">
        <v>57</v>
      </c>
      <c r="O307" s="16">
        <v>0</v>
      </c>
      <c r="P307" s="16">
        <v>0</v>
      </c>
      <c r="Q307" s="16">
        <v>750</v>
      </c>
      <c r="R307" s="17">
        <v>5.6</v>
      </c>
      <c r="S307" s="17">
        <v>7.3</v>
      </c>
      <c r="T307" s="17" t="s">
        <v>1053</v>
      </c>
      <c r="U307" s="16" t="s">
        <v>222</v>
      </c>
      <c r="V307" s="17"/>
      <c r="W307" s="22" t="s">
        <v>1061</v>
      </c>
    </row>
    <row r="308" customHeight="1" spans="1:1">
      <c r="A308" s="25"/>
    </row>
    <row r="309" customHeight="1" spans="1:23">
      <c r="A309" s="6" t="str">
        <f>_xlfn.DISPIMG("ID_5751E675BF4C478B93619E8B04E0B81F",1)</f>
        <v>=DISPIMG("ID_5751E675BF4C478B93619E8B04E0B81F",1)</v>
      </c>
      <c r="B309" s="7" t="s">
        <v>1062</v>
      </c>
      <c r="C309" s="7" t="s">
        <v>1063</v>
      </c>
      <c r="D309" s="7" t="s">
        <v>1064</v>
      </c>
      <c r="E309" s="7" t="s">
        <v>220</v>
      </c>
      <c r="F309" s="7">
        <v>16</v>
      </c>
      <c r="G309" s="8">
        <v>13.9</v>
      </c>
      <c r="H309" s="8">
        <v>16</v>
      </c>
      <c r="I309" s="8">
        <v>16</v>
      </c>
      <c r="J309" s="7">
        <v>10</v>
      </c>
      <c r="K309" s="7">
        <v>10</v>
      </c>
      <c r="L309" s="7">
        <v>6</v>
      </c>
      <c r="M309" s="7">
        <v>16</v>
      </c>
      <c r="N309" s="7">
        <v>12</v>
      </c>
      <c r="O309" s="7">
        <v>0</v>
      </c>
      <c r="P309" s="7">
        <v>8</v>
      </c>
      <c r="Q309" s="7">
        <v>500</v>
      </c>
      <c r="R309" s="8">
        <v>4.5</v>
      </c>
      <c r="S309" s="8">
        <v>3.55555555555556</v>
      </c>
      <c r="T309" s="8" t="s">
        <v>829</v>
      </c>
      <c r="U309" s="7" t="s">
        <v>222</v>
      </c>
      <c r="V309" s="8"/>
      <c r="W309" s="18" t="s">
        <v>1065</v>
      </c>
    </row>
    <row r="310" customHeight="1" spans="1:23">
      <c r="A310" s="6" t="str">
        <f>_xlfn.DISPIMG("ID_44652169B2214F31AD03EB7C7F065D31",1)</f>
        <v>=DISPIMG("ID_44652169B2214F31AD03EB7C7F065D31",1)</v>
      </c>
      <c r="B310" s="7" t="s">
        <v>1066</v>
      </c>
      <c r="C310" s="7" t="s">
        <v>1067</v>
      </c>
      <c r="D310" s="7" t="s">
        <v>1068</v>
      </c>
      <c r="E310" s="7" t="s">
        <v>220</v>
      </c>
      <c r="F310" s="7">
        <v>6</v>
      </c>
      <c r="G310" s="8">
        <v>10</v>
      </c>
      <c r="H310" s="8">
        <v>6</v>
      </c>
      <c r="I310" s="8">
        <v>5</v>
      </c>
      <c r="J310" s="7">
        <v>6</v>
      </c>
      <c r="K310" s="7">
        <v>8</v>
      </c>
      <c r="L310" s="7">
        <v>4</v>
      </c>
      <c r="M310" s="7">
        <v>12</v>
      </c>
      <c r="N310" s="7">
        <v>10</v>
      </c>
      <c r="O310" s="7">
        <v>0</v>
      </c>
      <c r="P310" s="7">
        <v>0</v>
      </c>
      <c r="Q310" s="7">
        <v>150</v>
      </c>
      <c r="R310" s="8">
        <v>0.6</v>
      </c>
      <c r="S310" s="8">
        <v>8.33333333333333</v>
      </c>
      <c r="T310" s="8" t="s">
        <v>829</v>
      </c>
      <c r="U310" s="7" t="s">
        <v>222</v>
      </c>
      <c r="V310" s="8"/>
      <c r="W310" s="18" t="s">
        <v>1069</v>
      </c>
    </row>
    <row r="312" customHeight="1" spans="1:23">
      <c r="A312" s="6" t="str">
        <f>_xlfn.DISPIMG("ID_1A738C43718042A6A3B9D49B6CE6CE81",1)</f>
        <v>=DISPIMG("ID_1A738C43718042A6A3B9D49B6CE6CE81",1)</v>
      </c>
      <c r="B312" s="7" t="s">
        <v>1070</v>
      </c>
      <c r="C312" s="7" t="s">
        <v>1071</v>
      </c>
      <c r="D312" s="7" t="s">
        <v>1072</v>
      </c>
      <c r="E312" s="7" t="s">
        <v>220</v>
      </c>
      <c r="F312" s="7">
        <v>26</v>
      </c>
      <c r="G312" s="8">
        <v>23.4</v>
      </c>
      <c r="H312" s="8">
        <v>31.2</v>
      </c>
      <c r="I312" s="8">
        <v>26</v>
      </c>
      <c r="J312" s="7">
        <v>5</v>
      </c>
      <c r="K312" s="7">
        <v>4</v>
      </c>
      <c r="L312" s="7">
        <v>4</v>
      </c>
      <c r="M312" s="7">
        <v>13</v>
      </c>
      <c r="N312" s="7">
        <v>8</v>
      </c>
      <c r="O312" s="7">
        <v>0</v>
      </c>
      <c r="P312" s="7">
        <v>12</v>
      </c>
      <c r="Q312" s="7">
        <v>600</v>
      </c>
      <c r="R312" s="8">
        <v>8</v>
      </c>
      <c r="S312" s="8">
        <v>3.25</v>
      </c>
      <c r="T312" s="8" t="s">
        <v>829</v>
      </c>
      <c r="U312" s="7" t="s">
        <v>498</v>
      </c>
      <c r="V312" s="8"/>
      <c r="W312" s="18" t="s">
        <v>1073</v>
      </c>
    </row>
    <row r="313" customHeight="1" spans="1:23">
      <c r="A313" s="6" t="str">
        <f>_xlfn.DISPIMG("ID_40C1E39845104829B6807919DC31C87F",1)</f>
        <v>=DISPIMG("ID_40C1E39845104829B6807919DC31C87F",1)</v>
      </c>
      <c r="B313" s="7" t="s">
        <v>1074</v>
      </c>
      <c r="C313" s="7" t="s">
        <v>1075</v>
      </c>
      <c r="D313" s="7" t="s">
        <v>1076</v>
      </c>
      <c r="E313" s="7" t="s">
        <v>220</v>
      </c>
      <c r="F313" s="7">
        <v>15</v>
      </c>
      <c r="G313" s="8">
        <v>12.3</v>
      </c>
      <c r="H313" s="8">
        <v>19.1</v>
      </c>
      <c r="I313" s="8">
        <v>13.7</v>
      </c>
      <c r="J313" s="7">
        <v>15</v>
      </c>
      <c r="K313" s="7">
        <v>15</v>
      </c>
      <c r="L313" s="7">
        <v>15</v>
      </c>
      <c r="M313" s="7">
        <v>22</v>
      </c>
      <c r="N313" s="7">
        <v>19</v>
      </c>
      <c r="O313" s="7">
        <v>0</v>
      </c>
      <c r="P313" s="7">
        <v>8</v>
      </c>
      <c r="Q313" s="7">
        <v>500</v>
      </c>
      <c r="R313" s="8">
        <v>3.5</v>
      </c>
      <c r="S313" s="8">
        <v>3.91428571428571</v>
      </c>
      <c r="T313" s="8" t="s">
        <v>829</v>
      </c>
      <c r="U313" s="7" t="s">
        <v>498</v>
      </c>
      <c r="V313" s="8"/>
      <c r="W313" s="18" t="s">
        <v>1077</v>
      </c>
    </row>
    <row r="314" s="1" customFormat="1" customHeight="1" spans="1:23">
      <c r="A314" s="6"/>
      <c r="G314" s="4"/>
      <c r="H314" s="4"/>
      <c r="I314" s="4"/>
      <c r="R314" s="4"/>
      <c r="S314" s="4"/>
      <c r="T314" s="4"/>
      <c r="V314" s="4"/>
      <c r="W314" s="5"/>
    </row>
    <row r="315" customHeight="1" spans="1:23">
      <c r="A315" s="6" t="str">
        <f>_xlfn.DISPIMG("ID_C4E61B3FFCE241DDB4150719D3B93195",1)</f>
        <v>=DISPIMG("ID_C4E61B3FFCE241DDB4150719D3B93195",1)</v>
      </c>
      <c r="B315" s="7" t="s">
        <v>1078</v>
      </c>
      <c r="C315" s="7" t="s">
        <v>1079</v>
      </c>
      <c r="D315" s="7" t="s">
        <v>1080</v>
      </c>
      <c r="E315" s="7" t="s">
        <v>220</v>
      </c>
      <c r="F315" s="7">
        <v>6</v>
      </c>
      <c r="G315" s="8">
        <v>6</v>
      </c>
      <c r="H315" s="8">
        <v>6</v>
      </c>
      <c r="I315" s="8">
        <v>6</v>
      </c>
      <c r="J315" s="7">
        <v>10</v>
      </c>
      <c r="K315" s="7">
        <v>6</v>
      </c>
      <c r="L315" s="7">
        <v>8</v>
      </c>
      <c r="M315" s="7">
        <v>6</v>
      </c>
      <c r="N315" s="7">
        <v>0</v>
      </c>
      <c r="O315" s="7">
        <v>0</v>
      </c>
      <c r="P315" s="7">
        <v>0</v>
      </c>
      <c r="Q315" s="7">
        <v>200</v>
      </c>
      <c r="R315" s="8">
        <v>1.2</v>
      </c>
      <c r="S315" s="8">
        <v>5</v>
      </c>
      <c r="T315" s="8" t="s">
        <v>829</v>
      </c>
      <c r="U315" s="7" t="s">
        <v>829</v>
      </c>
      <c r="V315" s="8" t="s">
        <v>1081</v>
      </c>
      <c r="W315" s="18" t="s">
        <v>1082</v>
      </c>
    </row>
    <row r="316" customHeight="1" spans="1:23">
      <c r="A316" s="6" t="str">
        <f>_xlfn.DISPIMG("ID_BA0392525A1F4E1095A7D8EB4D05F18A",1)</f>
        <v>=DISPIMG("ID_BA0392525A1F4E1095A7D8EB4D05F18A",1)</v>
      </c>
      <c r="B316" s="7" t="s">
        <v>1083</v>
      </c>
      <c r="C316" s="7" t="s">
        <v>1084</v>
      </c>
      <c r="D316" s="7" t="s">
        <v>1085</v>
      </c>
      <c r="E316" s="7" t="s">
        <v>220</v>
      </c>
      <c r="F316" s="7">
        <v>6</v>
      </c>
      <c r="G316" s="8">
        <v>6</v>
      </c>
      <c r="H316" s="8">
        <v>6</v>
      </c>
      <c r="I316" s="8">
        <v>6</v>
      </c>
      <c r="J316" s="7">
        <v>12</v>
      </c>
      <c r="K316" s="7">
        <v>6</v>
      </c>
      <c r="L316" s="7">
        <v>8</v>
      </c>
      <c r="M316" s="7">
        <v>10</v>
      </c>
      <c r="N316" s="7">
        <v>0</v>
      </c>
      <c r="O316" s="7">
        <v>0</v>
      </c>
      <c r="P316" s="7">
        <v>0</v>
      </c>
      <c r="Q316" s="7">
        <v>200</v>
      </c>
      <c r="R316" s="8">
        <v>1.2</v>
      </c>
      <c r="S316" s="8">
        <v>5</v>
      </c>
      <c r="T316" s="8" t="s">
        <v>829</v>
      </c>
      <c r="U316" s="7" t="s">
        <v>829</v>
      </c>
      <c r="V316" s="8" t="s">
        <v>1086</v>
      </c>
      <c r="W316" s="18" t="s">
        <v>1082</v>
      </c>
    </row>
    <row r="317" customHeight="1" spans="1:23">
      <c r="A317" s="6" t="str">
        <f>_xlfn.DISPIMG("ID_BA69EC46D1464D39A37C423CBEB0D742",1)</f>
        <v>=DISPIMG("ID_BA69EC46D1464D39A37C423CBEB0D742",1)</v>
      </c>
      <c r="B317" s="7" t="s">
        <v>1087</v>
      </c>
      <c r="C317" s="7" t="s">
        <v>1088</v>
      </c>
      <c r="D317" s="7" t="s">
        <v>1089</v>
      </c>
      <c r="E317" s="7" t="s">
        <v>220</v>
      </c>
      <c r="F317" s="7">
        <v>6</v>
      </c>
      <c r="G317" s="8">
        <v>6</v>
      </c>
      <c r="H317" s="8">
        <v>6</v>
      </c>
      <c r="I317" s="8">
        <v>6</v>
      </c>
      <c r="J317" s="7">
        <v>10</v>
      </c>
      <c r="K317" s="7">
        <v>8</v>
      </c>
      <c r="L317" s="7">
        <v>10</v>
      </c>
      <c r="M317" s="7">
        <v>6</v>
      </c>
      <c r="N317" s="7">
        <v>0</v>
      </c>
      <c r="O317" s="7">
        <v>0</v>
      </c>
      <c r="P317" s="7">
        <v>0</v>
      </c>
      <c r="Q317" s="7">
        <v>200</v>
      </c>
      <c r="R317" s="8">
        <v>1.2</v>
      </c>
      <c r="S317" s="8">
        <v>5</v>
      </c>
      <c r="T317" s="8" t="s">
        <v>829</v>
      </c>
      <c r="U317" s="7" t="s">
        <v>829</v>
      </c>
      <c r="V317" s="8" t="s">
        <v>1090</v>
      </c>
      <c r="W317" s="18" t="s">
        <v>1082</v>
      </c>
    </row>
    <row r="318" customHeight="1" spans="1:23">
      <c r="A318" s="6"/>
      <c r="B318" s="7" t="s">
        <v>1091</v>
      </c>
      <c r="C318" s="7" t="s">
        <v>1091</v>
      </c>
      <c r="D318" s="7" t="s">
        <v>1092</v>
      </c>
      <c r="E318" s="7" t="s">
        <v>220</v>
      </c>
      <c r="F318" s="7">
        <v>6</v>
      </c>
      <c r="G318" s="8">
        <v>6</v>
      </c>
      <c r="H318" s="8">
        <v>6</v>
      </c>
      <c r="I318" s="8">
        <v>6</v>
      </c>
      <c r="J318" s="7">
        <v>5</v>
      </c>
      <c r="K318" s="7">
        <v>24</v>
      </c>
      <c r="L318" s="7">
        <v>13</v>
      </c>
      <c r="M318" s="7">
        <v>0</v>
      </c>
      <c r="N318" s="7">
        <v>0</v>
      </c>
      <c r="O318" s="7">
        <v>0</v>
      </c>
      <c r="P318" s="7">
        <v>0</v>
      </c>
      <c r="Q318" s="7">
        <v>80</v>
      </c>
      <c r="R318" s="8">
        <v>1.4</v>
      </c>
      <c r="S318" s="8">
        <v>4.28571428571429</v>
      </c>
      <c r="T318" s="8" t="s">
        <v>829</v>
      </c>
      <c r="U318" s="7" t="s">
        <v>829</v>
      </c>
      <c r="V318" s="8" t="s">
        <v>1093</v>
      </c>
      <c r="W318" s="18" t="s">
        <v>1094</v>
      </c>
    </row>
    <row r="319" customHeight="1" spans="1:23">
      <c r="A319" s="6" t="str">
        <f>_xlfn.DISPIMG("ID_AAEA7E4947714422BC886C8FA89AF6FE",1)</f>
        <v>=DISPIMG("ID_AAEA7E4947714422BC886C8FA89AF6FE",1)</v>
      </c>
      <c r="B319" s="7" t="s">
        <v>1095</v>
      </c>
      <c r="C319" s="7" t="s">
        <v>1096</v>
      </c>
      <c r="D319" s="7" t="s">
        <v>1097</v>
      </c>
      <c r="E319" s="7" t="s">
        <v>220</v>
      </c>
      <c r="F319" s="7">
        <v>21</v>
      </c>
      <c r="G319" s="8">
        <v>10.9</v>
      </c>
      <c r="H319" s="8">
        <v>21</v>
      </c>
      <c r="I319" s="8">
        <v>21</v>
      </c>
      <c r="J319" s="7">
        <v>8</v>
      </c>
      <c r="K319" s="7">
        <v>2</v>
      </c>
      <c r="L319" s="7">
        <v>2</v>
      </c>
      <c r="M319" s="7">
        <v>10</v>
      </c>
      <c r="N319" s="7">
        <v>0</v>
      </c>
      <c r="O319" s="7">
        <v>0</v>
      </c>
      <c r="P319" s="7">
        <v>15</v>
      </c>
      <c r="Q319" s="7">
        <v>300</v>
      </c>
      <c r="R319" s="8">
        <v>10</v>
      </c>
      <c r="S319" s="8">
        <v>2.1</v>
      </c>
      <c r="T319" s="8" t="s">
        <v>829</v>
      </c>
      <c r="U319" s="7" t="s">
        <v>829</v>
      </c>
      <c r="V319" s="8" t="s">
        <v>1098</v>
      </c>
      <c r="W319" s="18" t="s">
        <v>1099</v>
      </c>
    </row>
    <row r="320" customHeight="1" spans="1:23">
      <c r="A320" s="6" t="str">
        <f>_xlfn.DISPIMG("ID_4D670DD580C64A8DA2F2BF45F4ED3C9D",1)</f>
        <v>=DISPIMG("ID_4D670DD580C64A8DA2F2BF45F4ED3C9D",1)</v>
      </c>
      <c r="B320" s="7" t="s">
        <v>1100</v>
      </c>
      <c r="C320" s="7" t="s">
        <v>1101</v>
      </c>
      <c r="D320" s="7" t="s">
        <v>1102</v>
      </c>
      <c r="E320" s="7" t="s">
        <v>220</v>
      </c>
      <c r="F320" s="7">
        <v>17</v>
      </c>
      <c r="G320" s="8">
        <v>17</v>
      </c>
      <c r="H320" s="8">
        <v>17</v>
      </c>
      <c r="I320" s="8">
        <v>17</v>
      </c>
      <c r="J320" s="7">
        <v>17</v>
      </c>
      <c r="K320" s="7">
        <v>9</v>
      </c>
      <c r="L320" s="7">
        <v>11</v>
      </c>
      <c r="M320" s="7">
        <v>16</v>
      </c>
      <c r="N320" s="7">
        <v>32</v>
      </c>
      <c r="O320" s="7">
        <v>10</v>
      </c>
      <c r="P320" s="7">
        <v>0</v>
      </c>
      <c r="Q320" s="7">
        <v>150</v>
      </c>
      <c r="R320" s="8">
        <v>2.5</v>
      </c>
      <c r="S320" s="8">
        <v>6.8</v>
      </c>
      <c r="T320" s="8" t="s">
        <v>829</v>
      </c>
      <c r="U320" s="7" t="s">
        <v>829</v>
      </c>
      <c r="V320" s="8"/>
      <c r="W320" s="18"/>
    </row>
    <row r="321" customHeight="1" spans="1:23">
      <c r="A321" s="6" t="str">
        <f>_xlfn.DISPIMG("ID_BCC764EE96624A22B9B17AA953F093CB",1)</f>
        <v>=DISPIMG("ID_BCC764EE96624A22B9B17AA953F093CB",1)</v>
      </c>
      <c r="B321" s="7" t="s">
        <v>1103</v>
      </c>
      <c r="C321" s="7" t="s">
        <v>1104</v>
      </c>
      <c r="D321" s="7" t="s">
        <v>1105</v>
      </c>
      <c r="E321" s="7" t="s">
        <v>220</v>
      </c>
      <c r="F321" s="7">
        <v>14</v>
      </c>
      <c r="G321" s="8">
        <v>14</v>
      </c>
      <c r="H321" s="8">
        <v>14</v>
      </c>
      <c r="I321" s="8">
        <v>14</v>
      </c>
      <c r="J321" s="7">
        <v>22</v>
      </c>
      <c r="K321" s="7">
        <v>9</v>
      </c>
      <c r="L321" s="7">
        <v>13</v>
      </c>
      <c r="M321" s="7">
        <v>8</v>
      </c>
      <c r="N321" s="7">
        <v>38</v>
      </c>
      <c r="O321" s="7">
        <v>15</v>
      </c>
      <c r="P321" s="7">
        <v>0</v>
      </c>
      <c r="Q321" s="7">
        <v>150</v>
      </c>
      <c r="R321" s="8">
        <v>2.2</v>
      </c>
      <c r="S321" s="8">
        <v>6.36363636363636</v>
      </c>
      <c r="T321" s="8" t="s">
        <v>829</v>
      </c>
      <c r="U321" s="7" t="s">
        <v>829</v>
      </c>
      <c r="V321" s="8"/>
      <c r="W321" s="18"/>
    </row>
  </sheetData>
  <autoFilter ref="A1:W294">
    <sortState ref="A1:W294">
      <sortCondition ref="S1" descending="1"/>
    </sortState>
    <extLst/>
  </autoFilter>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盾牌</vt:lpstr>
      <vt:lpstr>防具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2020-12-08T02:50:00Z</dcterms:created>
  <dcterms:modified xsi:type="dcterms:W3CDTF">2020-12-19T07:37:06Z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